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https://educationgovuk-my.sharepoint.com/personal/thomas_hand_education_gov_uk/Documents/Downloads/"/>
    </mc:Choice>
  </mc:AlternateContent>
  <xr:revisionPtr revIDLastSave="57" documentId="8_{04DB40DF-235B-4A0F-9CF2-0930D0B19062}" xr6:coauthVersionLast="47" xr6:coauthVersionMax="47" xr10:uidLastSave="{8BD1DA3E-6B43-4F9B-847A-141392E2CB08}"/>
  <bookViews>
    <workbookView xWindow="-110" yWindow="-110" windowWidth="23260" windowHeight="14860" xr2:uid="{CB7055D7-641B-4B62-8A3A-B98BDCC923DE}"/>
  </bookViews>
  <sheets>
    <sheet name="ToC" sheetId="16" r:id="rId1"/>
    <sheet name="Cover sheet" sheetId="11" r:id="rId2"/>
    <sheet name="Guide" sheetId="23" r:id="rId3"/>
    <sheet name="Benchmarking" sheetId="24" r:id="rId4"/>
    <sheet name="Ratios" sheetId="12" r:id="rId5"/>
    <sheet name="Financial health" sheetId="9" r:id="rId6"/>
    <sheet name="I&amp;E" sheetId="1" r:id="rId7"/>
    <sheet name="SOCI" sheetId="6" r:id="rId8"/>
    <sheet name="CFFR SOCI" sheetId="15" r:id="rId9"/>
    <sheet name="BS" sheetId="7" r:id="rId10"/>
    <sheet name="Cashflow" sheetId="18" r:id="rId11"/>
    <sheet name="Miscellaneous" sheetId="4" r:id="rId12"/>
    <sheet name="Parameters" sheetId="13" r:id="rId13"/>
    <sheet name="List of colleges" sheetId="17" r:id="rId14"/>
    <sheet name="Template" sheetId="21" r:id="rId15"/>
  </sheets>
  <definedNames>
    <definedName name="_xlnm._FilterDatabase" localSheetId="6" hidden="1">'I&amp;E'!$I$145:$I$145</definedName>
    <definedName name="_xlnm._FilterDatabase" localSheetId="13" hidden="1">'List of colleges'!$A$1:$E$1</definedName>
    <definedName name="CollegeNameInput">'Cover sheet'!#REF!</definedName>
    <definedName name="_xlnm.Print_Area" localSheetId="1">'Cover sheet'!$A$1:$N$62</definedName>
    <definedName name="_xlnm.Print_Area" localSheetId="2">Guide!$A$14:$L$88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4" i="1" l="1"/>
  <c r="G58" i="4" l="1"/>
  <c r="F164" i="1"/>
  <c r="N236" i="4"/>
  <c r="N234" i="4"/>
  <c r="N233" i="4"/>
  <c r="N232" i="4"/>
  <c r="N231" i="4"/>
  <c r="N230" i="4"/>
  <c r="N227" i="4"/>
  <c r="N222" i="4"/>
  <c r="N223" i="4"/>
  <c r="N224" i="4"/>
  <c r="N225" i="4"/>
  <c r="N221" i="4"/>
  <c r="D33" i="11"/>
  <c r="G235" i="4" l="1"/>
  <c r="G226" i="4"/>
  <c r="G74" i="1" l="1"/>
  <c r="N73" i="1"/>
  <c r="O73" i="1"/>
  <c r="A73" i="1" s="1" a="1"/>
  <c r="A73" i="1" s="1"/>
  <c r="O57" i="4"/>
  <c r="A57" i="4" s="1" a="1"/>
  <c r="A57" i="4" s="1"/>
  <c r="O216" i="4"/>
  <c r="O215" i="4"/>
  <c r="O214" i="4"/>
  <c r="O212" i="4"/>
  <c r="O211" i="4"/>
  <c r="O210" i="4"/>
  <c r="O208" i="4"/>
  <c r="O207" i="4"/>
  <c r="O206" i="4"/>
  <c r="O204" i="4"/>
  <c r="O203" i="4"/>
  <c r="O202" i="4"/>
  <c r="O200" i="4"/>
  <c r="O199" i="4"/>
  <c r="O198" i="4"/>
  <c r="O190" i="4"/>
  <c r="O191" i="4"/>
  <c r="O192" i="4"/>
  <c r="O189" i="4"/>
  <c r="O90" i="4"/>
  <c r="N215" i="4" l="1"/>
  <c r="N216" i="4"/>
  <c r="N214" i="4"/>
  <c r="N211" i="4"/>
  <c r="N212" i="4"/>
  <c r="N210" i="4"/>
  <c r="N207" i="4"/>
  <c r="N208" i="4"/>
  <c r="N206" i="4"/>
  <c r="N203" i="4"/>
  <c r="N204" i="4"/>
  <c r="N202" i="4"/>
  <c r="N199" i="4"/>
  <c r="N200" i="4"/>
  <c r="N198" i="4"/>
  <c r="N192" i="4" l="1"/>
  <c r="E192" i="4" a="1"/>
  <c r="E192" i="4" s="1"/>
  <c r="E191" i="4" a="1"/>
  <c r="E191" i="4" s="1"/>
  <c r="N191" i="4"/>
  <c r="N190" i="4"/>
  <c r="E190" i="4" a="1"/>
  <c r="E190" i="4" s="1"/>
  <c r="N189" i="4"/>
  <c r="A110" i="4" a="1"/>
  <c r="A110" i="4" s="1"/>
  <c r="A108" i="4" a="1"/>
  <c r="A108" i="4" s="1"/>
  <c r="N110" i="4"/>
  <c r="N108" i="4"/>
  <c r="N57" i="1"/>
  <c r="O57" i="1"/>
  <c r="A57" i="1" s="1" a="1"/>
  <c r="A57" i="1" s="1"/>
  <c r="N58" i="1"/>
  <c r="O58" i="1"/>
  <c r="A58" i="1" s="1" a="1"/>
  <c r="A58" i="1" s="1"/>
  <c r="O56" i="1"/>
  <c r="A56" i="1" s="1" a="1"/>
  <c r="A56" i="1" s="1"/>
  <c r="N56" i="1"/>
  <c r="O60" i="1"/>
  <c r="A60" i="1" s="1" a="1"/>
  <c r="A60" i="1" s="1"/>
  <c r="N60" i="1"/>
  <c r="A59" i="1" a="1"/>
  <c r="A59" i="1" s="1"/>
  <c r="E12" i="11" l="1"/>
  <c r="E11" i="11"/>
  <c r="E10" i="11"/>
  <c r="E9" i="11"/>
  <c r="G21" i="9"/>
  <c r="F124" i="1"/>
  <c r="G22" i="15"/>
  <c r="H22" i="9" l="1"/>
  <c r="F22" i="9" s="1"/>
  <c r="A22" i="9"/>
  <c r="A2" i="9" s="1" a="1"/>
  <c r="A2" i="9" s="1"/>
  <c r="G59" i="1"/>
  <c r="O61" i="1"/>
  <c r="G52" i="1"/>
  <c r="G15" i="15" l="1"/>
  <c r="O15" i="15" s="1"/>
  <c r="A15" i="15" s="1" a="1"/>
  <c r="A15" i="15" s="1"/>
  <c r="O175" i="4"/>
  <c r="A175" i="4" s="1" a="1"/>
  <c r="A175" i="4" s="1"/>
  <c r="O173" i="4"/>
  <c r="A173" i="4" s="1" a="1"/>
  <c r="A173" i="4" s="1"/>
  <c r="O171" i="4"/>
  <c r="A171" i="4" s="1" a="1"/>
  <c r="A171" i="4" s="1"/>
  <c r="N172" i="4"/>
  <c r="N174" i="4"/>
  <c r="N170" i="4"/>
  <c r="O172" i="4"/>
  <c r="A172" i="4" s="1" a="1"/>
  <c r="A172" i="4" s="1"/>
  <c r="C10" i="16" a="1"/>
  <c r="C10" i="16" l="1"/>
  <c r="O174" i="4"/>
  <c r="A174" i="4" s="1" a="1"/>
  <c r="A174" i="4" s="1"/>
  <c r="O170" i="4"/>
  <c r="A170" i="4" s="1" a="1"/>
  <c r="A170" i="4" s="1"/>
  <c r="N169" i="4"/>
  <c r="E78" i="7"/>
  <c r="E69" i="7"/>
  <c r="E68" i="7"/>
  <c r="E67" i="7"/>
  <c r="E59" i="7" l="1"/>
  <c r="E58" i="7"/>
  <c r="E35" i="7"/>
  <c r="E34" i="7"/>
  <c r="G160" i="4"/>
  <c r="G59" i="7" s="1"/>
  <c r="G155" i="4"/>
  <c r="G58" i="7" s="1"/>
  <c r="G148" i="4"/>
  <c r="G35" i="7" s="1"/>
  <c r="G143" i="4"/>
  <c r="G34" i="7" s="1"/>
  <c r="N165" i="4"/>
  <c r="O139" i="4"/>
  <c r="A139" i="4" s="1" a="1"/>
  <c r="A139" i="4" s="1"/>
  <c r="O140" i="4"/>
  <c r="A140" i="4" s="1" a="1"/>
  <c r="A140" i="4" s="1"/>
  <c r="O141" i="4"/>
  <c r="A141" i="4" s="1" a="1"/>
  <c r="A141" i="4" s="1"/>
  <c r="O142" i="4"/>
  <c r="A142" i="4" s="1" a="1"/>
  <c r="A142" i="4" s="1"/>
  <c r="O144" i="4"/>
  <c r="A144" i="4" s="1" a="1"/>
  <c r="A144" i="4" s="1"/>
  <c r="O145" i="4"/>
  <c r="A145" i="4" s="1" a="1"/>
  <c r="A145" i="4" s="1"/>
  <c r="O146" i="4"/>
  <c r="A146" i="4" s="1" a="1"/>
  <c r="A146" i="4" s="1"/>
  <c r="O147" i="4"/>
  <c r="A147" i="4" s="1" a="1"/>
  <c r="A147" i="4" s="1"/>
  <c r="O151" i="4"/>
  <c r="A151" i="4" s="1" a="1"/>
  <c r="A151" i="4" s="1"/>
  <c r="O152" i="4"/>
  <c r="A152" i="4" s="1" a="1"/>
  <c r="A152" i="4" s="1"/>
  <c r="O153" i="4"/>
  <c r="A153" i="4" s="1" a="1"/>
  <c r="A153" i="4" s="1"/>
  <c r="O154" i="4"/>
  <c r="A154" i="4" s="1" a="1"/>
  <c r="A154" i="4" s="1"/>
  <c r="O156" i="4"/>
  <c r="A156" i="4" s="1" a="1"/>
  <c r="A156" i="4" s="1"/>
  <c r="O157" i="4"/>
  <c r="A157" i="4" s="1" a="1"/>
  <c r="A157" i="4" s="1"/>
  <c r="O158" i="4"/>
  <c r="A158" i="4" s="1" a="1"/>
  <c r="A158" i="4" s="1"/>
  <c r="O159" i="4"/>
  <c r="A159" i="4" s="1" a="1"/>
  <c r="A159" i="4" s="1"/>
  <c r="H103" i="24"/>
  <c r="H24" i="24" l="1"/>
  <c r="H140" i="24" l="1"/>
  <c r="I140" i="24" l="1"/>
  <c r="H122" i="24"/>
  <c r="I122" i="24" s="1"/>
  <c r="H121" i="24"/>
  <c r="I121" i="24" s="1"/>
  <c r="H63" i="24" l="1"/>
  <c r="G63" i="24"/>
  <c r="E17" i="11" l="1"/>
  <c r="C3" i="16" l="1"/>
  <c r="N120" i="4" l="1"/>
  <c r="N119" i="4"/>
  <c r="G27" i="6"/>
  <c r="O27" i="6" s="1"/>
  <c r="A27" i="6" s="1" a="1"/>
  <c r="A27" i="6" s="1"/>
  <c r="G80" i="4" l="1"/>
  <c r="G10" i="4"/>
  <c r="O85" i="4" l="1"/>
  <c r="G4" i="21" l="1"/>
  <c r="G147" i="1" l="1"/>
  <c r="G26" i="6" s="1"/>
  <c r="F147" i="1" l="1"/>
  <c r="F132" i="1"/>
  <c r="G132" i="1"/>
  <c r="F113" i="1"/>
  <c r="G113" i="1"/>
  <c r="O120" i="4"/>
  <c r="O119" i="4"/>
  <c r="N43" i="11"/>
  <c r="G24" i="18"/>
  <c r="F129" i="1"/>
  <c r="O124" i="1" l="1"/>
  <c r="A130" i="4" l="1" a="1"/>
  <c r="A130" i="4" s="1"/>
  <c r="A131" i="4" a="1"/>
  <c r="A131" i="4" s="1"/>
  <c r="A132" i="4" a="1"/>
  <c r="A132" i="4" s="1"/>
  <c r="O86" i="4"/>
  <c r="O87" i="4"/>
  <c r="O121" i="4"/>
  <c r="O82" i="4"/>
  <c r="O83" i="4"/>
  <c r="O84" i="4"/>
  <c r="O81" i="4"/>
  <c r="O136" i="4"/>
  <c r="O135" i="4"/>
  <c r="O113" i="4"/>
  <c r="O117" i="4"/>
  <c r="O118" i="4"/>
  <c r="N117" i="4"/>
  <c r="N118" i="4"/>
  <c r="N121" i="4"/>
  <c r="N107" i="4"/>
  <c r="G46" i="24"/>
  <c r="G45" i="24"/>
  <c r="G42" i="24"/>
  <c r="G41" i="24"/>
  <c r="G40" i="24"/>
  <c r="G38" i="24"/>
  <c r="H30" i="24"/>
  <c r="H10" i="24"/>
  <c r="H9" i="24"/>
  <c r="D1" i="24"/>
  <c r="C11" i="16" a="1"/>
  <c r="C11" i="16" l="1"/>
  <c r="A117" i="4" a="1"/>
  <c r="A117" i="4" s="1"/>
  <c r="A118" i="4" a="1"/>
  <c r="A118" i="4" s="1"/>
  <c r="A119" i="4" a="1"/>
  <c r="A119" i="4" s="1"/>
  <c r="A120" i="4" a="1"/>
  <c r="A120" i="4" s="1"/>
  <c r="A121" i="4" a="1"/>
  <c r="A121" i="4" s="1"/>
  <c r="A124" i="4" a="1"/>
  <c r="A124" i="4" s="1"/>
  <c r="A125" i="4" a="1"/>
  <c r="A125" i="4" s="1"/>
  <c r="A126" i="4" a="1"/>
  <c r="A126" i="4" s="1"/>
  <c r="A127" i="4" a="1"/>
  <c r="A127" i="4" s="1"/>
  <c r="A128" i="4" a="1"/>
  <c r="A128" i="4" s="1"/>
  <c r="A129" i="4" a="1"/>
  <c r="A129" i="4" s="1"/>
  <c r="A135" i="4" a="1"/>
  <c r="A135" i="4" s="1"/>
  <c r="A136" i="4" a="1"/>
  <c r="A136" i="4" s="1"/>
  <c r="A81" i="4" a="1"/>
  <c r="A81" i="4" s="1"/>
  <c r="A82" i="4" a="1"/>
  <c r="A82" i="4" s="1"/>
  <c r="A83" i="4" a="1"/>
  <c r="A83" i="4" s="1"/>
  <c r="A84" i="4" a="1"/>
  <c r="A84" i="4" s="1"/>
  <c r="A85" i="4" a="1"/>
  <c r="A85" i="4" s="1"/>
  <c r="A86" i="4" a="1"/>
  <c r="A86" i="4" s="1"/>
  <c r="A87" i="4" a="1"/>
  <c r="A87" i="4" s="1"/>
  <c r="A113" i="4" a="1"/>
  <c r="A113" i="4" s="1"/>
  <c r="H154" i="24"/>
  <c r="H147" i="24"/>
  <c r="H93" i="24"/>
  <c r="G75" i="24"/>
  <c r="G74" i="24"/>
  <c r="G51" i="24"/>
  <c r="A3" i="24" a="1"/>
  <c r="A3" i="24" l="1"/>
  <c r="H144" i="24"/>
  <c r="G100" i="24"/>
  <c r="H99" i="24"/>
  <c r="H98" i="24"/>
  <c r="H97" i="24"/>
  <c r="H94" i="24"/>
  <c r="F47" i="24"/>
  <c r="G47" i="24" s="1"/>
  <c r="F43" i="24"/>
  <c r="G43" i="24" s="1"/>
  <c r="G21" i="24"/>
  <c r="G15" i="24"/>
  <c r="H15" i="24" s="1"/>
  <c r="A2" i="24" a="1"/>
  <c r="A2" i="24" s="1"/>
  <c r="H100" i="24" l="1"/>
  <c r="I100" i="24"/>
  <c r="H123" i="24"/>
  <c r="G27" i="24"/>
  <c r="H41" i="24" s="1"/>
  <c r="H21" i="24"/>
  <c r="F49" i="24"/>
  <c r="H92" i="24" l="1"/>
  <c r="H47" i="24"/>
  <c r="H46" i="24"/>
  <c r="H75" i="24"/>
  <c r="H45" i="24"/>
  <c r="H40" i="24"/>
  <c r="H43" i="24"/>
  <c r="H152" i="24"/>
  <c r="H51" i="24"/>
  <c r="H42" i="24"/>
  <c r="H78" i="24"/>
  <c r="I78" i="24" s="1"/>
  <c r="G49" i="24"/>
  <c r="H49" i="24"/>
  <c r="H74" i="24"/>
  <c r="H38" i="24"/>
  <c r="N109" i="4" l="1"/>
  <c r="O109" i="4"/>
  <c r="A109" i="4" s="1" a="1"/>
  <c r="A109" i="4" s="1"/>
  <c r="O107" i="4"/>
  <c r="A107" i="4" s="1" a="1"/>
  <c r="A107" i="4" s="1"/>
  <c r="A2" i="11" a="1"/>
  <c r="A2" i="11" s="1"/>
  <c r="G23" i="18" l="1"/>
  <c r="E23" i="18" l="1"/>
  <c r="G90" i="1" l="1"/>
  <c r="O23" i="18" l="1"/>
  <c r="A23" i="18" s="1" a="1"/>
  <c r="A23" i="18" s="1"/>
  <c r="D1" i="21" l="1"/>
  <c r="C22" i="16" a="1"/>
  <c r="C22" i="16" l="1"/>
  <c r="G14" i="18" l="1"/>
  <c r="O175" i="1"/>
  <c r="A175" i="1" s="1" a="1"/>
  <c r="A175" i="1" s="1"/>
  <c r="N61" i="11"/>
  <c r="N59" i="11"/>
  <c r="N24" i="7" l="1"/>
  <c r="N55" i="11" l="1"/>
  <c r="N53" i="11"/>
  <c r="N50" i="11"/>
  <c r="N31" i="11"/>
  <c r="N39" i="11"/>
  <c r="N37" i="11"/>
  <c r="N35" i="11"/>
  <c r="N33" i="11"/>
  <c r="N29" i="11"/>
  <c r="N8" i="11"/>
  <c r="N24" i="11"/>
  <c r="P27" i="11"/>
  <c r="O27" i="11"/>
  <c r="N27" i="11"/>
  <c r="N32" i="4"/>
  <c r="N29" i="4"/>
  <c r="N3" i="4" l="1" a="1"/>
  <c r="N3" i="4" s="1"/>
  <c r="O32" i="4"/>
  <c r="O29" i="4"/>
  <c r="O71" i="4"/>
  <c r="A71" i="4" s="1" a="1"/>
  <c r="A71" i="4" s="1"/>
  <c r="O72" i="4"/>
  <c r="A72" i="4" s="1" a="1"/>
  <c r="A72" i="4" s="1"/>
  <c r="O73" i="4"/>
  <c r="A73" i="4" s="1" a="1"/>
  <c r="A73" i="4" s="1"/>
  <c r="O74" i="4"/>
  <c r="A74" i="4" s="1" a="1"/>
  <c r="A74" i="4" s="1"/>
  <c r="O75" i="4"/>
  <c r="A75" i="4" s="1" a="1"/>
  <c r="A75" i="4" s="1"/>
  <c r="O76" i="4"/>
  <c r="A76" i="4" s="1" a="1"/>
  <c r="A76" i="4" s="1"/>
  <c r="B19" i="16" a="1"/>
  <c r="B19" i="16" l="1"/>
  <c r="G77" i="4"/>
  <c r="G67" i="4"/>
  <c r="G68" i="7" s="1"/>
  <c r="O77" i="4" l="1"/>
  <c r="A77" i="4" s="1" a="1"/>
  <c r="A77" i="4" s="1"/>
  <c r="G69" i="7"/>
  <c r="O70" i="4"/>
  <c r="A70" i="4" s="1" a="1"/>
  <c r="A70" i="4" s="1"/>
  <c r="O62" i="4"/>
  <c r="A62" i="4" s="1" a="1"/>
  <c r="A62" i="4" s="1"/>
  <c r="O63" i="4"/>
  <c r="A63" i="4" s="1" a="1"/>
  <c r="A63" i="4" s="1"/>
  <c r="O64" i="4"/>
  <c r="A64" i="4" s="1" a="1"/>
  <c r="A64" i="4" s="1"/>
  <c r="O65" i="4"/>
  <c r="A65" i="4" s="1" a="1"/>
  <c r="A65" i="4" s="1"/>
  <c r="O66" i="4"/>
  <c r="A66" i="4" s="1" a="1"/>
  <c r="A66" i="4" s="1"/>
  <c r="O67" i="4"/>
  <c r="A67" i="4" s="1" a="1"/>
  <c r="A67" i="4" s="1"/>
  <c r="O61" i="4"/>
  <c r="A61" i="4" s="1" a="1"/>
  <c r="A61" i="4" s="1"/>
  <c r="G59" i="18" l="1"/>
  <c r="G35" i="6"/>
  <c r="O35" i="6" s="1"/>
  <c r="A35" i="6" s="1" a="1"/>
  <c r="A35" i="6" s="1"/>
  <c r="G37" i="6"/>
  <c r="O37" i="6" s="1"/>
  <c r="A37" i="6" s="1" a="1"/>
  <c r="A37" i="6" s="1"/>
  <c r="G4" i="1" l="1"/>
  <c r="O16" i="4"/>
  <c r="N139" i="1"/>
  <c r="A2" i="13" l="1"/>
  <c r="G51" i="7" l="1"/>
  <c r="B97" i="13" l="1"/>
  <c r="B96" i="13"/>
  <c r="B95" i="13"/>
  <c r="B94" i="13"/>
  <c r="B93" i="13"/>
  <c r="B92" i="13"/>
  <c r="B91" i="13"/>
  <c r="B90" i="13"/>
  <c r="B89" i="13"/>
  <c r="B87" i="13"/>
  <c r="H67" i="24"/>
  <c r="O56" i="4"/>
  <c r="A56" i="4" s="1" a="1"/>
  <c r="A56" i="4" s="1"/>
  <c r="O55" i="4"/>
  <c r="A55" i="4" s="1" a="1"/>
  <c r="A55" i="4" s="1"/>
  <c r="O54" i="4"/>
  <c r="A54" i="4" s="1" a="1"/>
  <c r="A54" i="4" s="1"/>
  <c r="O53" i="4"/>
  <c r="A53" i="4" s="1" a="1"/>
  <c r="A53" i="4" s="1"/>
  <c r="O52" i="4"/>
  <c r="A52" i="4" s="1" a="1"/>
  <c r="A52" i="4" s="1"/>
  <c r="O51" i="4"/>
  <c r="A51" i="4" s="1" a="1"/>
  <c r="A51" i="4" s="1"/>
  <c r="O50" i="4"/>
  <c r="A50" i="4" s="1" a="1"/>
  <c r="A50" i="4" s="1"/>
  <c r="O49" i="4"/>
  <c r="A49" i="4" s="1" a="1"/>
  <c r="A49" i="4" s="1"/>
  <c r="O48" i="4"/>
  <c r="A48" i="4" s="1" a="1"/>
  <c r="A48" i="4" s="1"/>
  <c r="O47" i="4"/>
  <c r="A47" i="4" s="1" a="1"/>
  <c r="A47" i="4" s="1"/>
  <c r="O46" i="4"/>
  <c r="A46" i="4" s="1" a="1"/>
  <c r="A46" i="4" s="1"/>
  <c r="O40" i="4"/>
  <c r="A40" i="4" s="1" a="1"/>
  <c r="A40" i="4" s="1"/>
  <c r="O39" i="4"/>
  <c r="A39" i="4" s="1" a="1"/>
  <c r="A39" i="4" s="1"/>
  <c r="O37" i="4"/>
  <c r="A37" i="4" s="1" a="1"/>
  <c r="A37" i="4" s="1"/>
  <c r="O34" i="4"/>
  <c r="A34" i="4" s="1" a="1"/>
  <c r="A34" i="4" s="1"/>
  <c r="O33" i="4"/>
  <c r="A33" i="4" s="1" a="1"/>
  <c r="A33" i="4" s="1"/>
  <c r="A32" i="4" a="1"/>
  <c r="A32" i="4" s="1"/>
  <c r="A29" i="4" a="1"/>
  <c r="A29" i="4" s="1"/>
  <c r="O26" i="4"/>
  <c r="A26" i="4" s="1" a="1"/>
  <c r="A26" i="4" s="1"/>
  <c r="O25" i="4"/>
  <c r="A25" i="4" s="1" a="1"/>
  <c r="A25" i="4" s="1"/>
  <c r="O24" i="4"/>
  <c r="A24" i="4" s="1" a="1"/>
  <c r="A24" i="4" s="1"/>
  <c r="O23" i="4"/>
  <c r="A23" i="4" s="1" a="1"/>
  <c r="A23" i="4" s="1"/>
  <c r="O22" i="4"/>
  <c r="A22" i="4" s="1" a="1"/>
  <c r="A22" i="4" s="1"/>
  <c r="O19" i="4"/>
  <c r="A19" i="4" s="1" a="1"/>
  <c r="A19" i="4" s="1"/>
  <c r="O18" i="4"/>
  <c r="A18" i="4" s="1" a="1"/>
  <c r="A18" i="4" s="1"/>
  <c r="A16" i="4" a="1"/>
  <c r="A16" i="4" s="1"/>
  <c r="O15" i="4"/>
  <c r="A15" i="4" s="1" a="1"/>
  <c r="A15" i="4" s="1"/>
  <c r="O14" i="4"/>
  <c r="A14" i="4" s="1" a="1"/>
  <c r="A14" i="4" s="1"/>
  <c r="O13" i="4"/>
  <c r="A13" i="4" s="1" a="1"/>
  <c r="A13" i="4" s="1"/>
  <c r="O12" i="4"/>
  <c r="A12" i="4" s="1" a="1"/>
  <c r="A12" i="4" s="1"/>
  <c r="G4" i="4"/>
  <c r="D1" i="4"/>
  <c r="G62" i="18"/>
  <c r="E62" i="18"/>
  <c r="G56" i="18"/>
  <c r="O56" i="18" s="1"/>
  <c r="A56" i="18" s="1" a="1"/>
  <c r="A56" i="18" s="1"/>
  <c r="O55" i="18"/>
  <c r="A55" i="18" s="1" a="1"/>
  <c r="A55" i="18" s="1"/>
  <c r="O54" i="18"/>
  <c r="A54" i="18" s="1" a="1"/>
  <c r="A54" i="18" s="1"/>
  <c r="O53" i="18"/>
  <c r="A53" i="18" s="1" a="1"/>
  <c r="A53" i="18" s="1"/>
  <c r="O52" i="18"/>
  <c r="A52" i="18" s="1" a="1"/>
  <c r="A52" i="18" s="1"/>
  <c r="O51" i="18"/>
  <c r="A51" i="18" s="1" a="1"/>
  <c r="A51" i="18" s="1"/>
  <c r="O50" i="18"/>
  <c r="A50" i="18" s="1" a="1"/>
  <c r="A50" i="18" s="1"/>
  <c r="O49" i="18"/>
  <c r="A49" i="18" s="1" a="1"/>
  <c r="A49" i="18" s="1"/>
  <c r="O48" i="18"/>
  <c r="A48" i="18" s="1" a="1"/>
  <c r="A48" i="18" s="1"/>
  <c r="O44" i="18"/>
  <c r="A44" i="18" s="1" a="1"/>
  <c r="A44" i="18" s="1"/>
  <c r="G43" i="18"/>
  <c r="O43" i="18" s="1"/>
  <c r="A43" i="18" s="1" a="1"/>
  <c r="A43" i="18" s="1"/>
  <c r="E43" i="18"/>
  <c r="O42" i="18"/>
  <c r="A42" i="18" s="1" a="1"/>
  <c r="A42" i="18" s="1"/>
  <c r="O41" i="18"/>
  <c r="A41" i="18" s="1" a="1"/>
  <c r="A41" i="18" s="1"/>
  <c r="O40" i="18"/>
  <c r="A40" i="18" s="1" a="1"/>
  <c r="A40" i="18" s="1"/>
  <c r="O39" i="18"/>
  <c r="A39" i="18" s="1" a="1"/>
  <c r="A39" i="18" s="1"/>
  <c r="O38" i="18"/>
  <c r="A38" i="18" s="1" a="1"/>
  <c r="A38" i="18" s="1"/>
  <c r="O37" i="18"/>
  <c r="A37" i="18" s="1" a="1"/>
  <c r="A37" i="18" s="1"/>
  <c r="O33" i="18"/>
  <c r="A33" i="18" s="1" a="1"/>
  <c r="A33" i="18" s="1"/>
  <c r="O32" i="18"/>
  <c r="A32" i="18" s="1" a="1"/>
  <c r="A32" i="18" s="1"/>
  <c r="G31" i="18"/>
  <c r="O31" i="18" s="1"/>
  <c r="A31" i="18" s="1" a="1"/>
  <c r="A31" i="18" s="1"/>
  <c r="E31" i="18"/>
  <c r="O30" i="18"/>
  <c r="A30" i="18" s="1" a="1"/>
  <c r="A30" i="18" s="1"/>
  <c r="G29" i="18"/>
  <c r="O29" i="18" s="1"/>
  <c r="A29" i="18" s="1" a="1"/>
  <c r="A29" i="18" s="1"/>
  <c r="E29" i="18"/>
  <c r="O27" i="18"/>
  <c r="A27" i="18" s="1" a="1"/>
  <c r="A27" i="18" s="1"/>
  <c r="O26" i="18"/>
  <c r="A26" i="18" s="1" a="1"/>
  <c r="A26" i="18" s="1"/>
  <c r="G25" i="18"/>
  <c r="O25" i="18" s="1"/>
  <c r="A25" i="18" s="1" a="1"/>
  <c r="A25" i="18" s="1"/>
  <c r="E25" i="18"/>
  <c r="O24" i="18"/>
  <c r="A24" i="18" s="1" a="1"/>
  <c r="A24" i="18" s="1"/>
  <c r="E24" i="18"/>
  <c r="O22" i="18"/>
  <c r="A22" i="18" s="1" a="1"/>
  <c r="A22" i="18" s="1"/>
  <c r="O21" i="18"/>
  <c r="A21" i="18" s="1" a="1"/>
  <c r="A21" i="18" s="1"/>
  <c r="O20" i="18"/>
  <c r="A20" i="18" s="1" a="1"/>
  <c r="A20" i="18" s="1"/>
  <c r="O19" i="18"/>
  <c r="A19" i="18" s="1" a="1"/>
  <c r="A19" i="18" s="1"/>
  <c r="O18" i="18"/>
  <c r="A18" i="18" s="1" a="1"/>
  <c r="A18" i="18" s="1"/>
  <c r="O17" i="18"/>
  <c r="A17" i="18" s="1" a="1"/>
  <c r="A17" i="18" s="1"/>
  <c r="O16" i="18"/>
  <c r="A16" i="18" s="1" a="1"/>
  <c r="A16" i="18" s="1"/>
  <c r="O15" i="18"/>
  <c r="A15" i="18" s="1" a="1"/>
  <c r="A15" i="18" s="1"/>
  <c r="O14" i="18"/>
  <c r="A14" i="18" s="1" a="1"/>
  <c r="A14" i="18" s="1"/>
  <c r="E14" i="18"/>
  <c r="G13" i="18"/>
  <c r="O13" i="18" s="1"/>
  <c r="A13" i="18" s="1" a="1"/>
  <c r="A13" i="18" s="1"/>
  <c r="E13" i="18"/>
  <c r="G12" i="18"/>
  <c r="O12" i="18" s="1"/>
  <c r="A12" i="18" s="1" a="1"/>
  <c r="A12" i="18" s="1"/>
  <c r="E12" i="18"/>
  <c r="G4" i="18"/>
  <c r="D1" i="18"/>
  <c r="O77" i="7"/>
  <c r="A77" i="7" s="1" a="1"/>
  <c r="A77" i="7" s="1"/>
  <c r="N77" i="7"/>
  <c r="O76" i="7"/>
  <c r="A76" i="7" s="1" a="1"/>
  <c r="A76" i="7" s="1"/>
  <c r="N76" i="7"/>
  <c r="A75" i="7" a="1"/>
  <c r="A75" i="7" s="1"/>
  <c r="O70" i="7"/>
  <c r="A70" i="7" s="1" a="1"/>
  <c r="A70" i="7" s="1"/>
  <c r="N70" i="7"/>
  <c r="O69" i="7"/>
  <c r="A69" i="7" s="1" a="1"/>
  <c r="A69" i="7" s="1"/>
  <c r="N69" i="7"/>
  <c r="O68" i="7"/>
  <c r="A68" i="7" s="1" a="1"/>
  <c r="A68" i="7" s="1"/>
  <c r="N68" i="7"/>
  <c r="A66" i="7" a="1"/>
  <c r="A66" i="7" s="1"/>
  <c r="G64" i="7"/>
  <c r="O64" i="7" s="1"/>
  <c r="A64" i="7" s="1" a="1"/>
  <c r="A64" i="7" s="1"/>
  <c r="O63" i="7"/>
  <c r="A63" i="7" s="1" a="1"/>
  <c r="A63" i="7" s="1"/>
  <c r="N63" i="7"/>
  <c r="O62" i="7"/>
  <c r="A62" i="7" s="1" a="1"/>
  <c r="A62" i="7" s="1"/>
  <c r="N62" i="7"/>
  <c r="O61" i="7"/>
  <c r="A61" i="7" s="1" a="1"/>
  <c r="A61" i="7" s="1"/>
  <c r="N61" i="7"/>
  <c r="O60" i="7"/>
  <c r="A60" i="7" s="1" a="1"/>
  <c r="A60" i="7" s="1"/>
  <c r="N60" i="7"/>
  <c r="O59" i="7"/>
  <c r="A59" i="7" s="1" a="1"/>
  <c r="A59" i="7" s="1"/>
  <c r="N59" i="7"/>
  <c r="O58" i="7"/>
  <c r="A58" i="7" s="1" a="1"/>
  <c r="A58" i="7" s="1"/>
  <c r="N58" i="7"/>
  <c r="A57" i="7" a="1"/>
  <c r="A57" i="7" s="1"/>
  <c r="O51" i="7"/>
  <c r="A51" i="7" s="1" a="1"/>
  <c r="A51" i="7" s="1"/>
  <c r="N51" i="7"/>
  <c r="O50" i="7"/>
  <c r="A50" i="7" s="1" a="1"/>
  <c r="A50" i="7" s="1"/>
  <c r="N50" i="7"/>
  <c r="O49" i="7"/>
  <c r="A49" i="7" s="1" a="1"/>
  <c r="A49" i="7" s="1"/>
  <c r="N49" i="7"/>
  <c r="O48" i="7"/>
  <c r="A48" i="7" s="1" a="1"/>
  <c r="A48" i="7" s="1"/>
  <c r="N48" i="7"/>
  <c r="O47" i="7"/>
  <c r="A47" i="7" s="1" a="1"/>
  <c r="A47" i="7" s="1"/>
  <c r="N47" i="7"/>
  <c r="O46" i="7"/>
  <c r="A46" i="7" s="1" a="1"/>
  <c r="A46" i="7" s="1"/>
  <c r="N46" i="7"/>
  <c r="O45" i="7"/>
  <c r="A45" i="7" s="1" a="1"/>
  <c r="A45" i="7" s="1"/>
  <c r="N45" i="7"/>
  <c r="O44" i="7"/>
  <c r="A44" i="7" s="1" a="1"/>
  <c r="A44" i="7" s="1"/>
  <c r="N44" i="7"/>
  <c r="O43" i="7"/>
  <c r="A43" i="7" s="1" a="1"/>
  <c r="A43" i="7" s="1"/>
  <c r="N43" i="7"/>
  <c r="O42" i="7"/>
  <c r="A42" i="7" s="1" a="1"/>
  <c r="A42" i="7" s="1"/>
  <c r="N42" i="7"/>
  <c r="O41" i="7"/>
  <c r="A41" i="7" s="1" a="1"/>
  <c r="A41" i="7" s="1"/>
  <c r="N41" i="7"/>
  <c r="O40" i="7"/>
  <c r="A40" i="7" s="1" a="1"/>
  <c r="A40" i="7" s="1"/>
  <c r="N40" i="7"/>
  <c r="O39" i="7"/>
  <c r="N39" i="7"/>
  <c r="A39" i="7" a="1"/>
  <c r="A39" i="7" s="1"/>
  <c r="O38" i="7"/>
  <c r="A38" i="7" s="1" a="1"/>
  <c r="A38" i="7" s="1"/>
  <c r="N38" i="7"/>
  <c r="O37" i="7"/>
  <c r="A37" i="7" s="1" a="1"/>
  <c r="A37" i="7" s="1"/>
  <c r="N37" i="7"/>
  <c r="O36" i="7"/>
  <c r="A36" i="7" s="1" a="1"/>
  <c r="A36" i="7" s="1"/>
  <c r="N36" i="7"/>
  <c r="O35" i="7"/>
  <c r="A35" i="7" s="1" a="1"/>
  <c r="A35" i="7" s="1"/>
  <c r="N35" i="7"/>
  <c r="O34" i="7"/>
  <c r="A34" i="7" s="1" a="1"/>
  <c r="A34" i="7" s="1"/>
  <c r="N34" i="7"/>
  <c r="O33" i="7"/>
  <c r="A33" i="7" s="1" a="1"/>
  <c r="A33" i="7" s="1"/>
  <c r="N33" i="7"/>
  <c r="A32" i="7" a="1"/>
  <c r="A32" i="7" s="1"/>
  <c r="G30" i="7"/>
  <c r="O29" i="7"/>
  <c r="A29" i="7" s="1" a="1"/>
  <c r="A29" i="7" s="1"/>
  <c r="N29" i="7"/>
  <c r="O28" i="7"/>
  <c r="A28" i="7" s="1" a="1"/>
  <c r="A28" i="7" s="1"/>
  <c r="N28" i="7"/>
  <c r="O27" i="7"/>
  <c r="A27" i="7" s="1" a="1"/>
  <c r="A27" i="7" s="1"/>
  <c r="N27" i="7"/>
  <c r="O26" i="7"/>
  <c r="A26" i="7" s="1" a="1"/>
  <c r="A26" i="7" s="1"/>
  <c r="N26" i="7"/>
  <c r="O25" i="7"/>
  <c r="A25" i="7" s="1" a="1"/>
  <c r="A25" i="7" s="1"/>
  <c r="N25" i="7"/>
  <c r="O24" i="7"/>
  <c r="A24" i="7" a="1"/>
  <c r="A24" i="7" s="1"/>
  <c r="O23" i="7"/>
  <c r="A23" i="7" s="1" a="1"/>
  <c r="A23" i="7" s="1"/>
  <c r="N23" i="7"/>
  <c r="O22" i="7"/>
  <c r="A22" i="7" s="1" a="1"/>
  <c r="A22" i="7" s="1"/>
  <c r="N22" i="7"/>
  <c r="O21" i="7"/>
  <c r="A21" i="7" s="1" a="1"/>
  <c r="A21" i="7" s="1"/>
  <c r="N21" i="7"/>
  <c r="O20" i="7"/>
  <c r="A20" i="7" s="1" a="1"/>
  <c r="A20" i="7" s="1"/>
  <c r="N20" i="7"/>
  <c r="A19" i="7" a="1"/>
  <c r="A19" i="7" s="1"/>
  <c r="G17" i="7"/>
  <c r="O17" i="7" s="1"/>
  <c r="A17" i="7" s="1" a="1"/>
  <c r="A17" i="7" s="1"/>
  <c r="O16" i="7"/>
  <c r="A16" i="7" s="1" a="1"/>
  <c r="A16" i="7" s="1"/>
  <c r="N16" i="7"/>
  <c r="O15" i="7"/>
  <c r="N15" i="7"/>
  <c r="A15" i="7" a="1"/>
  <c r="A15" i="7" s="1"/>
  <c r="O14" i="7"/>
  <c r="A14" i="7" s="1" a="1"/>
  <c r="A14" i="7" s="1"/>
  <c r="N14" i="7"/>
  <c r="O13" i="7"/>
  <c r="A13" i="7" s="1" a="1"/>
  <c r="A13" i="7" s="1"/>
  <c r="N13" i="7"/>
  <c r="O12" i="7"/>
  <c r="A12" i="7" s="1" a="1"/>
  <c r="A12" i="7" s="1"/>
  <c r="N12" i="7"/>
  <c r="O11" i="7"/>
  <c r="A11" i="7" s="1" a="1"/>
  <c r="A11" i="7" s="1"/>
  <c r="N11" i="7"/>
  <c r="O10" i="7"/>
  <c r="A10" i="7" s="1" a="1"/>
  <c r="A10" i="7" s="1"/>
  <c r="N10" i="7"/>
  <c r="G4" i="7"/>
  <c r="D1" i="7"/>
  <c r="O57" i="15"/>
  <c r="O55" i="15"/>
  <c r="O53" i="15"/>
  <c r="O51" i="15"/>
  <c r="G49" i="15"/>
  <c r="O49" i="15" s="1"/>
  <c r="A49" i="15" s="1" a="1"/>
  <c r="A49" i="15" s="1"/>
  <c r="G48" i="15"/>
  <c r="O48" i="15" s="1"/>
  <c r="A48" i="15" s="1" a="1"/>
  <c r="A48" i="15" s="1"/>
  <c r="G47" i="15"/>
  <c r="O47" i="15" s="1"/>
  <c r="A47" i="15" s="1" a="1"/>
  <c r="A47" i="15" s="1"/>
  <c r="G46" i="15"/>
  <c r="O46" i="15" s="1"/>
  <c r="A46" i="15" s="1" a="1"/>
  <c r="A46" i="15" s="1"/>
  <c r="G45" i="15"/>
  <c r="O45" i="15" s="1"/>
  <c r="A45" i="15" s="1" a="1"/>
  <c r="A45" i="15" s="1"/>
  <c r="O44" i="15"/>
  <c r="O42" i="15"/>
  <c r="G40" i="15"/>
  <c r="O40" i="15" s="1"/>
  <c r="A40" i="15" s="1" a="1"/>
  <c r="A40" i="15" s="1"/>
  <c r="G38" i="15"/>
  <c r="O38" i="15" s="1"/>
  <c r="A38" i="15" s="1" a="1"/>
  <c r="A38" i="15" s="1"/>
  <c r="G37" i="15"/>
  <c r="G36" i="15"/>
  <c r="O36" i="15" s="1"/>
  <c r="A36" i="15" s="1" a="1"/>
  <c r="A36" i="15" s="1"/>
  <c r="O35" i="15"/>
  <c r="O33" i="15"/>
  <c r="G31" i="15"/>
  <c r="O31" i="15" s="1"/>
  <c r="A31" i="15" s="1" a="1"/>
  <c r="A31" i="15" s="1"/>
  <c r="O30" i="15"/>
  <c r="O28" i="15"/>
  <c r="O23" i="15"/>
  <c r="G4" i="15"/>
  <c r="D1" i="15"/>
  <c r="A55" i="6" a="1"/>
  <c r="A55" i="6" s="1"/>
  <c r="G54" i="6"/>
  <c r="O54" i="6" s="1"/>
  <c r="A53" i="6" s="1" a="1"/>
  <c r="A53" i="6" s="1"/>
  <c r="G43" i="6"/>
  <c r="O43" i="6" s="1"/>
  <c r="A43" i="6" s="1" a="1"/>
  <c r="A43" i="6" s="1"/>
  <c r="G36" i="6"/>
  <c r="O36" i="6" s="1"/>
  <c r="A36" i="6" s="1" a="1"/>
  <c r="A36" i="6" s="1"/>
  <c r="G34" i="6"/>
  <c r="O34" i="6" s="1"/>
  <c r="A34" i="6" s="1" a="1"/>
  <c r="A34" i="6" s="1"/>
  <c r="G33" i="6"/>
  <c r="G25" i="6"/>
  <c r="G14" i="6"/>
  <c r="O14" i="6" s="1"/>
  <c r="A14" i="6" s="1" a="1"/>
  <c r="A14" i="6" s="1"/>
  <c r="G13" i="6"/>
  <c r="O13" i="6" s="1"/>
  <c r="A13" i="6" s="1" a="1"/>
  <c r="A13" i="6" s="1"/>
  <c r="G12" i="6"/>
  <c r="O12" i="6" s="1"/>
  <c r="A12" i="6" s="1" a="1"/>
  <c r="A12" i="6" s="1"/>
  <c r="G11" i="6"/>
  <c r="G10" i="6"/>
  <c r="O10" i="6" s="1"/>
  <c r="A10" i="6" s="1" a="1"/>
  <c r="A10" i="6" s="1"/>
  <c r="G4" i="6"/>
  <c r="D1" i="6"/>
  <c r="O174" i="1"/>
  <c r="A174" i="1" s="1" a="1"/>
  <c r="A174" i="1" s="1"/>
  <c r="E173" i="1"/>
  <c r="G172" i="1"/>
  <c r="G52" i="6" s="1"/>
  <c r="O52" i="6" s="1"/>
  <c r="A51" i="6" s="1" a="1"/>
  <c r="A51" i="6" s="1"/>
  <c r="E171" i="1"/>
  <c r="E170" i="1"/>
  <c r="E172" i="1" s="1"/>
  <c r="O168" i="1"/>
  <c r="O167" i="1"/>
  <c r="O166" i="1"/>
  <c r="G44" i="6"/>
  <c r="O44" i="6" s="1"/>
  <c r="A44" i="6" s="1" a="1"/>
  <c r="A44" i="6" s="1"/>
  <c r="O163" i="1"/>
  <c r="A163" i="1" s="1" a="1"/>
  <c r="A163" i="1" s="1"/>
  <c r="O162" i="1"/>
  <c r="O160" i="1"/>
  <c r="G159" i="1"/>
  <c r="G50" i="15" s="1"/>
  <c r="O50" i="15" s="1"/>
  <c r="A50" i="15" s="1" a="1"/>
  <c r="A50" i="15" s="1"/>
  <c r="O158" i="1"/>
  <c r="A158" i="1" s="1" a="1"/>
  <c r="A158" i="1" s="1"/>
  <c r="O157" i="1"/>
  <c r="A157" i="1" s="1" a="1"/>
  <c r="A157" i="1" s="1"/>
  <c r="O156" i="1"/>
  <c r="A156" i="1" s="1" a="1"/>
  <c r="A156" i="1" s="1"/>
  <c r="O155" i="1"/>
  <c r="A155" i="1" s="1" a="1"/>
  <c r="A155" i="1" s="1"/>
  <c r="O154" i="1"/>
  <c r="A154" i="1" s="1" a="1"/>
  <c r="A154" i="1" s="1"/>
  <c r="O153" i="1"/>
  <c r="O152" i="1"/>
  <c r="O150" i="1"/>
  <c r="O148" i="1"/>
  <c r="A148" i="1" s="1" a="1"/>
  <c r="A148" i="1" s="1"/>
  <c r="O146" i="1"/>
  <c r="A146" i="1" s="1" a="1"/>
  <c r="A146" i="1" s="1"/>
  <c r="N146" i="1"/>
  <c r="O145" i="1"/>
  <c r="A145" i="1" s="1" a="1"/>
  <c r="A145" i="1" s="1"/>
  <c r="N145" i="1"/>
  <c r="O144" i="1"/>
  <c r="A144" i="1" s="1" a="1"/>
  <c r="A144" i="1" s="1"/>
  <c r="N144" i="1"/>
  <c r="O143" i="1"/>
  <c r="O142" i="1"/>
  <c r="O140" i="1"/>
  <c r="O139" i="1"/>
  <c r="A139" i="1" s="1" a="1"/>
  <c r="A139" i="1" s="1"/>
  <c r="O138" i="1"/>
  <c r="O136" i="1"/>
  <c r="O134" i="1"/>
  <c r="G133" i="1"/>
  <c r="O132" i="1"/>
  <c r="A132" i="1" s="1" a="1"/>
  <c r="A132" i="1" s="1"/>
  <c r="N132" i="1"/>
  <c r="O131" i="1"/>
  <c r="A131" i="1" s="1" a="1"/>
  <c r="A131" i="1" s="1"/>
  <c r="N131" i="1"/>
  <c r="O130" i="1"/>
  <c r="G128" i="1"/>
  <c r="H20" i="12" s="1"/>
  <c r="O127" i="1"/>
  <c r="A127" i="1" s="1" a="1"/>
  <c r="A127" i="1" s="1"/>
  <c r="N127" i="1"/>
  <c r="O126" i="1"/>
  <c r="A126" i="1" s="1" a="1"/>
  <c r="A126" i="1" s="1"/>
  <c r="N126" i="1"/>
  <c r="O125" i="1"/>
  <c r="A125" i="1" s="1" a="1"/>
  <c r="A125" i="1" s="1"/>
  <c r="N125" i="1"/>
  <c r="A124" i="1" a="1"/>
  <c r="A124" i="1" s="1"/>
  <c r="N124" i="1"/>
  <c r="O123" i="1"/>
  <c r="A123" i="1" s="1" a="1"/>
  <c r="A123" i="1" s="1"/>
  <c r="N123" i="1"/>
  <c r="O122" i="1"/>
  <c r="A122" i="1" s="1" a="1"/>
  <c r="A122" i="1" s="1"/>
  <c r="N122" i="1"/>
  <c r="O121" i="1"/>
  <c r="A121" i="1" s="1" a="1"/>
  <c r="A121" i="1" s="1"/>
  <c r="N121" i="1"/>
  <c r="O120" i="1"/>
  <c r="A120" i="1" s="1" a="1"/>
  <c r="A120" i="1" s="1"/>
  <c r="N120" i="1"/>
  <c r="O119" i="1"/>
  <c r="A119" i="1" s="1" a="1"/>
  <c r="A119" i="1" s="1"/>
  <c r="N119" i="1"/>
  <c r="O118" i="1"/>
  <c r="A118" i="1" s="1" a="1"/>
  <c r="A118" i="1" s="1"/>
  <c r="N118" i="1"/>
  <c r="O117" i="1"/>
  <c r="A117" i="1" s="1" a="1"/>
  <c r="A117" i="1" s="1"/>
  <c r="N117" i="1"/>
  <c r="O116" i="1"/>
  <c r="O115" i="1"/>
  <c r="G114" i="1"/>
  <c r="O112" i="1"/>
  <c r="A112" i="1" s="1" a="1"/>
  <c r="A112" i="1" s="1"/>
  <c r="N112" i="1"/>
  <c r="O111" i="1"/>
  <c r="A111" i="1" s="1" a="1"/>
  <c r="A111" i="1" s="1"/>
  <c r="N111" i="1"/>
  <c r="O110" i="1"/>
  <c r="A110" i="1" s="1" a="1"/>
  <c r="A110" i="1" s="1"/>
  <c r="N110" i="1"/>
  <c r="O109" i="1"/>
  <c r="A109" i="1" s="1" a="1"/>
  <c r="A109" i="1" s="1"/>
  <c r="N109" i="1"/>
  <c r="O108" i="1"/>
  <c r="A108" i="1" s="1" a="1"/>
  <c r="A108" i="1" s="1"/>
  <c r="N108" i="1"/>
  <c r="O107" i="1"/>
  <c r="A107" i="1" s="1" a="1"/>
  <c r="A107" i="1" s="1"/>
  <c r="N107" i="1"/>
  <c r="O106" i="1"/>
  <c r="A106" i="1" s="1" a="1"/>
  <c r="A106" i="1" s="1"/>
  <c r="N106" i="1"/>
  <c r="O105" i="1"/>
  <c r="A105" i="1" s="1" a="1"/>
  <c r="A105" i="1" s="1"/>
  <c r="N105" i="1"/>
  <c r="O104" i="1"/>
  <c r="O103" i="1"/>
  <c r="O101" i="1"/>
  <c r="G100" i="1"/>
  <c r="O100" i="1" s="1"/>
  <c r="A100" i="1" s="1" a="1"/>
  <c r="A100" i="1" s="1"/>
  <c r="O99" i="1"/>
  <c r="A99" i="1" s="1" a="1"/>
  <c r="A99" i="1" s="1"/>
  <c r="N99" i="1"/>
  <c r="O98" i="1"/>
  <c r="A98" i="1" s="1" a="1"/>
  <c r="A98" i="1" s="1"/>
  <c r="N98" i="1"/>
  <c r="O97" i="1"/>
  <c r="G96" i="1"/>
  <c r="G170" i="1" s="1"/>
  <c r="O95" i="1"/>
  <c r="A95" i="1" s="1" a="1"/>
  <c r="A95" i="1" s="1"/>
  <c r="N95" i="1"/>
  <c r="O94" i="1"/>
  <c r="A94" i="1" s="1" a="1"/>
  <c r="A94" i="1" s="1"/>
  <c r="N94" i="1"/>
  <c r="O93" i="1"/>
  <c r="A93" i="1" s="1" a="1"/>
  <c r="A93" i="1" s="1"/>
  <c r="N93" i="1"/>
  <c r="O92" i="1"/>
  <c r="O91" i="1"/>
  <c r="O90" i="1"/>
  <c r="A90" i="1" s="1" a="1"/>
  <c r="A90" i="1" s="1"/>
  <c r="O89" i="1"/>
  <c r="A89" i="1" s="1" a="1"/>
  <c r="A89" i="1" s="1"/>
  <c r="N89" i="1"/>
  <c r="O88" i="1"/>
  <c r="A88" i="1" s="1" a="1"/>
  <c r="A88" i="1" s="1"/>
  <c r="N88" i="1"/>
  <c r="O87" i="1"/>
  <c r="O86" i="1"/>
  <c r="G85" i="1"/>
  <c r="H18" i="12" s="1"/>
  <c r="O84" i="1"/>
  <c r="A84" i="1" s="1" a="1"/>
  <c r="A84" i="1" s="1"/>
  <c r="N84" i="1"/>
  <c r="O83" i="1"/>
  <c r="A83" i="1" s="1" a="1"/>
  <c r="A83" i="1" s="1"/>
  <c r="N83" i="1"/>
  <c r="O82" i="1"/>
  <c r="A82" i="1" s="1" a="1"/>
  <c r="A82" i="1" s="1"/>
  <c r="N82" i="1"/>
  <c r="O81" i="1"/>
  <c r="A81" i="1" s="1" a="1"/>
  <c r="A81" i="1" s="1"/>
  <c r="N81" i="1"/>
  <c r="O80" i="1"/>
  <c r="A80" i="1" s="1" a="1"/>
  <c r="A80" i="1" s="1"/>
  <c r="N80" i="1"/>
  <c r="O79" i="1"/>
  <c r="A79" i="1" s="1" a="1"/>
  <c r="A79" i="1" s="1"/>
  <c r="N79" i="1"/>
  <c r="O78" i="1"/>
  <c r="A78" i="1" s="1" a="1"/>
  <c r="A78" i="1" s="1"/>
  <c r="N78" i="1"/>
  <c r="O77" i="1"/>
  <c r="A77" i="1" s="1" a="1"/>
  <c r="A77" i="1" s="1"/>
  <c r="N77" i="1"/>
  <c r="O76" i="1"/>
  <c r="O75" i="1"/>
  <c r="G16" i="15"/>
  <c r="O16" i="15" s="1"/>
  <c r="A16" i="15" s="1" a="1"/>
  <c r="A16" i="15" s="1"/>
  <c r="O72" i="1"/>
  <c r="A72" i="1" s="1" a="1"/>
  <c r="A72" i="1" s="1"/>
  <c r="N72" i="1"/>
  <c r="O71" i="1"/>
  <c r="A71" i="1" s="1" a="1"/>
  <c r="A71" i="1" s="1"/>
  <c r="N71" i="1"/>
  <c r="O70" i="1"/>
  <c r="A70" i="1" s="1" a="1"/>
  <c r="A70" i="1" s="1"/>
  <c r="N70" i="1"/>
  <c r="O69" i="1"/>
  <c r="A69" i="1" s="1" a="1"/>
  <c r="A69" i="1" s="1"/>
  <c r="N69" i="1"/>
  <c r="O68" i="1"/>
  <c r="A68" i="1" s="1" a="1"/>
  <c r="A68" i="1" s="1"/>
  <c r="N68" i="1"/>
  <c r="O67" i="1"/>
  <c r="A67" i="1" s="1" a="1"/>
  <c r="A67" i="1" s="1"/>
  <c r="N67" i="1"/>
  <c r="O66" i="1"/>
  <c r="A66" i="1" s="1" a="1"/>
  <c r="A66" i="1" s="1"/>
  <c r="N66" i="1"/>
  <c r="O65" i="1"/>
  <c r="A65" i="1" s="1" a="1"/>
  <c r="A65" i="1" s="1"/>
  <c r="N65" i="1"/>
  <c r="O64" i="1"/>
  <c r="A64" i="1" s="1" a="1"/>
  <c r="A64" i="1" s="1"/>
  <c r="N64" i="1"/>
  <c r="O63" i="1"/>
  <c r="A63" i="1" s="1" a="1"/>
  <c r="A63" i="1" s="1"/>
  <c r="N63" i="1"/>
  <c r="O62" i="1"/>
  <c r="O53" i="1"/>
  <c r="A53" i="1" s="1" a="1"/>
  <c r="A53" i="1" s="1"/>
  <c r="N53" i="1"/>
  <c r="G14" i="15"/>
  <c r="O14" i="15" s="1"/>
  <c r="A14" i="15" s="1" a="1"/>
  <c r="A14" i="15" s="1"/>
  <c r="O51" i="1"/>
  <c r="A51" i="1" s="1" a="1"/>
  <c r="A51" i="1" s="1"/>
  <c r="N51" i="1"/>
  <c r="O50" i="1"/>
  <c r="A50" i="1" s="1" a="1"/>
  <c r="A50" i="1" s="1"/>
  <c r="N50" i="1"/>
  <c r="O49" i="1"/>
  <c r="A49" i="1" s="1" a="1"/>
  <c r="A49" i="1" s="1"/>
  <c r="N49" i="1"/>
  <c r="O48" i="1"/>
  <c r="O47" i="1"/>
  <c r="O46" i="1"/>
  <c r="A46" i="1" s="1" a="1"/>
  <c r="A46" i="1" s="1"/>
  <c r="N46" i="1"/>
  <c r="G45" i="1"/>
  <c r="N45" i="1" s="1"/>
  <c r="O44" i="1"/>
  <c r="A44" i="1" s="1" a="1"/>
  <c r="A44" i="1" s="1"/>
  <c r="N44" i="1"/>
  <c r="O43" i="1"/>
  <c r="A43" i="1" s="1" a="1"/>
  <c r="A43" i="1" s="1"/>
  <c r="N43" i="1"/>
  <c r="O42" i="1"/>
  <c r="A42" i="1" s="1" a="1"/>
  <c r="A42" i="1" s="1"/>
  <c r="N42" i="1"/>
  <c r="O41" i="1"/>
  <c r="A41" i="1" s="1" a="1"/>
  <c r="A41" i="1" s="1"/>
  <c r="N41" i="1"/>
  <c r="O40" i="1"/>
  <c r="O39" i="1"/>
  <c r="O38" i="1"/>
  <c r="A38" i="1" s="1" a="1"/>
  <c r="A38" i="1" s="1"/>
  <c r="N38" i="1"/>
  <c r="G37" i="1"/>
  <c r="N37" i="1" s="1"/>
  <c r="O36" i="1"/>
  <c r="A36" i="1" s="1" a="1"/>
  <c r="A36" i="1" s="1"/>
  <c r="N36" i="1"/>
  <c r="O35" i="1"/>
  <c r="A35" i="1" s="1" a="1"/>
  <c r="A35" i="1" s="1"/>
  <c r="N35" i="1"/>
  <c r="O34" i="1"/>
  <c r="A34" i="1" s="1" a="1"/>
  <c r="A34" i="1" s="1"/>
  <c r="N34" i="1"/>
  <c r="O33" i="1"/>
  <c r="A33" i="1" s="1" a="1"/>
  <c r="A33" i="1" s="1"/>
  <c r="N33" i="1"/>
  <c r="O32" i="1"/>
  <c r="A32" i="1" s="1" a="1"/>
  <c r="A32" i="1" s="1"/>
  <c r="N32" i="1"/>
  <c r="O31" i="1"/>
  <c r="O30" i="1"/>
  <c r="O29" i="1"/>
  <c r="A29" i="1" s="1" a="1"/>
  <c r="A29" i="1" s="1"/>
  <c r="N29" i="1"/>
  <c r="G28" i="1"/>
  <c r="G11" i="15" s="1"/>
  <c r="O11" i="15" s="1"/>
  <c r="A11" i="15" s="1" a="1"/>
  <c r="A11" i="15" s="1"/>
  <c r="O27" i="1"/>
  <c r="A27" i="1" s="1" a="1"/>
  <c r="A27" i="1" s="1"/>
  <c r="N27" i="1"/>
  <c r="O26" i="1"/>
  <c r="A26" i="1" s="1" a="1"/>
  <c r="A26" i="1" s="1"/>
  <c r="N26" i="1"/>
  <c r="O25" i="1"/>
  <c r="O24" i="1"/>
  <c r="O23" i="1"/>
  <c r="A23" i="1" s="1" a="1"/>
  <c r="A23" i="1" s="1"/>
  <c r="N23" i="1"/>
  <c r="G22" i="1"/>
  <c r="O21" i="1"/>
  <c r="A21" i="1" s="1" a="1"/>
  <c r="A21" i="1" s="1"/>
  <c r="N21" i="1"/>
  <c r="O20" i="1"/>
  <c r="A20" i="1" s="1" a="1"/>
  <c r="A20" i="1" s="1"/>
  <c r="N20" i="1"/>
  <c r="O19" i="1"/>
  <c r="A19" i="1" s="1" a="1"/>
  <c r="A19" i="1" s="1"/>
  <c r="N19" i="1"/>
  <c r="O18" i="1"/>
  <c r="A18" i="1" s="1" a="1"/>
  <c r="A18" i="1" s="1"/>
  <c r="N18" i="1"/>
  <c r="O17" i="1"/>
  <c r="A17" i="1" s="1" a="1"/>
  <c r="A17" i="1" s="1"/>
  <c r="N17" i="1"/>
  <c r="O16" i="1"/>
  <c r="A16" i="1" s="1" a="1"/>
  <c r="A16" i="1" s="1"/>
  <c r="N16" i="1"/>
  <c r="O15" i="1"/>
  <c r="O14" i="1"/>
  <c r="O13" i="1"/>
  <c r="A13" i="1" s="1" a="1"/>
  <c r="A13" i="1" s="1"/>
  <c r="N13" i="1"/>
  <c r="L13" i="1"/>
  <c r="G12" i="1"/>
  <c r="O11" i="1"/>
  <c r="A11" i="1" s="1" a="1"/>
  <c r="A11" i="1" s="1"/>
  <c r="N11" i="1"/>
  <c r="O10" i="1"/>
  <c r="A10" i="1" s="1" a="1"/>
  <c r="A10" i="1" s="1"/>
  <c r="N10" i="1"/>
  <c r="C3" i="1"/>
  <c r="B3" i="1"/>
  <c r="C2" i="1"/>
  <c r="B2" i="1"/>
  <c r="D1" i="1"/>
  <c r="G5" i="9"/>
  <c r="D1" i="9"/>
  <c r="H26" i="12"/>
  <c r="H13" i="12"/>
  <c r="H5" i="12"/>
  <c r="A2" i="12" a="1"/>
  <c r="A2" i="12" s="1"/>
  <c r="D1" i="12"/>
  <c r="D50" i="11"/>
  <c r="D37" i="11"/>
  <c r="F20" i="11"/>
  <c r="D1" i="11"/>
  <c r="A3" i="18" a="1"/>
  <c r="C9" i="16" a="1"/>
  <c r="C13" i="16" a="1"/>
  <c r="C18" i="16" a="1"/>
  <c r="A3" i="12" a="1"/>
  <c r="A3" i="15" a="1"/>
  <c r="C20" i="16" a="1"/>
  <c r="C15" i="16" a="1"/>
  <c r="C17" i="16" a="1"/>
  <c r="A3" i="7" a="1"/>
  <c r="A3" i="9" a="1"/>
  <c r="A13" i="16" a="1"/>
  <c r="A3" i="1" a="1"/>
  <c r="A3" i="6" a="1"/>
  <c r="C14" i="16" a="1"/>
  <c r="C19" i="16" a="1"/>
  <c r="A3" i="11" a="1"/>
  <c r="C12" i="16" a="1"/>
  <c r="A3" i="4" a="1"/>
  <c r="C16" i="16" a="1"/>
  <c r="H27" i="24" l="1"/>
  <c r="N12" i="1"/>
  <c r="G102" i="1"/>
  <c r="H146" i="24"/>
  <c r="H148" i="24" s="1"/>
  <c r="H149" i="24" s="1"/>
  <c r="H19" i="12"/>
  <c r="O22" i="1"/>
  <c r="A22" i="1" s="1" a="1"/>
  <c r="A22" i="1" s="1"/>
  <c r="A13" i="16"/>
  <c r="O22" i="15"/>
  <c r="A22" i="15" s="1" a="1"/>
  <c r="A22" i="15" s="1"/>
  <c r="O58" i="4"/>
  <c r="A58" i="4" s="1" a="1"/>
  <c r="A58" i="4" s="1"/>
  <c r="N30" i="7"/>
  <c r="H17" i="12"/>
  <c r="H16" i="12"/>
  <c r="G67" i="7"/>
  <c r="O67" i="7" s="1"/>
  <c r="A67" i="7" s="1" a="1"/>
  <c r="A67" i="7" s="1"/>
  <c r="G42" i="4"/>
  <c r="O42" i="4" s="1"/>
  <c r="A42" i="4" s="1" a="1"/>
  <c r="A42" i="4" s="1"/>
  <c r="G39" i="15"/>
  <c r="O39" i="15" s="1"/>
  <c r="A39" i="15" s="1" a="1"/>
  <c r="A39" i="15" s="1"/>
  <c r="O26" i="6"/>
  <c r="A26" i="6" s="1" a="1"/>
  <c r="A26" i="6" s="1"/>
  <c r="G38" i="6"/>
  <c r="P38" i="6" s="1"/>
  <c r="N64" i="7"/>
  <c r="O30" i="7"/>
  <c r="A30" i="7" s="1" a="1"/>
  <c r="A30" i="7" s="1"/>
  <c r="G53" i="7"/>
  <c r="O53" i="7" s="1"/>
  <c r="A53" i="7" s="1" a="1"/>
  <c r="A53" i="7" s="1"/>
  <c r="O159" i="1"/>
  <c r="A159" i="1" s="1" a="1"/>
  <c r="A159" i="1" s="1"/>
  <c r="O52" i="1"/>
  <c r="A52" i="1" s="1" a="1"/>
  <c r="A52" i="1" s="1"/>
  <c r="G12" i="15"/>
  <c r="O12" i="15" s="1"/>
  <c r="A12" i="15" s="1" a="1"/>
  <c r="A12" i="15" s="1"/>
  <c r="O37" i="1"/>
  <c r="A37" i="1" s="1" a="1"/>
  <c r="A37" i="1" s="1"/>
  <c r="O28" i="1"/>
  <c r="A28" i="1" s="1" a="1"/>
  <c r="A28" i="1" s="1"/>
  <c r="N28" i="1"/>
  <c r="G50" i="6"/>
  <c r="O50" i="6" s="1"/>
  <c r="A49" i="6" s="1" a="1"/>
  <c r="A49" i="6" s="1"/>
  <c r="O170" i="1"/>
  <c r="A170" i="1" s="1" a="1"/>
  <c r="A170" i="1" s="1"/>
  <c r="N100" i="1"/>
  <c r="O12" i="1"/>
  <c r="A12" i="1" s="1" a="1"/>
  <c r="A12" i="1" s="1"/>
  <c r="O45" i="1"/>
  <c r="A45" i="1" s="1" a="1"/>
  <c r="A45" i="1" s="1"/>
  <c r="G10" i="15"/>
  <c r="O10" i="15" s="1"/>
  <c r="A10" i="15" s="1" a="1"/>
  <c r="A10" i="15" s="1"/>
  <c r="G19" i="15"/>
  <c r="O19" i="15" s="1"/>
  <c r="A19" i="15" s="1" a="1"/>
  <c r="A19" i="15" s="1"/>
  <c r="G55" i="7"/>
  <c r="N96" i="1"/>
  <c r="N52" i="1"/>
  <c r="G20" i="15"/>
  <c r="O20" i="15" s="1"/>
  <c r="A20" i="15" s="1" a="1"/>
  <c r="A20" i="15" s="1"/>
  <c r="N22" i="1"/>
  <c r="O96" i="1"/>
  <c r="A96" i="1" s="1" a="1"/>
  <c r="A96" i="1" s="1"/>
  <c r="G173" i="1"/>
  <c r="G13" i="15"/>
  <c r="O13" i="15" s="1"/>
  <c r="A13" i="15" s="1" a="1"/>
  <c r="A13" i="15" s="1"/>
  <c r="N17" i="7"/>
  <c r="O62" i="18"/>
  <c r="A62" i="18" s="1" a="1"/>
  <c r="A62" i="18" s="1"/>
  <c r="N128" i="1"/>
  <c r="G19" i="6"/>
  <c r="O19" i="6" s="1"/>
  <c r="A19" i="6" s="1" a="1"/>
  <c r="A19" i="6" s="1"/>
  <c r="O128" i="1"/>
  <c r="A128" i="1" s="1" a="1"/>
  <c r="A128" i="1" s="1"/>
  <c r="G25" i="15"/>
  <c r="O25" i="15" s="1"/>
  <c r="A25" i="15" s="1" a="1"/>
  <c r="A25" i="15" s="1"/>
  <c r="G18" i="15"/>
  <c r="O18" i="15" s="1"/>
  <c r="A18" i="15" s="1" a="1"/>
  <c r="A18" i="15" s="1"/>
  <c r="N90" i="1"/>
  <c r="N74" i="1"/>
  <c r="O74" i="1"/>
  <c r="A74" i="1" s="1" a="1"/>
  <c r="A74" i="1" s="1"/>
  <c r="N113" i="1"/>
  <c r="O147" i="1"/>
  <c r="A147" i="1" s="1" a="1"/>
  <c r="A147" i="1" s="1"/>
  <c r="O164" i="1"/>
  <c r="A164" i="1" s="1" a="1"/>
  <c r="A164" i="1" s="1"/>
  <c r="G149" i="1"/>
  <c r="O149" i="1" s="1"/>
  <c r="A149" i="1" s="1" a="1"/>
  <c r="A149" i="1" s="1"/>
  <c r="O114" i="1"/>
  <c r="A114" i="1" s="1" a="1"/>
  <c r="A114" i="1" s="1"/>
  <c r="N114" i="1"/>
  <c r="H12" i="12"/>
  <c r="H14" i="12" s="1"/>
  <c r="G64" i="18" s="1"/>
  <c r="O64" i="18" s="1"/>
  <c r="A64" i="18" s="1" a="1"/>
  <c r="A64" i="18" s="1"/>
  <c r="H9" i="12"/>
  <c r="H56" i="12" s="1"/>
  <c r="G24" i="15"/>
  <c r="O24" i="15" s="1"/>
  <c r="A24" i="15" s="1" a="1"/>
  <c r="A24" i="15" s="1"/>
  <c r="O113" i="1"/>
  <c r="A113" i="1" s="1" a="1"/>
  <c r="A113" i="1" s="1"/>
  <c r="G171" i="1"/>
  <c r="G135" i="1"/>
  <c r="O135" i="1" s="1"/>
  <c r="A135" i="1" s="1" a="1"/>
  <c r="A135" i="1" s="1"/>
  <c r="O37" i="15"/>
  <c r="A37" i="15" s="1" a="1"/>
  <c r="A37" i="15" s="1"/>
  <c r="O33" i="6"/>
  <c r="A33" i="6" s="1" a="1"/>
  <c r="A33" i="6" s="1"/>
  <c r="G45" i="18"/>
  <c r="O45" i="18" s="1"/>
  <c r="A45" i="18" s="1" a="1"/>
  <c r="A45" i="18" s="1"/>
  <c r="O25" i="6"/>
  <c r="A25" i="6" s="1" a="1"/>
  <c r="A25" i="6" s="1"/>
  <c r="O172" i="1"/>
  <c r="A172" i="1" s="1" a="1"/>
  <c r="A172" i="1" s="1"/>
  <c r="G18" i="6"/>
  <c r="N133" i="1"/>
  <c r="O133" i="1"/>
  <c r="A133" i="1" s="1" a="1"/>
  <c r="A133" i="1" s="1"/>
  <c r="G26" i="15"/>
  <c r="O11" i="6"/>
  <c r="A11" i="6" s="1" a="1"/>
  <c r="A11" i="6" s="1"/>
  <c r="G17" i="15"/>
  <c r="N85" i="1"/>
  <c r="O85" i="1"/>
  <c r="A85" i="1" s="1" a="1"/>
  <c r="A85" i="1" s="1"/>
  <c r="C9" i="16"/>
  <c r="C20" i="16"/>
  <c r="A3" i="6"/>
  <c r="C18" i="16"/>
  <c r="A3" i="9"/>
  <c r="C15" i="16"/>
  <c r="C13" i="16"/>
  <c r="A3" i="4"/>
  <c r="C17" i="16"/>
  <c r="A3" i="12"/>
  <c r="A3" i="1"/>
  <c r="C19" i="16"/>
  <c r="A3" i="11"/>
  <c r="A3" i="7"/>
  <c r="A3" i="18"/>
  <c r="C12" i="16"/>
  <c r="C14" i="16"/>
  <c r="C16" i="16"/>
  <c r="A3" i="15"/>
  <c r="G15" i="6"/>
  <c r="O93" i="4" l="1"/>
  <c r="O236" i="4"/>
  <c r="O231" i="4"/>
  <c r="O225" i="4"/>
  <c r="O232" i="4"/>
  <c r="O227" i="4"/>
  <c r="O221" i="4"/>
  <c r="O234" i="4"/>
  <c r="O230" i="4"/>
  <c r="O222" i="4"/>
  <c r="O223" i="4"/>
  <c r="O224" i="4"/>
  <c r="O233" i="4"/>
  <c r="O114" i="4"/>
  <c r="A114" i="4" s="1" a="1"/>
  <c r="A114" i="4" s="1"/>
  <c r="O11" i="4"/>
  <c r="A11" i="4" s="1" a="1"/>
  <c r="A11" i="4" s="1"/>
  <c r="O169" i="4"/>
  <c r="A169" i="4" s="1" a="1"/>
  <c r="A169" i="4" s="1"/>
  <c r="O165" i="4"/>
  <c r="A165" i="4" s="1" a="1"/>
  <c r="A165" i="4" s="1"/>
  <c r="A189" i="4" a="1"/>
  <c r="A189" i="4" s="1"/>
  <c r="O92" i="4"/>
  <c r="E92" i="4" s="1" a="1"/>
  <c r="E92" i="4" s="1"/>
  <c r="O91" i="4"/>
  <c r="E91" i="4" s="1" a="1"/>
  <c r="E91" i="4" s="1"/>
  <c r="E90" i="4" a="1"/>
  <c r="E90" i="4" s="1"/>
  <c r="O89" i="4"/>
  <c r="E89" i="4" s="1" a="1"/>
  <c r="E89" i="4" s="1"/>
  <c r="O94" i="4"/>
  <c r="E94" i="4" s="1" a="1"/>
  <c r="E94" i="4" s="1"/>
  <c r="E93" i="4" a="1"/>
  <c r="E93" i="4" s="1"/>
  <c r="N102" i="1"/>
  <c r="O61" i="18"/>
  <c r="G9" i="9"/>
  <c r="N67" i="7"/>
  <c r="G71" i="7"/>
  <c r="N71" i="7" s="1"/>
  <c r="O38" i="6"/>
  <c r="A38" i="6" s="1" a="1"/>
  <c r="A38" i="6" s="1"/>
  <c r="G28" i="6"/>
  <c r="P28" i="6" s="1"/>
  <c r="G41" i="15"/>
  <c r="O41" i="15" s="1"/>
  <c r="A41" i="15" s="1" a="1"/>
  <c r="A41" i="15" s="1"/>
  <c r="O55" i="7"/>
  <c r="A55" i="7" s="1" a="1"/>
  <c r="A55" i="7" s="1"/>
  <c r="G20" i="6"/>
  <c r="G22" i="6" s="1"/>
  <c r="O102" i="1"/>
  <c r="A102" i="1" s="1" a="1"/>
  <c r="A102" i="1" s="1"/>
  <c r="G21" i="15"/>
  <c r="O21" i="15" s="1"/>
  <c r="A21" i="15" s="1" a="1"/>
  <c r="A21" i="15" s="1"/>
  <c r="O173" i="1"/>
  <c r="A173" i="1" s="1" a="1"/>
  <c r="A173" i="1" s="1"/>
  <c r="G53" i="6"/>
  <c r="O53" i="6" s="1"/>
  <c r="A52" i="6" s="1" a="1"/>
  <c r="A52" i="6" s="1"/>
  <c r="H8" i="12"/>
  <c r="G137" i="1"/>
  <c r="G141" i="1" s="1"/>
  <c r="N3" i="1" a="1"/>
  <c r="N3" i="1" s="1"/>
  <c r="G51" i="6"/>
  <c r="O51" i="6" s="1"/>
  <c r="A50" i="6" s="1" a="1"/>
  <c r="A50" i="6" s="1"/>
  <c r="O171" i="1"/>
  <c r="A171" i="1" s="1" a="1"/>
  <c r="A171" i="1" s="1"/>
  <c r="O17" i="15"/>
  <c r="A17" i="15" s="1" a="1"/>
  <c r="A17" i="15" s="1"/>
  <c r="O18" i="6"/>
  <c r="A18" i="6" s="1" a="1"/>
  <c r="A18" i="6" s="1"/>
  <c r="O26" i="15"/>
  <c r="A26" i="15" s="1" a="1"/>
  <c r="A26" i="15" s="1"/>
  <c r="G27" i="15"/>
  <c r="O27" i="15" s="1"/>
  <c r="A27" i="15" s="1" a="1"/>
  <c r="A27" i="15" s="1"/>
  <c r="O15" i="6"/>
  <c r="A15" i="6" s="1" a="1"/>
  <c r="A15" i="6" s="1"/>
  <c r="B14" i="16" a="1"/>
  <c r="A89" i="4" l="1" a="1"/>
  <c r="A89" i="4" s="1"/>
  <c r="A93" i="4" a="1"/>
  <c r="A93" i="4" s="1"/>
  <c r="A94" i="4" a="1"/>
  <c r="A94" i="4" s="1"/>
  <c r="A90" i="4" a="1"/>
  <c r="A90" i="4" s="1"/>
  <c r="A91" i="4" a="1"/>
  <c r="A91" i="4" s="1"/>
  <c r="A92" i="4" a="1"/>
  <c r="A92" i="4" s="1"/>
  <c r="H57" i="12"/>
  <c r="H50" i="12"/>
  <c r="H61" i="12"/>
  <c r="H151" i="24"/>
  <c r="H106" i="24"/>
  <c r="H110" i="24"/>
  <c r="H155" i="24"/>
  <c r="G73" i="7"/>
  <c r="O73" i="7" s="1"/>
  <c r="A73" i="7" s="1" a="1"/>
  <c r="A73" i="7" s="1"/>
  <c r="H27" i="12"/>
  <c r="G11" i="9" s="1"/>
  <c r="H60" i="12"/>
  <c r="O71" i="7"/>
  <c r="A71" i="7" s="1" a="1"/>
  <c r="A71" i="7" s="1"/>
  <c r="O28" i="6"/>
  <c r="A28" i="6" s="1" a="1"/>
  <c r="A28" i="6" s="1"/>
  <c r="O20" i="6"/>
  <c r="A20" i="6" s="1" a="1"/>
  <c r="A20" i="6" s="1"/>
  <c r="P20" i="6"/>
  <c r="R15" i="6"/>
  <c r="H49" i="12"/>
  <c r="H46" i="12"/>
  <c r="H28" i="12"/>
  <c r="O137" i="1"/>
  <c r="A137" i="1" s="1" a="1"/>
  <c r="A137" i="1" s="1"/>
  <c r="H53" i="12"/>
  <c r="H45" i="12"/>
  <c r="H47" i="12"/>
  <c r="H44" i="12"/>
  <c r="H48" i="12"/>
  <c r="B14" i="16"/>
  <c r="G29" i="15"/>
  <c r="G32" i="15" s="1"/>
  <c r="O141" i="1"/>
  <c r="A141" i="1" s="1" a="1"/>
  <c r="A141" i="1" s="1"/>
  <c r="G151" i="1"/>
  <c r="G161" i="1" s="1"/>
  <c r="H37" i="12"/>
  <c r="H38" i="12" s="1"/>
  <c r="G169" i="1"/>
  <c r="G176" i="1" s="1"/>
  <c r="G30" i="6"/>
  <c r="G40" i="6" s="1"/>
  <c r="O22" i="6"/>
  <c r="A22" i="6" s="1" a="1"/>
  <c r="A22" i="6" s="1"/>
  <c r="P30" i="6" l="1"/>
  <c r="G34" i="15"/>
  <c r="O29" i="15"/>
  <c r="A29" i="15" s="1" a="1"/>
  <c r="A29" i="15" s="1"/>
  <c r="G49" i="6"/>
  <c r="O49" i="6" s="1"/>
  <c r="A48" i="6" s="1" a="1"/>
  <c r="A48" i="6" s="1"/>
  <c r="O169" i="1"/>
  <c r="A169" i="1" s="1" a="1"/>
  <c r="A169" i="1" s="1"/>
  <c r="O151" i="1"/>
  <c r="A151" i="1" s="1" a="1"/>
  <c r="A151" i="1" s="1"/>
  <c r="H35" i="12"/>
  <c r="H36" i="12" s="1"/>
  <c r="O30" i="6"/>
  <c r="A30" i="6" s="1" a="1"/>
  <c r="A30" i="6" s="1"/>
  <c r="P40" i="6" l="1"/>
  <c r="O34" i="15"/>
  <c r="A34" i="15" s="1" a="1"/>
  <c r="A34" i="15" s="1"/>
  <c r="G43" i="15"/>
  <c r="O32" i="15"/>
  <c r="A32" i="15" s="1" a="1"/>
  <c r="A32" i="15" s="1"/>
  <c r="H39" i="12"/>
  <c r="O176" i="1"/>
  <c r="A176" i="1" s="1" a="1"/>
  <c r="A176" i="1" s="1"/>
  <c r="G58" i="15"/>
  <c r="O58" i="15" s="1"/>
  <c r="A58" i="15" s="1" a="1"/>
  <c r="A58" i="15" s="1"/>
  <c r="G55" i="6"/>
  <c r="O55" i="6" s="1"/>
  <c r="A54" i="6" s="1" a="1"/>
  <c r="A54" i="6" s="1"/>
  <c r="H31" i="12"/>
  <c r="H32" i="12" s="1"/>
  <c r="G165" i="1"/>
  <c r="O161" i="1"/>
  <c r="A161" i="1" s="1" a="1"/>
  <c r="A161" i="1" s="1"/>
  <c r="G45" i="6"/>
  <c r="O40" i="6"/>
  <c r="A40" i="6" s="1" a="1"/>
  <c r="A40" i="6" s="1"/>
  <c r="G10" i="18"/>
  <c r="H40" i="12" l="1"/>
  <c r="H105" i="24"/>
  <c r="P45" i="6"/>
  <c r="G52" i="15"/>
  <c r="O43" i="15"/>
  <c r="A43" i="15" s="1" a="1"/>
  <c r="A43" i="15" s="1"/>
  <c r="G56" i="15"/>
  <c r="O56" i="15" s="1"/>
  <c r="A56" i="15" s="1" a="1"/>
  <c r="A56" i="15" s="1"/>
  <c r="O165" i="1"/>
  <c r="A165" i="1" s="1" a="1"/>
  <c r="A165" i="1" s="1"/>
  <c r="A2" i="1" s="1" a="1"/>
  <c r="A2" i="1" s="1"/>
  <c r="H33" i="12"/>
  <c r="G34" i="18"/>
  <c r="O10" i="18"/>
  <c r="A10" i="18" s="1" a="1"/>
  <c r="A10" i="18" s="1"/>
  <c r="G38" i="4"/>
  <c r="O45" i="6"/>
  <c r="A45" i="6" s="1" a="1"/>
  <c r="A45" i="6" s="1"/>
  <c r="A2" i="6" s="1" a="1"/>
  <c r="A2" i="6" s="1"/>
  <c r="A14" i="16" a="1"/>
  <c r="A15" i="16" a="1"/>
  <c r="G10" i="9" l="1"/>
  <c r="O52" i="15"/>
  <c r="A52" i="15" s="1" a="1"/>
  <c r="A52" i="15" s="1"/>
  <c r="G54" i="15"/>
  <c r="O54" i="15" s="1"/>
  <c r="A54" i="15" s="1" a="1"/>
  <c r="A54" i="15" s="1"/>
  <c r="A14" i="16"/>
  <c r="A15" i="16"/>
  <c r="O38" i="4"/>
  <c r="A38" i="4" s="1" a="1"/>
  <c r="A38" i="4" s="1"/>
  <c r="G41" i="4"/>
  <c r="G43" i="4" s="1"/>
  <c r="G58" i="18"/>
  <c r="O58" i="18" s="1"/>
  <c r="O34" i="18"/>
  <c r="A34" i="18" s="1" a="1"/>
  <c r="A34" i="18" s="1"/>
  <c r="H21" i="12"/>
  <c r="H25" i="12" s="1"/>
  <c r="G16" i="9" l="1"/>
  <c r="G15" i="9"/>
  <c r="G23" i="9" s="1"/>
  <c r="G14" i="9"/>
  <c r="A2" i="15" a="1"/>
  <c r="A2" i="15" s="1"/>
  <c r="H22" i="12"/>
  <c r="G78" i="7"/>
  <c r="O43" i="4"/>
  <c r="A43" i="4" s="1" a="1"/>
  <c r="A43" i="4" s="1"/>
  <c r="O41" i="4"/>
  <c r="A41" i="4" s="1" a="1"/>
  <c r="A41" i="4" s="1"/>
  <c r="A16" i="16" a="1"/>
  <c r="G18" i="9" l="1"/>
  <c r="G24" i="9" s="1"/>
  <c r="G26" i="9" s="1"/>
  <c r="A16" i="16"/>
  <c r="A2" i="4" a="1"/>
  <c r="A2" i="4" s="1"/>
  <c r="G79" i="7"/>
  <c r="G81" i="7" s="1"/>
  <c r="N78" i="7"/>
  <c r="H34" i="12"/>
  <c r="O78" i="7"/>
  <c r="A78" i="7" s="1" a="1"/>
  <c r="A78" i="7" s="1"/>
  <c r="A19" i="16" a="1"/>
  <c r="H28" i="9" l="1"/>
  <c r="E20" i="11"/>
  <c r="N20" i="11" s="1"/>
  <c r="E19" i="11"/>
  <c r="N19" i="11" s="1"/>
  <c r="A19" i="16"/>
  <c r="N79" i="7"/>
  <c r="N3" i="7" s="1" a="1"/>
  <c r="N3" i="7" s="1"/>
  <c r="O79" i="7"/>
  <c r="A79" i="7" s="1" a="1"/>
  <c r="A79" i="7" s="1"/>
  <c r="B17" i="16" a="1"/>
  <c r="N3" i="11" l="1" a="1"/>
  <c r="N3" i="11" s="1"/>
  <c r="H26" i="9"/>
  <c r="F26" i="9"/>
  <c r="F27" i="9"/>
  <c r="B17" i="16"/>
  <c r="P81" i="7"/>
  <c r="O81" i="7"/>
  <c r="B9" i="16" a="1"/>
  <c r="B9" i="16" l="1"/>
  <c r="H3" i="9" a="1"/>
  <c r="H3" i="9" s="1"/>
  <c r="A81" i="7" a="1"/>
  <c r="A81" i="7" s="1"/>
  <c r="A2" i="7" s="1" a="1"/>
  <c r="A2" i="7" s="1"/>
  <c r="A17" i="16" a="1"/>
  <c r="B13" i="16" a="1"/>
  <c r="B13" i="16" l="1"/>
  <c r="B1" i="16" s="1"/>
  <c r="A17" i="16"/>
  <c r="P58" i="18" l="1"/>
  <c r="A58" i="18" s="1" a="1"/>
  <c r="A58" i="18" s="1"/>
  <c r="A61" i="18" a="1"/>
  <c r="A61" i="18" s="1"/>
  <c r="A2" i="18" l="1" a="1"/>
  <c r="A2" i="18" s="1"/>
  <c r="A18" i="16" a="1"/>
  <c r="A18" i="16" l="1"/>
  <c r="A1" i="16" s="1"/>
  <c r="A1" i="9" l="1"/>
  <c r="A1" i="21"/>
  <c r="A1" i="11"/>
  <c r="A1" i="7"/>
  <c r="A1" i="13"/>
  <c r="A1" i="12"/>
  <c r="A1" i="15"/>
  <c r="A1" i="1"/>
  <c r="A1" i="18"/>
  <c r="A1" i="24"/>
  <c r="A1" i="4"/>
  <c r="A1" i="6"/>
  <c r="C21" i="16" a="1"/>
  <c r="C21"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HAND, Thomas</author>
  </authors>
  <commentList>
    <comment ref="B108" authorId="0" shapeId="0" xr:uid="{42C050F5-EBBF-438E-B3B8-7E0CA74A9750}">
      <text>
        <r>
          <rPr>
            <b/>
            <sz val="9"/>
            <color indexed="81"/>
            <rFont val="Tahoma"/>
            <family val="2"/>
          </rPr>
          <t xml:space="preserve">Single- or multi-sited
</t>
        </r>
        <r>
          <rPr>
            <sz val="9"/>
            <color indexed="81"/>
            <rFont val="Tahoma"/>
            <family val="2"/>
          </rPr>
          <t xml:space="preserve">This question is to enable comparison with other similar colleges. A college with multi delivery sites means more than one geographical location operated by a corporation from which further education provision is delivered. A delivery site could in practice be labelled as a campus, college, or farm, or with another similar term.  Colleges with two sites, perhaps in different towns, will have different cost profiles and curriculum efficiency measures than single-sited colleges. When deciding how to answer this question, think about whether you have a reception, food available for students, constant senior management presence. It is unlikely that e.g. a shop in the town centre would meet the criteria for being a second site.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HARRISON, Robert</author>
  </authors>
  <commentList>
    <comment ref="G175" authorId="0" shapeId="0" xr:uid="{7D77EA2A-A535-4D7B-9152-21C7A3D8CB35}">
      <text>
        <r>
          <rPr>
            <b/>
            <sz val="9"/>
            <color indexed="81"/>
            <rFont val="Tahoma"/>
            <family val="2"/>
          </rPr>
          <t>Movement in holiday pay accrual:</t>
        </r>
        <r>
          <rPr>
            <sz val="9"/>
            <color indexed="81"/>
            <rFont val="Tahoma"/>
            <family val="2"/>
          </rPr>
          <t xml:space="preserve">
For an increase in the provision, the value entered should be +ve, for a decrease in provision, the value entered should be -ve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HUDSON, Rory</author>
    <author>HARRISON, Robert</author>
    <author>Andrew Brown</author>
    <author>HAND, Thomas</author>
  </authors>
  <commentList>
    <comment ref="B11" authorId="0" shapeId="0" xr:uid="{BAB90290-0E42-4E91-9033-575EB38F1543}">
      <text>
        <r>
          <rPr>
            <sz val="9"/>
            <color indexed="81"/>
            <rFont val="Tahoma"/>
            <family val="2"/>
          </rPr>
          <t>Where there has been a change in Accounting Officer in the year, enter the cumulative amount paid or due as basic salaries to all Accounting Officers in the period. Please give further details in the narrative box, including the salary paid to each Accounting Officer and their start/leave date.
PLEASE DO NOT INCLUDE EMPLOYERS' NATIONAL INSURANCE CONTRIBUTIONS AND CHECK THAT THE AMOUNTS DISCLOSED MATCH YOUR COLLEGE’S AUDITED FINANCIAL STATEMENTS.
In rare cases where merger accounting is being applied, include the Accounting Officer's salary relating to the college completing this 
Finance Record. In these rare examples please do not include the additional Accounting Officer's salary of e.g. a dissolving college entity even if this is expressed differently in your audited financial statements.</t>
        </r>
      </text>
    </comment>
    <comment ref="G11" authorId="1" shapeId="0" xr:uid="{A571990C-1987-42E7-8623-ABBAFD919775}">
      <text>
        <r>
          <rPr>
            <sz val="9"/>
            <color indexed="81"/>
            <rFont val="Tahoma"/>
            <family val="2"/>
          </rPr>
          <t xml:space="preserve">Accounting Officer remuneration recorded here must be comprehensive and fully comply with the College Accounts Direction Annex D part v. </t>
        </r>
        <r>
          <rPr>
            <i/>
            <sz val="9"/>
            <color indexed="81"/>
            <rFont val="Tahoma"/>
            <family val="2"/>
          </rPr>
          <t>Remuneration of key management personnel and higher-paid staff</t>
        </r>
        <r>
          <rPr>
            <sz val="9"/>
            <color indexed="81"/>
            <rFont val="Tahoma"/>
            <family val="2"/>
          </rPr>
          <t xml:space="preserve">,  parts (b) and (e)
</t>
        </r>
      </text>
    </comment>
    <comment ref="B12" authorId="0" shapeId="0" xr:uid="{1C6B44D2-8B8D-4182-84CA-6D07BA8B463B}">
      <text>
        <r>
          <rPr>
            <sz val="9"/>
            <color indexed="81"/>
            <rFont val="Tahoma"/>
            <family val="2"/>
          </rPr>
          <t xml:space="preserve">Where there has been a change in Accounting Officer in the year, enter the cumulative amount paid or due as performance related pay and/or bonuses to all Accounting Officers in the period. Please provide further detail within the narrative box, including bonus/ performance related pay paid to each Accounting Officer and their start &amp; leave date.
</t>
        </r>
      </text>
    </comment>
    <comment ref="B14" authorId="0" shapeId="0" xr:uid="{26F0AD87-2F9C-41D7-8B43-FB0F6237189E}">
      <text>
        <r>
          <rPr>
            <sz val="9"/>
            <color indexed="81"/>
            <rFont val="Tahoma"/>
            <family val="2"/>
          </rPr>
          <t>Where there has been a change in Accounting Officer in the year, enter the cumulative amount paid or due to all the Accounting Officers in the period. Please give further details in the narrative box including the benefits in kind / Other emoluments paid to each Accounting Officer and their start/leave date.
Please include payments made to Accounting Officers in lieu of pension contributions as other emoluments. Please include further details of such payments in the narrative box.</t>
        </r>
      </text>
    </comment>
    <comment ref="F83" authorId="2" shapeId="0" xr:uid="{D1853F87-32B9-4938-A274-9AFC22D37CAE}">
      <text>
        <r>
          <rPr>
            <sz val="9"/>
            <color rgb="FF000000"/>
            <rFont val="Tahoma"/>
            <family val="2"/>
          </rPr>
          <t xml:space="preserve">What additional % increase more has been agreed with Pension Fund?
</t>
        </r>
      </text>
    </comment>
    <comment ref="F84" authorId="2" shapeId="0" xr:uid="{180B557A-4FE8-46F0-BB87-E24B8C4A4020}">
      <text>
        <r>
          <rPr>
            <sz val="9"/>
            <color indexed="81"/>
            <rFont val="Tahoma"/>
            <family val="2"/>
          </rPr>
          <t>What is the total cash cost of deficit reduction payments negotiated with Pension Fund?</t>
        </r>
      </text>
    </comment>
    <comment ref="F91" authorId="1" shapeId="0" xr:uid="{0B17FD97-FB58-4BEF-B64C-19CC1B8C3F7C}">
      <text>
        <r>
          <rPr>
            <b/>
            <sz val="9"/>
            <color indexed="81"/>
            <rFont val="Tahoma"/>
            <family val="2"/>
          </rPr>
          <t>If no secondary contribution rate, please enter zero</t>
        </r>
      </text>
    </comment>
    <comment ref="F92" authorId="1" shapeId="0" xr:uid="{56D3F693-3915-434F-8023-1F4815DA920A}">
      <text>
        <r>
          <rPr>
            <b/>
            <sz val="9"/>
            <color indexed="81"/>
            <rFont val="Tahoma"/>
            <family val="2"/>
          </rPr>
          <t>If no secondary contribution rate, please enter zero</t>
        </r>
      </text>
    </comment>
    <comment ref="F109" authorId="3" shapeId="0" xr:uid="{B39BBCAF-FED8-465B-8D36-2C1AA07A865F}">
      <text>
        <r>
          <rPr>
            <sz val="9"/>
            <color indexed="81"/>
            <rFont val="Tahoma"/>
            <family val="2"/>
          </rPr>
          <t>An external governance review is required every 3 years (with effect from 21-22). Please select:
– 'Yes' where an external governance review has been held in this financial year
– 'No but one was due' where the 3 year point fell this financial year but an external governance review has not been held (please note that DfE will follow up to explore the reasons why)
– 'No, not due this year' where the 3 year point has not yet been reached.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<sst xmlns="http://schemas.openxmlformats.org/spreadsheetml/2006/main" count="3045" uniqueCount="2039">
  <si>
    <t>TOC</t>
  </si>
  <si>
    <t>Version:</t>
  </si>
  <si>
    <t>Checks</t>
  </si>
  <si>
    <t>Warnings</t>
  </si>
  <si>
    <t>Table of Contents</t>
  </si>
  <si>
    <t>i</t>
  </si>
  <si>
    <t>Cover Sheet</t>
  </si>
  <si>
    <t>Check</t>
  </si>
  <si>
    <t>Ref. No.</t>
  </si>
  <si>
    <t>Description</t>
  </si>
  <si>
    <t>College Details</t>
  </si>
  <si>
    <t>CS-1a</t>
  </si>
  <si>
    <t>College Name</t>
  </si>
  <si>
    <t>CS-1b</t>
  </si>
  <si>
    <t>College Type</t>
  </si>
  <si>
    <t>CS-1c</t>
  </si>
  <si>
    <t>College Code</t>
  </si>
  <si>
    <t>CS-1d</t>
  </si>
  <si>
    <t>College UPIN</t>
  </si>
  <si>
    <t>CS-1e</t>
  </si>
  <si>
    <t>College UKPRN</t>
  </si>
  <si>
    <t>Financial Health Grade</t>
  </si>
  <si>
    <t>Year ending:</t>
  </si>
  <si>
    <t>Automated Financial Health Grade</t>
  </si>
  <si>
    <t xml:space="preserve">Financial Health Grade Self-Assessment </t>
  </si>
  <si>
    <t>Declarations</t>
  </si>
  <si>
    <t>CS-2a</t>
  </si>
  <si>
    <t>I confirm that the most appropriate financial health grade is as shown above.</t>
  </si>
  <si>
    <t>CS-2b</t>
  </si>
  <si>
    <t>I confirm that the external auditor's opinion on the financial statements is</t>
  </si>
  <si>
    <t>True and Fair</t>
  </si>
  <si>
    <t>Going Concern</t>
  </si>
  <si>
    <t>Emphasis of Matter</t>
  </si>
  <si>
    <t>CS-2c</t>
  </si>
  <si>
    <t>I confirm that the reporting accountant's report on regularity includes:</t>
  </si>
  <si>
    <t>CS-2d</t>
  </si>
  <si>
    <t>I confirm that the overall opinion of the college's Audit Committee in their Annual Report is</t>
  </si>
  <si>
    <t>CS-2e</t>
  </si>
  <si>
    <t>CS-2f</t>
  </si>
  <si>
    <t>Please select the governance code(s) the college corporation has adopted, follows or has regard to:</t>
  </si>
  <si>
    <t>CS-2g</t>
  </si>
  <si>
    <t>CS-2h</t>
  </si>
  <si>
    <t>I confirm that no instances of material regularity, impropriety or funding non-compliance have been discovered to date</t>
  </si>
  <si>
    <t>CS-2i</t>
  </si>
  <si>
    <t>If answer to Q2h is No, please provide details below</t>
  </si>
  <si>
    <t>Accounting Officer's declaration</t>
  </si>
  <si>
    <t>CS-3a</t>
  </si>
  <si>
    <t>CS-3b</t>
  </si>
  <si>
    <t>Name:</t>
  </si>
  <si>
    <t>CS-3c</t>
  </si>
  <si>
    <t>Date:</t>
  </si>
  <si>
    <t>CS-3d</t>
  </si>
  <si>
    <t>Name of contact for queries (if different):</t>
  </si>
  <si>
    <t>CS-3e</t>
  </si>
  <si>
    <t>Telephone Number:</t>
  </si>
  <si>
    <t>CS-3f</t>
  </si>
  <si>
    <t>Email Address:</t>
  </si>
  <si>
    <t>Benchmarking</t>
  </si>
  <si>
    <t>Ratios</t>
  </si>
  <si>
    <t>I&amp;E</t>
  </si>
  <si>
    <t>SOCI</t>
  </si>
  <si>
    <t>Miscellaneous</t>
  </si>
  <si>
    <t>Sheet Styles</t>
  </si>
  <si>
    <t>Input sheets</t>
  </si>
  <si>
    <t>Yellow tabs denote the main data entry sheets for users to complete.</t>
  </si>
  <si>
    <t>Additional input</t>
  </si>
  <si>
    <r>
      <t xml:space="preserve">Dark blue tabs denote output sheets which display calculated values </t>
    </r>
    <r>
      <rPr>
        <b/>
        <sz val="11"/>
        <color theme="1"/>
        <rFont val="Calibri"/>
        <family val="2"/>
        <scheme val="minor"/>
      </rPr>
      <t>but also request narrative or self-assessment</t>
    </r>
    <r>
      <rPr>
        <sz val="11"/>
        <color theme="1"/>
        <rFont val="Calibri"/>
        <family val="2"/>
        <scheme val="minor"/>
      </rPr>
      <t>.</t>
    </r>
  </si>
  <si>
    <t>Other</t>
  </si>
  <si>
    <t>Green tabs are for any other sheets containing information or calculations such as ToC, a sheet of parameters, etc. These sheets are not filled in by users but may be referred to for information.</t>
  </si>
  <si>
    <t>Template</t>
  </si>
  <si>
    <r>
      <t xml:space="preserve">The red tab is an unprotected sheet that can be used by colleges for their own  calculations. Colleges can also add additional sheets to the workbook, however, </t>
    </r>
    <r>
      <rPr>
        <b/>
        <sz val="11"/>
        <color theme="1"/>
        <rFont val="Calibri"/>
        <family val="2"/>
        <scheme val="minor"/>
      </rPr>
      <t>any structural changes, such as changing the names of existing tabs will result in a rejection of entire FR submission.</t>
    </r>
  </si>
  <si>
    <t>Cell Styles</t>
  </si>
  <si>
    <t>Input</t>
  </si>
  <si>
    <t>Input cells: data needs to be entered by the user.</t>
  </si>
  <si>
    <t>Optional input</t>
  </si>
  <si>
    <t>Optional input cells: data may be entered here for additional/optional information.</t>
  </si>
  <si>
    <t>Calc</t>
  </si>
  <si>
    <t>Calculation cells that are automatically calculated.</t>
  </si>
  <si>
    <t>Calc - different</t>
  </si>
  <si>
    <t>This darker shade for calculation cells denotes calculation of totals or a different formula within a calculation block.</t>
  </si>
  <si>
    <t>Unassigned</t>
  </si>
  <si>
    <t>Unassigned cells or placeholders that do not contain any data.</t>
  </si>
  <si>
    <r>
      <t xml:space="preserve">The benchmarking tab was changed for the FR2022.  The changes were based on consultation and feedback with colleges directly and through sector representative bodies. Some fields were removed altogether, others were moved to the Miscellaneous tab, and some new benchmarks were introduced. The new benchmarks are designed to provide colleges with more useful benchmarking data. The section on curriculum efficiency measures will not be published as part of the annual benchmarking tool, but will be available to individual colleges to undertake benchmarking of these ratios in </t>
    </r>
    <r>
      <rPr>
        <i/>
        <sz val="11"/>
        <color theme="1"/>
        <rFont val="Calibri"/>
        <family val="2"/>
        <scheme val="minor"/>
      </rPr>
      <t>View your education data</t>
    </r>
    <r>
      <rPr>
        <sz val="11"/>
        <color theme="1"/>
        <rFont val="Calibri"/>
        <family val="2"/>
        <scheme val="minor"/>
      </rPr>
      <t xml:space="preserve"> (VYED). The benchmarks introduced in FR2022 and definitions of these are below:</t>
    </r>
  </si>
  <si>
    <t>Section 1</t>
  </si>
  <si>
    <t>Section 4</t>
  </si>
  <si>
    <t>Requires a yes/no in the drop-down menu to be selected against each of the services listed. The final input field requires a total value of all the college outsourced services in £000s. This section is designed to enable colleges to investigate differences between their staff to income ratio and that of other colleges.</t>
  </si>
  <si>
    <t>Section 5</t>
  </si>
  <si>
    <r>
      <t>The standalone estates sheet was removed from the template for FR2022. Section 5 requires colleges to input total gross internal area in m</t>
    </r>
    <r>
      <rPr>
        <sz val="11"/>
        <color theme="1"/>
        <rFont val="Calibri"/>
        <family val="2"/>
      </rPr>
      <t>²</t>
    </r>
    <r>
      <rPr>
        <sz val="11"/>
        <color theme="1"/>
        <rFont val="Calibri"/>
        <family val="2"/>
        <scheme val="minor"/>
      </rPr>
      <t xml:space="preserve"> for all college buildings. Three new ratios on energy costs have been introduced, requiring colleges to input total annual costs in £000s for electricity, gas, and other energy, as has one on total cleaning costs. The other input requirement is to select whether the college is considered to be a single site or multi-site. The purpose of this is to enable colleges to compare the curriculum efficiency ratios with colleges in the same category.
For S1.5i (would you consider your college to be single- or multi-sited?), college with multi delivery sites means more than one geographical location operated by a corporation from which further education provision is delivered. A delivery site could in practice be labelled as a campus, college, farm, or as another similar term.  Colleges with two sites, perhaps in different towns, will have different cost profiles and curriculum efficiency measures than single-sited colleges. When deciding how to answer this question, think about whether you have a reception, food available for students, constant senior management presence. It is unlikely that e.g. a shop in the town centre would meet the criteria for being a second site.</t>
    </r>
  </si>
  <si>
    <t>Section 6</t>
  </si>
  <si>
    <t>• Total planned teaching hours: total number of planned annual teaching delivery hours for the year, excluding remission. This total is for establishment staff only and should exclude any sessional or agency staff.
• Total contracted teaching hours: total number of contracted hours of all staff with a teaching commitment in their contract. This is the gross number of hours, including remitted hours and excluding any sessional or agency staff. Starters and leavers during the year should be included with contracted hours on a pro-rata basis.
• Total remitted hours: all remitted hours of any member of staff with a contractual teaching commitment, including curriculum managers.
• The average class size (split out by level): the number of learners divided by number of classes. This should cover all learners by headcount, including part-time learners. For 16-19 learners this should be for main aim only.</t>
  </si>
  <si>
    <t>Errors and Warnings</t>
  </si>
  <si>
    <t>Extra validation checks and warnings were introduced in FR2022:</t>
  </si>
  <si>
    <t>I&amp;E - Subcontracting</t>
  </si>
  <si>
    <t>Financial Health</t>
  </si>
  <si>
    <t>Miscellaneous tab</t>
  </si>
  <si>
    <t xml:space="preserve">Related party transactions </t>
  </si>
  <si>
    <t>Governance reviews guidance</t>
  </si>
  <si>
    <t>Other guidance</t>
  </si>
  <si>
    <t>Accounting Officer's remuneration</t>
  </si>
  <si>
    <r>
      <t xml:space="preserve">Please ensure that the entries in this section of the Miscellaneous sheet, G11 and below are entered in </t>
    </r>
    <r>
      <rPr>
        <b/>
        <sz val="11"/>
        <color theme="1"/>
        <rFont val="Calibri"/>
        <family val="2"/>
        <scheme val="minor"/>
      </rPr>
      <t xml:space="preserve">£000s </t>
    </r>
    <r>
      <rPr>
        <sz val="11"/>
        <color theme="1"/>
        <rFont val="Calibri"/>
        <family val="2"/>
        <scheme val="minor"/>
      </rPr>
      <t>per the column heading</t>
    </r>
    <r>
      <rPr>
        <b/>
        <sz val="11"/>
        <color theme="1"/>
        <rFont val="Calibri"/>
        <family val="2"/>
        <scheme val="minor"/>
      </rPr>
      <t>.</t>
    </r>
  </si>
  <si>
    <t>Movement in holiday pay accrual</t>
  </si>
  <si>
    <t>LGPS Net Asset</t>
  </si>
  <si>
    <t>Learners</t>
  </si>
  <si>
    <t>Number</t>
  </si>
  <si>
    <t>Average dedicated funding per learner
£</t>
  </si>
  <si>
    <t>LE-1a</t>
  </si>
  <si>
    <t>16-19 Allocated Students (Lagged student number)</t>
  </si>
  <si>
    <t>LE-1b</t>
  </si>
  <si>
    <t xml:space="preserve">16-19 Forecast Student Outturn </t>
  </si>
  <si>
    <t>Apprenticeship Learners</t>
  </si>
  <si>
    <t>Average in-year funding per learner £</t>
  </si>
  <si>
    <t>LE-2a</t>
  </si>
  <si>
    <t>16-18 Apprenticeship in learning</t>
  </si>
  <si>
    <t>LE-2b</t>
  </si>
  <si>
    <t>19+ Apprenticeship in learning</t>
  </si>
  <si>
    <t>LE-2</t>
  </si>
  <si>
    <t>Total Apprenticeship Learners</t>
  </si>
  <si>
    <t>Adult Education and Training Learners</t>
  </si>
  <si>
    <t>S1.1c</t>
  </si>
  <si>
    <t>S1.12b</t>
  </si>
  <si>
    <t>AEB Devolved Authorities Learners (Grant &amp; Procured)</t>
  </si>
  <si>
    <t>S1.12c</t>
  </si>
  <si>
    <t>Advanced Learner Loans (excl. bursary)</t>
  </si>
  <si>
    <t>S1.12d</t>
  </si>
  <si>
    <t>Total Adult Education and Training Learners</t>
  </si>
  <si>
    <t>Office for Students funded learners</t>
  </si>
  <si>
    <t>S1.1e</t>
  </si>
  <si>
    <t>Total HE Learners</t>
  </si>
  <si>
    <t>Total funded learners</t>
  </si>
  <si>
    <t>S1.1f</t>
  </si>
  <si>
    <t>Students qualifying for Element 2 High Needs funding</t>
  </si>
  <si>
    <t>S1.1g</t>
  </si>
  <si>
    <t>Total number of students qualifying for Element 2 High Needs funding</t>
  </si>
  <si>
    <t>Staff and pay costs</t>
  </si>
  <si>
    <t>£000</t>
  </si>
  <si>
    <t>S1.2a</t>
  </si>
  <si>
    <t>SMT salary costs (incl on costs)</t>
  </si>
  <si>
    <t>FTE number</t>
  </si>
  <si>
    <t>Average cost per FTE 
£</t>
  </si>
  <si>
    <t>Average learners per FTE</t>
  </si>
  <si>
    <t>S1.2b</t>
  </si>
  <si>
    <t>Teaching staff</t>
  </si>
  <si>
    <t>S1.2c</t>
  </si>
  <si>
    <t>Teaching support and other support staff</t>
  </si>
  <si>
    <t>S1.2d</t>
  </si>
  <si>
    <t>Administration</t>
  </si>
  <si>
    <t>S1.2x</t>
  </si>
  <si>
    <t>Operational &amp; maintenance</t>
  </si>
  <si>
    <t>S1.2g</t>
  </si>
  <si>
    <t>Total non-teaching staff</t>
  </si>
  <si>
    <t>S1.2w</t>
  </si>
  <si>
    <t>Commercial</t>
  </si>
  <si>
    <t>S1.2m</t>
  </si>
  <si>
    <t>S1.2n</t>
  </si>
  <si>
    <t>Total other staff</t>
  </si>
  <si>
    <t>S1.2o</t>
  </si>
  <si>
    <t>Total staff</t>
  </si>
  <si>
    <t>S1.2p</t>
  </si>
  <si>
    <t>Of which: SMT</t>
  </si>
  <si>
    <t>Hours</t>
  </si>
  <si>
    <t>S1.2q</t>
  </si>
  <si>
    <t>Contracted teaching hours per annum per standard full-time contract</t>
  </si>
  <si>
    <t>S1.2r</t>
  </si>
  <si>
    <t>LGPS employer contribution rate (%)</t>
  </si>
  <si>
    <t>Average pensions surplus/(deficit) per member
£</t>
  </si>
  <si>
    <t>S1.2s</t>
  </si>
  <si>
    <t>Number of LGPS members</t>
  </si>
  <si>
    <t>Non-pay expenditure</t>
  </si>
  <si>
    <t>Expenditure
£000</t>
  </si>
  <si>
    <t>Average cost per learner
£</t>
  </si>
  <si>
    <t>S1.3a</t>
  </si>
  <si>
    <t>Teaching departments non-pay expenditure</t>
  </si>
  <si>
    <t>S1.3b</t>
  </si>
  <si>
    <t>Teaching and other support non-pay expenditure</t>
  </si>
  <si>
    <t>Average cost per FTE staff
£</t>
  </si>
  <si>
    <t>S1.3c</t>
  </si>
  <si>
    <t>Staff training costs (included within non-pay expenditure)</t>
  </si>
  <si>
    <t>Outsourcing</t>
  </si>
  <si>
    <t>Do you outsource:</t>
  </si>
  <si>
    <t>S1.4a</t>
  </si>
  <si>
    <t>Catering?</t>
  </si>
  <si>
    <t>S1.4b</t>
  </si>
  <si>
    <t>Cleaning?</t>
  </si>
  <si>
    <t>S1.4c</t>
  </si>
  <si>
    <t>Security?</t>
  </si>
  <si>
    <t>S1.4d</t>
  </si>
  <si>
    <t>Administration of payroll?</t>
  </si>
  <si>
    <t>S1.4e</t>
  </si>
  <si>
    <t>Any other support services?</t>
  </si>
  <si>
    <t>S1.4f</t>
  </si>
  <si>
    <t>Total value of outsourced contracts (£000)</t>
  </si>
  <si>
    <t>Property &amp; Fixed assets</t>
  </si>
  <si>
    <t>S1.5a</t>
  </si>
  <si>
    <t xml:space="preserve">Premises area (m²) </t>
  </si>
  <si>
    <t>S1.5ai</t>
  </si>
  <si>
    <t>m² per funded learner</t>
  </si>
  <si>
    <t>S1.5b</t>
  </si>
  <si>
    <t>Running costs (£000)</t>
  </si>
  <si>
    <t>S1.5bi</t>
  </si>
  <si>
    <t>Running costs per m² (£)</t>
  </si>
  <si>
    <t>Total energy costs (£000)</t>
  </si>
  <si>
    <t>Energy costs per m² (£)</t>
  </si>
  <si>
    <t>S1.5c</t>
  </si>
  <si>
    <t xml:space="preserve">Total electricity costs </t>
  </si>
  <si>
    <t>S1.5d</t>
  </si>
  <si>
    <t>Total gas costs</t>
  </si>
  <si>
    <t>S1.5e</t>
  </si>
  <si>
    <t>Total other energy costs e.g. heating oil</t>
  </si>
  <si>
    <t>S1.5f</t>
  </si>
  <si>
    <t>Total energy costs</t>
  </si>
  <si>
    <t>Total cleaning costs (£000)</t>
  </si>
  <si>
    <t>Cleaning costs per m² (£)</t>
  </si>
  <si>
    <t>S1.5k</t>
  </si>
  <si>
    <t>Total cleaning costs (pay and non-pay) (£000s)</t>
  </si>
  <si>
    <t>S1.5g</t>
  </si>
  <si>
    <t>Net capital expenditure as a % of EBITDA</t>
  </si>
  <si>
    <t>S1.5h</t>
  </si>
  <si>
    <t>Net capital expenditure as a % of adjusted income</t>
  </si>
  <si>
    <t>S1.5i</t>
  </si>
  <si>
    <t>For benchmarking purposes, would you consider your college to be single-sited or multi-sited?</t>
  </si>
  <si>
    <t>S1.5j</t>
  </si>
  <si>
    <t>Adjusted income (less subcontracted income) generated per m² (£)</t>
  </si>
  <si>
    <t>Curriculum efficiency measures (this section should be populated with readily available data)</t>
  </si>
  <si>
    <t xml:space="preserve">The information in section 6 will not be published as part of the annual benchmarking tool. It will be used for anonymised benchmarking in VYED.
</t>
  </si>
  <si>
    <t>S1.8a</t>
  </si>
  <si>
    <t>Does the college use a costed curriculum planning process with a target contribution rate by subject?</t>
  </si>
  <si>
    <t>S1.6a</t>
  </si>
  <si>
    <t>Total actual registered teaching hours (total delivery hours captured by your register system in the last academic year)</t>
  </si>
  <si>
    <t>S1.6b</t>
  </si>
  <si>
    <t>Total contracted teaching hours (total contracted teaching hours available last year before remission is taken off)</t>
  </si>
  <si>
    <t>S1.6c</t>
  </si>
  <si>
    <t>Total remitted teaching hours</t>
  </si>
  <si>
    <t>S1.6d</t>
  </si>
  <si>
    <t>Staff utilisation percentage</t>
  </si>
  <si>
    <t>S1.6e</t>
  </si>
  <si>
    <t>Percentage of total contracted teaching hours remitted</t>
  </si>
  <si>
    <t>S1.6f</t>
  </si>
  <si>
    <t>Average cost of remitted hours</t>
  </si>
  <si>
    <t>Average class sizes</t>
  </si>
  <si>
    <t>S1.6g</t>
  </si>
  <si>
    <t>Average class size:</t>
  </si>
  <si>
    <t>Entry level and Level 1 (main aim only)</t>
  </si>
  <si>
    <t>S1.6gi</t>
  </si>
  <si>
    <t>Level 2 (main aim only)</t>
  </si>
  <si>
    <t>S1.6gii</t>
  </si>
  <si>
    <t>Level 3 (main aim only)</t>
  </si>
  <si>
    <t>S1.6giii</t>
  </si>
  <si>
    <t>Higher Education</t>
  </si>
  <si>
    <t>S1.6giv</t>
  </si>
  <si>
    <t>T-Levels (main aim only)</t>
  </si>
  <si>
    <t>16-19 study programme hours</t>
  </si>
  <si>
    <t>S1.6h</t>
  </si>
  <si>
    <t>Average annual study programme hours (planned for year of finance record):</t>
  </si>
  <si>
    <t>Entry level and Level 1</t>
  </si>
  <si>
    <t>S1.6hi</t>
  </si>
  <si>
    <t>Level 2</t>
  </si>
  <si>
    <t>S1.6hii</t>
  </si>
  <si>
    <t>Level 3</t>
  </si>
  <si>
    <t>S1.6hiii</t>
  </si>
  <si>
    <t>T-Levels</t>
  </si>
  <si>
    <t>S1.6l</t>
  </si>
  <si>
    <t>Total 16-19 enrolments with at least one register mark (headcount) for year of finance record</t>
  </si>
  <si>
    <t>S1.6m</t>
  </si>
  <si>
    <t>Total 16-19 enrolled students reported at R04 (headcount) for year of finance record</t>
  </si>
  <si>
    <t>S1.6n</t>
  </si>
  <si>
    <t>Attrition rate %</t>
  </si>
  <si>
    <t>S1.6o</t>
  </si>
  <si>
    <t>Number of FTE assessors at the time of R06</t>
  </si>
  <si>
    <t>S1.6p</t>
  </si>
  <si>
    <t>Number of continuing apprentices (headcount) reported at R06</t>
  </si>
  <si>
    <t>S1.6q</t>
  </si>
  <si>
    <t>Average assessor caseload</t>
  </si>
  <si>
    <t>S1.6r</t>
  </si>
  <si>
    <t>Income for contribution calculation purposes</t>
  </si>
  <si>
    <t>S1.6s</t>
  </si>
  <si>
    <t>Expenditure for contribution calculation purposes</t>
  </si>
  <si>
    <t>S1.6t</t>
  </si>
  <si>
    <t>Contribution (£000)</t>
  </si>
  <si>
    <t>S1.6u</t>
  </si>
  <si>
    <t>Contribution as a percentage of income</t>
  </si>
  <si>
    <t>S1.6v</t>
  </si>
  <si>
    <t>High needs income as a % of adjusted income</t>
  </si>
  <si>
    <t>S1.6w</t>
  </si>
  <si>
    <t>High needs learners as a % of total funded learners</t>
  </si>
  <si>
    <t>S1.6x</t>
  </si>
  <si>
    <t>Total overheads (£000)</t>
  </si>
  <si>
    <t>S1.6y</t>
  </si>
  <si>
    <t>Overheads as a percentage of income</t>
  </si>
  <si>
    <t>Units</t>
  </si>
  <si>
    <t>FEC BENCHMARK</t>
  </si>
  <si>
    <t>Adjusted Income and Expenditure for Ratio Calculation</t>
  </si>
  <si>
    <t>R-1a</t>
  </si>
  <si>
    <t>Adjusted Income</t>
  </si>
  <si>
    <t>R-1b</t>
  </si>
  <si>
    <t>Operating Expenditure excl. staff Restructuring Costs</t>
  </si>
  <si>
    <t>Liquidity</t>
  </si>
  <si>
    <t>R-2a-1</t>
  </si>
  <si>
    <t>Expenditure for Adjusted Cash Days</t>
  </si>
  <si>
    <t>R-2a-2</t>
  </si>
  <si>
    <t>Cash and cash equivalents and short-term investments</t>
  </si>
  <si>
    <t>R-2a</t>
  </si>
  <si>
    <t>Adjusted cash days in hand</t>
  </si>
  <si>
    <t>days</t>
  </si>
  <si>
    <t>R-2b</t>
  </si>
  <si>
    <t>Current ratio</t>
  </si>
  <si>
    <t>ratio</t>
  </si>
  <si>
    <t>R-2c</t>
  </si>
  <si>
    <t>Adjusted current ratio</t>
  </si>
  <si>
    <t>&gt; 1.4</t>
  </si>
  <si>
    <t>R-2d-1</t>
  </si>
  <si>
    <t>Income for trade debtor days calculation</t>
  </si>
  <si>
    <t>R-2d</t>
  </si>
  <si>
    <t>Trade debtor days -excluding funding body grants</t>
  </si>
  <si>
    <t>R-2e</t>
  </si>
  <si>
    <t>Trade creditors days - non-pay expenditure</t>
  </si>
  <si>
    <t>IC-1</t>
  </si>
  <si>
    <t>Net cash flow from operating activities</t>
  </si>
  <si>
    <t>R-2g</t>
  </si>
  <si>
    <t>Cash generation from operations (as a % of adjusted income)</t>
  </si>
  <si>
    <t>%</t>
  </si>
  <si>
    <t>Gearing</t>
  </si>
  <si>
    <t>R-4a</t>
  </si>
  <si>
    <t>Debt Service Cover Ratio</t>
  </si>
  <si>
    <t>&gt; 2</t>
  </si>
  <si>
    <t>R-4b</t>
  </si>
  <si>
    <t>Borrowing</t>
  </si>
  <si>
    <t>R-4c</t>
  </si>
  <si>
    <t>Borrowing as a % of adjusted income</t>
  </si>
  <si>
    <t>R-4d</t>
  </si>
  <si>
    <t>Interest as a % of adjusted income</t>
  </si>
  <si>
    <t>Margin</t>
  </si>
  <si>
    <t>FS-IE-6</t>
  </si>
  <si>
    <t>Total surplus/(deficit) for the year</t>
  </si>
  <si>
    <t>R-5a</t>
  </si>
  <si>
    <t>Total surplus/(deficit) as a % of adjusted income</t>
  </si>
  <si>
    <t>R-5b</t>
  </si>
  <si>
    <t>Total comprehensive income as a % of adjusted income</t>
  </si>
  <si>
    <t>R-5c</t>
  </si>
  <si>
    <t>Available reserves as a % of adjusted income</t>
  </si>
  <si>
    <t>R-5d</t>
  </si>
  <si>
    <t>Adjusted Operating Surplus (Deficit)</t>
  </si>
  <si>
    <t>R-5e</t>
  </si>
  <si>
    <t>Adjusted Operating Ratio</t>
  </si>
  <si>
    <t>FS-IE-4</t>
  </si>
  <si>
    <t xml:space="preserve">EBITDA - standard </t>
  </si>
  <si>
    <t>R-5f</t>
  </si>
  <si>
    <t>EBITDA as a % of adjusted income - standard</t>
  </si>
  <si>
    <t>FS-IE-8</t>
  </si>
  <si>
    <t xml:space="preserve">EBITDA - education specific </t>
  </si>
  <si>
    <t>R-5g</t>
  </si>
  <si>
    <t>EBITDA as a % of adjusted income - education specific</t>
  </si>
  <si>
    <t>Income</t>
  </si>
  <si>
    <t>R-6a</t>
  </si>
  <si>
    <t>Year on year (month on month) increase - income</t>
  </si>
  <si>
    <t>R-6b</t>
  </si>
  <si>
    <t>Dependency on 14-16 income</t>
  </si>
  <si>
    <t>R-6c</t>
  </si>
  <si>
    <t>Dependency on 14-19 income</t>
  </si>
  <si>
    <t>R-6d</t>
  </si>
  <si>
    <t>Dependency on  Apprenticeship income</t>
  </si>
  <si>
    <t>R-6e</t>
  </si>
  <si>
    <t>Dependency on AEB income</t>
  </si>
  <si>
    <t>R-6f</t>
  </si>
  <si>
    <t>Dependency on HE income</t>
  </si>
  <si>
    <t>R-6g</t>
  </si>
  <si>
    <t>Dependency on European Income</t>
  </si>
  <si>
    <t>R-6h</t>
  </si>
  <si>
    <t>Dependency on all other income</t>
  </si>
  <si>
    <t>Income Generating Activities</t>
  </si>
  <si>
    <t>R-7a</t>
  </si>
  <si>
    <t xml:space="preserve">Contribution from other income generating activities </t>
  </si>
  <si>
    <t>Expenditure</t>
  </si>
  <si>
    <t>R-8a</t>
  </si>
  <si>
    <t>Administration costs as a % of total expenditure 
(before depreciation, interest and tax costs)</t>
  </si>
  <si>
    <t>R-8b</t>
  </si>
  <si>
    <t>Other operating expenditure (excluding subcontracting) as a % of total adjusted income</t>
  </si>
  <si>
    <t>Staffing</t>
  </si>
  <si>
    <t>R-9a</t>
  </si>
  <si>
    <t>Staff costs (incl. contract tuition services/excl. restructuring and FRS102) as % of adjusted income (excl. income subcontracted out)</t>
  </si>
  <si>
    <t>GFE: &lt; 65%
SFC: &lt; 70%</t>
  </si>
  <si>
    <t>R-9b</t>
  </si>
  <si>
    <t>Total Staff costs as % of Adjusted Income</t>
  </si>
  <si>
    <t xml:space="preserve">Optional narrative box </t>
  </si>
  <si>
    <t>R-Nar</t>
  </si>
  <si>
    <t>Financial health</t>
  </si>
  <si>
    <t>Grading System</t>
  </si>
  <si>
    <t>Financial Health Grading - Existing System</t>
  </si>
  <si>
    <t>Ratio Scales</t>
  </si>
  <si>
    <t>Points</t>
  </si>
  <si>
    <t>FH Rating</t>
  </si>
  <si>
    <t>EBITDA</t>
  </si>
  <si>
    <t>Debt as % of income</t>
  </si>
  <si>
    <t>&gt;=10%</t>
  </si>
  <si>
    <t>&gt;=2.0</t>
  </si>
  <si>
    <t>&gt;=2.75</t>
  </si>
  <si>
    <t>&gt;=5%</t>
  </si>
  <si>
    <t>&gt;=9%</t>
  </si>
  <si>
    <t>&gt;=1.8</t>
  </si>
  <si>
    <t>&lt;10%</t>
  </si>
  <si>
    <t>&gt;=2.5</t>
  </si>
  <si>
    <t>&gt;=4.5%</t>
  </si>
  <si>
    <t>Calculate Grades</t>
  </si>
  <si>
    <t>&gt;=8%</t>
  </si>
  <si>
    <t>&gt;=1.6</t>
  </si>
  <si>
    <t>&lt;20%</t>
  </si>
  <si>
    <t>&gt;=2.25</t>
  </si>
  <si>
    <t>&gt;=4%</t>
  </si>
  <si>
    <t>FH-1a</t>
  </si>
  <si>
    <t>Adjusted current ratio points</t>
  </si>
  <si>
    <t>points</t>
  </si>
  <si>
    <t>&gt;=7%</t>
  </si>
  <si>
    <t>&gt;=1.4</t>
  </si>
  <si>
    <t>&lt;30%</t>
  </si>
  <si>
    <t>&gt;=3.5%</t>
  </si>
  <si>
    <t>FH-1b</t>
  </si>
  <si>
    <t>EBITDA as a % of income - education specific points</t>
  </si>
  <si>
    <t>&gt;=6%</t>
  </si>
  <si>
    <t>&gt;=1.2</t>
  </si>
  <si>
    <t>&lt;35%</t>
  </si>
  <si>
    <t>&gt;=1.75</t>
  </si>
  <si>
    <t>&gt;=3%</t>
  </si>
  <si>
    <t>FH-1c</t>
  </si>
  <si>
    <t>Borrowing as a % of adjusted income points</t>
  </si>
  <si>
    <t>&gt;=1.0</t>
  </si>
  <si>
    <t>&lt;40%</t>
  </si>
  <si>
    <t>&gt;=1.5</t>
  </si>
  <si>
    <t>&gt;=2.5%</t>
  </si>
  <si>
    <t>&gt;=0.8</t>
  </si>
  <si>
    <t>&lt;45%</t>
  </si>
  <si>
    <t>&gt;=0.9</t>
  </si>
  <si>
    <t>&gt;=1.25</t>
  </si>
  <si>
    <t>&gt;=2%</t>
  </si>
  <si>
    <t>FH-1d</t>
  </si>
  <si>
    <t>Total Points</t>
  </si>
  <si>
    <t>&gt;=0.7</t>
  </si>
  <si>
    <t>&lt;50%</t>
  </si>
  <si>
    <t>&gt;=1.5%</t>
  </si>
  <si>
    <t>&gt;=0.6</t>
  </si>
  <si>
    <t>&lt;55%</t>
  </si>
  <si>
    <t>&gt;=1%</t>
  </si>
  <si>
    <t>Financial Health Grade  - Existing System</t>
  </si>
  <si>
    <t>&gt;=0.5</t>
  </si>
  <si>
    <t>&lt;60%</t>
  </si>
  <si>
    <t>&gt;=0.5%</t>
  </si>
  <si>
    <t>FH-2a</t>
  </si>
  <si>
    <t>&lt;1%</t>
  </si>
  <si>
    <t>&lt;0.5</t>
  </si>
  <si>
    <t>&gt;=60%</t>
  </si>
  <si>
    <t>&lt;0.6</t>
  </si>
  <si>
    <t>&lt;0.8</t>
  </si>
  <si>
    <t>&lt;0.5%</t>
  </si>
  <si>
    <t>FH-2b</t>
  </si>
  <si>
    <t>Automated Moderation - EBITDA score of zero</t>
  </si>
  <si>
    <t>FH-2c</t>
  </si>
  <si>
    <t>Financial health grade - auto grade</t>
  </si>
  <si>
    <t>Top Score</t>
  </si>
  <si>
    <t>Inadequate</t>
  </si>
  <si>
    <t>FH-3a</t>
  </si>
  <si>
    <t>College Self-Assessment</t>
  </si>
  <si>
    <t>Requires Improvement</t>
  </si>
  <si>
    <t>FH-3b</t>
  </si>
  <si>
    <t>College Self-Assessment Narrative</t>
  </si>
  <si>
    <t>Good</t>
  </si>
  <si>
    <t>Outstanding</t>
  </si>
  <si>
    <t>I&amp;E Inputs</t>
  </si>
  <si>
    <t>Sign Warnings</t>
  </si>
  <si>
    <t>Input validation check</t>
  </si>
  <si>
    <t>Signage</t>
  </si>
  <si>
    <t>SOCI category</t>
  </si>
  <si>
    <t>FINANCIAL DATA UNITS: £000</t>
  </si>
  <si>
    <t>Income and Expenditure</t>
  </si>
  <si>
    <t xml:space="preserve">Funding body grants </t>
  </si>
  <si>
    <t>Other grants and contracts</t>
  </si>
  <si>
    <t>14-16 Income</t>
  </si>
  <si>
    <t>Endowment and investment income</t>
  </si>
  <si>
    <t>IE-1a-1a</t>
  </si>
  <si>
    <t>+ve/-ve (Cr/Dr)</t>
  </si>
  <si>
    <t>Staff costs</t>
  </si>
  <si>
    <t>IE-1a-1SI</t>
  </si>
  <si>
    <t>Subcontracted in: 14-16 income</t>
  </si>
  <si>
    <t>Other operating expenses</t>
  </si>
  <si>
    <t>IE-1a-1</t>
  </si>
  <si>
    <t>Total 14-16 Income</t>
  </si>
  <si>
    <t>IE-1a-1SO</t>
  </si>
  <si>
    <t>Of which: subcontracted out: 14-16 income</t>
  </si>
  <si>
    <t>16-19 Income</t>
  </si>
  <si>
    <t>IE-1a-2a</t>
  </si>
  <si>
    <t>IE-1a-2b</t>
  </si>
  <si>
    <t>IE-1a-2c</t>
  </si>
  <si>
    <t>IE-1a-2d</t>
  </si>
  <si>
    <t>Local Authority High Needs - element 3</t>
  </si>
  <si>
    <t>IE-1a-2e</t>
  </si>
  <si>
    <t>Other funding including Local Authority and schools</t>
  </si>
  <si>
    <t>IE-1a-2SI</t>
  </si>
  <si>
    <t>Subcontracted in: 16-19 income</t>
  </si>
  <si>
    <t>IE-1a-2</t>
  </si>
  <si>
    <t>Total 16-19 Income</t>
  </si>
  <si>
    <t>IE-1a-2SO</t>
  </si>
  <si>
    <t>Of which: subcontracted out 16-19 income</t>
  </si>
  <si>
    <t>Apprenticeships Income</t>
  </si>
  <si>
    <t>IE-1b-1</t>
  </si>
  <si>
    <t>Total apprenticeship programme funding</t>
  </si>
  <si>
    <t>IE-1b-SI</t>
  </si>
  <si>
    <t>Subcontracted in: Apprenticeship income</t>
  </si>
  <si>
    <t>IE-1b</t>
  </si>
  <si>
    <t>Total Apprenticeships Income</t>
  </si>
  <si>
    <t>IE-1b-SO</t>
  </si>
  <si>
    <t>Of which: subcontracted out Apprenticeship income</t>
  </si>
  <si>
    <t>Adult Education and Training Income (Excluding clawbacks)</t>
  </si>
  <si>
    <t>IE-1c-1</t>
  </si>
  <si>
    <t>IE-1c-2</t>
  </si>
  <si>
    <t>IE-1c-3</t>
  </si>
  <si>
    <t>IE-1c-4</t>
  </si>
  <si>
    <t>Advanced Learner Loans income (excl. bursary)</t>
  </si>
  <si>
    <t>Tuition fees and education contracts</t>
  </si>
  <si>
    <t>IE-1c-SI</t>
  </si>
  <si>
    <t>Subcontracted in - Adult Education and Training Income</t>
  </si>
  <si>
    <t>IE-1c</t>
  </si>
  <si>
    <t>Total Adult Education and Training Income (Excluding clawbacks)</t>
  </si>
  <si>
    <t>IE-1c-SO</t>
  </si>
  <si>
    <t>Of which: subcontracted out Adult Education and Training Income</t>
  </si>
  <si>
    <t>HE Income</t>
  </si>
  <si>
    <t>IE-1d-1</t>
  </si>
  <si>
    <t xml:space="preserve">HE loans </t>
  </si>
  <si>
    <t>IE-1d-2</t>
  </si>
  <si>
    <t>OfS grants</t>
  </si>
  <si>
    <t>IE-1d-3</t>
  </si>
  <si>
    <t>Other HE income (excl. fees)</t>
  </si>
  <si>
    <t>IE-1d-SI</t>
  </si>
  <si>
    <t>Subcontracted in - HE (Franchised)</t>
  </si>
  <si>
    <t>IE-1d</t>
  </si>
  <si>
    <t>Total HE Income</t>
  </si>
  <si>
    <t>IE-1d-SO</t>
  </si>
  <si>
    <t>Of which: subcontracted out</t>
  </si>
  <si>
    <t>European Income</t>
  </si>
  <si>
    <t>IE-1e-1</t>
  </si>
  <si>
    <t>IE-1e-2</t>
  </si>
  <si>
    <t>Other European Funding</t>
  </si>
  <si>
    <t>IE-1e-SI</t>
  </si>
  <si>
    <t>Subcontracted in - European Funding</t>
  </si>
  <si>
    <t>IE-1e</t>
  </si>
  <si>
    <t>Total European Funding</t>
  </si>
  <si>
    <t>IE-1e-SO</t>
  </si>
  <si>
    <t>Of which: subcontracted out European Funding income</t>
  </si>
  <si>
    <t>Other income from provision of education and training</t>
  </si>
  <si>
    <t>IE-1f-1</t>
  </si>
  <si>
    <t>Full cost provision</t>
  </si>
  <si>
    <t>IE-1f-2</t>
  </si>
  <si>
    <t>HE home student fees (not loans)</t>
  </si>
  <si>
    <t>IE-1f-3</t>
  </si>
  <si>
    <t>International students - fee income</t>
  </si>
  <si>
    <t>IE-1f-4</t>
  </si>
  <si>
    <t>Total employer contributions contracted apprenticeships</t>
  </si>
  <si>
    <t>IE-1f-5</t>
  </si>
  <si>
    <t>Other fees (including non-apprenticeship co-funded)</t>
  </si>
  <si>
    <t>IE-1f-6</t>
  </si>
  <si>
    <t>LEP learning provision activities</t>
  </si>
  <si>
    <t>IE-1f-7</t>
  </si>
  <si>
    <t>Bursaries - net income (5% admin fee, ALLB and Free Meals)</t>
  </si>
  <si>
    <t>IE-1f-8</t>
  </si>
  <si>
    <t>IE-1f-9</t>
  </si>
  <si>
    <t>Exam and registration income</t>
  </si>
  <si>
    <t>Other income</t>
  </si>
  <si>
    <t>IE-1f-11</t>
  </si>
  <si>
    <t>IE-1f-12</t>
  </si>
  <si>
    <t>IE-1f-10</t>
  </si>
  <si>
    <t>IE-1f</t>
  </si>
  <si>
    <t>Total Other Income from Provision of Education and Training</t>
  </si>
  <si>
    <t>Commercial income</t>
  </si>
  <si>
    <t>IE-1g-1</t>
  </si>
  <si>
    <t>Student training facilities</t>
  </si>
  <si>
    <t>IE-1g-2</t>
  </si>
  <si>
    <t>Catering</t>
  </si>
  <si>
    <t>IE-1g-3</t>
  </si>
  <si>
    <t>Nursery</t>
  </si>
  <si>
    <t>IE-1g-4</t>
  </si>
  <si>
    <t>Residences and conferences</t>
  </si>
  <si>
    <t>IE-1g-5</t>
  </si>
  <si>
    <t>Consultancy</t>
  </si>
  <si>
    <t>IE-1g-6</t>
  </si>
  <si>
    <t>International overseas delivery</t>
  </si>
  <si>
    <t>IE-1g-7</t>
  </si>
  <si>
    <t>Farming</t>
  </si>
  <si>
    <t>IE-1g-8</t>
  </si>
  <si>
    <t>Other commercial income</t>
  </si>
  <si>
    <t>IE-1g</t>
  </si>
  <si>
    <t>Total commercial income</t>
  </si>
  <si>
    <t>Other Income</t>
  </si>
  <si>
    <t>IE-1h-1</t>
  </si>
  <si>
    <t>Other income from non-learning activities incl. VAT recovered</t>
  </si>
  <si>
    <t>IE-1h-2</t>
  </si>
  <si>
    <t>Endowment income</t>
  </si>
  <si>
    <t>IE-1h</t>
  </si>
  <si>
    <t>Total Other Income</t>
  </si>
  <si>
    <t>Funding Support</t>
  </si>
  <si>
    <t>IE-1i-1</t>
  </si>
  <si>
    <t>Emergency Funding</t>
  </si>
  <si>
    <t>IE-1i-2</t>
  </si>
  <si>
    <t>Restructuring Facility (including Solution Funding)</t>
  </si>
  <si>
    <t>IE-1i-3</t>
  </si>
  <si>
    <t>LEP support</t>
  </si>
  <si>
    <t>IE-1i</t>
  </si>
  <si>
    <t>Total Funding Support</t>
  </si>
  <si>
    <t>IE-1j-1</t>
  </si>
  <si>
    <t>Non-cash accounting receipts or non-exchange transactions (gifts) excl. donated assets</t>
  </si>
  <si>
    <t>IE-1j-2</t>
  </si>
  <si>
    <t>Donated Assets</t>
  </si>
  <si>
    <t>IE-1j</t>
  </si>
  <si>
    <t>Total gifts and donated assets</t>
  </si>
  <si>
    <t>IE-1</t>
  </si>
  <si>
    <t>Total Operating Income</t>
  </si>
  <si>
    <t>Staff Costs (excl. restructuring)</t>
  </si>
  <si>
    <t>IE-2a-1</t>
  </si>
  <si>
    <t>+ve/-ve (Dr/Cr)</t>
  </si>
  <si>
    <t>IE-2a-2</t>
  </si>
  <si>
    <t>Contracted tuition services</t>
  </si>
  <si>
    <t>IE-2a-3</t>
  </si>
  <si>
    <t>Teaching and other support staff</t>
  </si>
  <si>
    <t>IE-2a-4</t>
  </si>
  <si>
    <t>Administration staff</t>
  </si>
  <si>
    <t>IE-2a-5</t>
  </si>
  <si>
    <t>Operational &amp; maintenance staff</t>
  </si>
  <si>
    <t>IE-2a-6</t>
  </si>
  <si>
    <t>Commercial staff costs</t>
  </si>
  <si>
    <t>IE-2a-7</t>
  </si>
  <si>
    <t>Apprenticeship payroll levy charge</t>
  </si>
  <si>
    <t>IE-2a-8</t>
  </si>
  <si>
    <t>Other staff costs</t>
  </si>
  <si>
    <t>IE-2a-9</t>
  </si>
  <si>
    <t>FRS102 adj. - LGPS current service costs (non-cash)</t>
  </si>
  <si>
    <t>IE-2a</t>
  </si>
  <si>
    <t>Total Staff Costs (excl. restructuring)</t>
  </si>
  <si>
    <t>Other operating expenditure</t>
  </si>
  <si>
    <t>IE-2b-1</t>
  </si>
  <si>
    <t>Teaching costs</t>
  </si>
  <si>
    <t>IE-2b-2</t>
  </si>
  <si>
    <t>Teaching and other support costs</t>
  </si>
  <si>
    <t>IE-2b-3</t>
  </si>
  <si>
    <t>Administration costs</t>
  </si>
  <si>
    <t>IE-2b-4</t>
  </si>
  <si>
    <t>Operational &amp; maintenance costs</t>
  </si>
  <si>
    <t>IE-2b-5</t>
  </si>
  <si>
    <t>Examination costs</t>
  </si>
  <si>
    <t>IE-2b-6</t>
  </si>
  <si>
    <t>Rent and lease costs</t>
  </si>
  <si>
    <t>IE-2b-7</t>
  </si>
  <si>
    <t>Commercial costs</t>
  </si>
  <si>
    <t>IE-2b-8</t>
  </si>
  <si>
    <t>Subcontracting out costs</t>
  </si>
  <si>
    <t>IE-2b-9</t>
  </si>
  <si>
    <t>Bad debt provision costs</t>
  </si>
  <si>
    <t>IE-2b-10</t>
  </si>
  <si>
    <t>Other operating expenditure costs</t>
  </si>
  <si>
    <t>IE-2b-11</t>
  </si>
  <si>
    <t>Provisions made (released)</t>
  </si>
  <si>
    <t>IE-2b</t>
  </si>
  <si>
    <t>Total Other operating expenditure</t>
  </si>
  <si>
    <t>Staff Restructuring Costs</t>
  </si>
  <si>
    <t>IE-2c-1</t>
  </si>
  <si>
    <t>Staff restructuring costs  (excl. enhanced pension costs)</t>
  </si>
  <si>
    <t>IE-2c-2</t>
  </si>
  <si>
    <t>Staff restructuring enhanced pension costs</t>
  </si>
  <si>
    <t>IE-2c</t>
  </si>
  <si>
    <t>Total Staff Restructuring Costs</t>
  </si>
  <si>
    <t>IE-2</t>
  </si>
  <si>
    <t>Total Operating Expenditure</t>
  </si>
  <si>
    <t>IE-3</t>
  </si>
  <si>
    <t>Net Operating Income</t>
  </si>
  <si>
    <t>IE-4a</t>
  </si>
  <si>
    <t>Release of Capital Grants</t>
  </si>
  <si>
    <t>IE-4</t>
  </si>
  <si>
    <t>Surplus/(deficit) before ITDA</t>
  </si>
  <si>
    <t>Interest, tax, depreciation and amortisation</t>
  </si>
  <si>
    <t>IE-5a-1</t>
  </si>
  <si>
    <t>Depreciation and amortisation</t>
  </si>
  <si>
    <t>IE-5a-2</t>
  </si>
  <si>
    <t>Interest and investment income</t>
  </si>
  <si>
    <t>IE-5a-3</t>
  </si>
  <si>
    <t>Interest and other finance costs</t>
  </si>
  <si>
    <t>IE-5a-4</t>
  </si>
  <si>
    <t>FRS102 adj. - LGPS and EPP net interest charge (non-cash)</t>
  </si>
  <si>
    <t>IE-5a-5</t>
  </si>
  <si>
    <t>Taxation</t>
  </si>
  <si>
    <t>IE-5a</t>
  </si>
  <si>
    <t>Total interest, tax, depreciation and amortisation</t>
  </si>
  <si>
    <t>IE-5</t>
  </si>
  <si>
    <t>Surplus/(deficit) after interest, tax, depreciation and amortisation costs</t>
  </si>
  <si>
    <t>Other gains and losses</t>
  </si>
  <si>
    <t>IE-6a-1a</t>
  </si>
  <si>
    <t>Gain/(loss) on disposal of fixed assets</t>
  </si>
  <si>
    <t>IE-6a-1b</t>
  </si>
  <si>
    <t>Gain/(loss) on Disposal of Investments</t>
  </si>
  <si>
    <t>IE-6a-2</t>
  </si>
  <si>
    <t>Surplus/(loss) on Revaluation of Investments</t>
  </si>
  <si>
    <t>IE-6a-3</t>
  </si>
  <si>
    <t>Share of surplus / (deficit) in JVs and Associates (inc. overseas)</t>
  </si>
  <si>
    <t>IE-6a-4</t>
  </si>
  <si>
    <t>Fair value of Net Assets due to merger / de-merger</t>
  </si>
  <si>
    <t>IE-6a</t>
  </si>
  <si>
    <t>Total other gains and losses</t>
  </si>
  <si>
    <t>IE-6</t>
  </si>
  <si>
    <t>IE-7a</t>
  </si>
  <si>
    <t>Transfers (to)/from revaluation reserve adjustment</t>
  </si>
  <si>
    <t>IE-7b</t>
  </si>
  <si>
    <t>Actuarial gain/(loss) on pensions adjustment</t>
  </si>
  <si>
    <t>IE-7</t>
  </si>
  <si>
    <t>Total Comprehensive Income</t>
  </si>
  <si>
    <t>Education-Specific EBITDA</t>
  </si>
  <si>
    <t>IE-8a</t>
  </si>
  <si>
    <t>Restructuring Facility related expenditure</t>
  </si>
  <si>
    <t>IE-8b</t>
  </si>
  <si>
    <t>IE-8</t>
  </si>
  <si>
    <t>Education-specific EBITDA</t>
  </si>
  <si>
    <t>IE-Nar</t>
  </si>
  <si>
    <t>Balance Check</t>
  </si>
  <si>
    <t>Statutory Statement of Comprehensive Income</t>
  </si>
  <si>
    <t>FS-SOCI-1a</t>
  </si>
  <si>
    <t>FS-SOCI-1b</t>
  </si>
  <si>
    <t>FS-SOCI-1c</t>
  </si>
  <si>
    <t>FS-SOCI-1d</t>
  </si>
  <si>
    <t>FS-SOCI-1e</t>
  </si>
  <si>
    <t>FS-SOCI-1</t>
  </si>
  <si>
    <t>Total income</t>
  </si>
  <si>
    <t>FS-SOCI-2a</t>
  </si>
  <si>
    <t>FS-SOCI-2b</t>
  </si>
  <si>
    <t>FS-SOCI-2</t>
  </si>
  <si>
    <t>Total expenditure</t>
  </si>
  <si>
    <t>FS-SOCI-3</t>
  </si>
  <si>
    <t>Surplus/(deficit) before interest, tax, depreciation and amortisation costs</t>
  </si>
  <si>
    <t>Interest, tax, depreciation and amortisation costs</t>
  </si>
  <si>
    <t>FS-SOCI-4a</t>
  </si>
  <si>
    <t>FS-SOCI-4b</t>
  </si>
  <si>
    <t>FS-SOCI-4c</t>
  </si>
  <si>
    <t>FS-SOCI-4</t>
  </si>
  <si>
    <t>Total interest, tax, depreciation and amortisation costs</t>
  </si>
  <si>
    <t>FS-SOCI-5</t>
  </si>
  <si>
    <t>FS-SOCI-6a</t>
  </si>
  <si>
    <t>FS-SOCI-6b</t>
  </si>
  <si>
    <t>Gain/(loss) on investments</t>
  </si>
  <si>
    <t>FS-SOCI-6c</t>
  </si>
  <si>
    <t>FS-SOCI-6d</t>
  </si>
  <si>
    <t>Share of surplus/(deficit) in joint venture and associates</t>
  </si>
  <si>
    <t>FS-SOCI-6e</t>
  </si>
  <si>
    <t>FS-SOCI-6</t>
  </si>
  <si>
    <t>FS-SOCI-7</t>
  </si>
  <si>
    <t>Other comprehensive income</t>
  </si>
  <si>
    <t>FS-SOCI-8a</t>
  </si>
  <si>
    <t>Transfer (to)/from revaluation reserve</t>
  </si>
  <si>
    <t>FS-SOCI-8b</t>
  </si>
  <si>
    <t>Actuarial gain/(loss) on LGPS</t>
  </si>
  <si>
    <t>FS-SOCI-8</t>
  </si>
  <si>
    <t>Total comprehensive income</t>
  </si>
  <si>
    <t>FS-SOCI-Nar</t>
  </si>
  <si>
    <t>CFFR SOCI</t>
  </si>
  <si>
    <t>CFFR Statement of Comprehensive Income</t>
  </si>
  <si>
    <t>FS-IE-1a</t>
  </si>
  <si>
    <t>Total 14-19 Income</t>
  </si>
  <si>
    <t>FS-IE-1b</t>
  </si>
  <si>
    <t>FS-IE-1c</t>
  </si>
  <si>
    <t>FS-IE-1d</t>
  </si>
  <si>
    <t>FS-IE-1e</t>
  </si>
  <si>
    <t>FS-IE-1f</t>
  </si>
  <si>
    <t>FS-IE-1g</t>
  </si>
  <si>
    <t>FS-IE-1h</t>
  </si>
  <si>
    <t>FS-IE-1i</t>
  </si>
  <si>
    <t>FS-IE-1j</t>
  </si>
  <si>
    <t>FS-IE-1</t>
  </si>
  <si>
    <t>FS-IE-1SO</t>
  </si>
  <si>
    <t>FS-IE-2a</t>
  </si>
  <si>
    <t>FS-IE-2b</t>
  </si>
  <si>
    <t>FS-IE-2c</t>
  </si>
  <si>
    <t>FS-IE-2</t>
  </si>
  <si>
    <t xml:space="preserve">Total Operating Expenditure </t>
  </si>
  <si>
    <t>FS-IE-3</t>
  </si>
  <si>
    <t>FS-IE-4a</t>
  </si>
  <si>
    <t>Surplus/(deficit) before ITDA Reconciliation</t>
  </si>
  <si>
    <t>FS-IE-5a-1</t>
  </si>
  <si>
    <t>FS-IE-5a-2</t>
  </si>
  <si>
    <t>FS-IE-5a-3</t>
  </si>
  <si>
    <t>FS-IE-5a-4</t>
  </si>
  <si>
    <t>FS-IE-5a-5</t>
  </si>
  <si>
    <t>FS-IE-5a</t>
  </si>
  <si>
    <t>FS-IE-5</t>
  </si>
  <si>
    <t>FS-IE-6a-1a</t>
  </si>
  <si>
    <t>FS-IE-6a-1b</t>
  </si>
  <si>
    <t>FS-IE-6a-2</t>
  </si>
  <si>
    <t>FS-IE-6a-3</t>
  </si>
  <si>
    <t>FS-IE-6a-4</t>
  </si>
  <si>
    <t>FS-IE-6a</t>
  </si>
  <si>
    <t>Total surplus/(deficit) for the year Reconciliation</t>
  </si>
  <si>
    <t>FS-IE-7</t>
  </si>
  <si>
    <t>FS-IE-Nar</t>
  </si>
  <si>
    <t>Balance Sheet</t>
  </si>
  <si>
    <t>Link</t>
  </si>
  <si>
    <t>Non-Current Assets</t>
  </si>
  <si>
    <t>B-1a-CB</t>
  </si>
  <si>
    <t>Land &amp; Buildings</t>
  </si>
  <si>
    <t>B-1b-CB</t>
  </si>
  <si>
    <t>Equipment</t>
  </si>
  <si>
    <t>B-1c-CB</t>
  </si>
  <si>
    <t>Other NCA</t>
  </si>
  <si>
    <t>B-1d-CB</t>
  </si>
  <si>
    <t>Assets under Construction</t>
  </si>
  <si>
    <t>B-1e-CB</t>
  </si>
  <si>
    <t>Investments</t>
  </si>
  <si>
    <t>B-1f-CB</t>
  </si>
  <si>
    <t>Investment in JVs and Associates (inc. overseas)</t>
  </si>
  <si>
    <t>B-1g-CB</t>
  </si>
  <si>
    <t>Debtors falling due after one year</t>
  </si>
  <si>
    <t>FS-B-1-CB</t>
  </si>
  <si>
    <t>Total Non-Current Assets</t>
  </si>
  <si>
    <t>Current Assets</t>
  </si>
  <si>
    <t>B-2a-CB</t>
  </si>
  <si>
    <t xml:space="preserve">Assets Held for Sale </t>
  </si>
  <si>
    <t>B-2b-CB</t>
  </si>
  <si>
    <t>Stock</t>
  </si>
  <si>
    <t>B-2c-CB</t>
  </si>
  <si>
    <t>Trade Receivables</t>
  </si>
  <si>
    <t>B-2d-CB</t>
  </si>
  <si>
    <t>Other Receivables</t>
  </si>
  <si>
    <t>B-2e-CB</t>
  </si>
  <si>
    <t>Bad Debt Provision</t>
  </si>
  <si>
    <t>-ve</t>
  </si>
  <si>
    <t>B-2f-CB</t>
  </si>
  <si>
    <t>Prepayments</t>
  </si>
  <si>
    <t>B-2g-CB</t>
  </si>
  <si>
    <t>Accrued Income</t>
  </si>
  <si>
    <t>B-2h-CB</t>
  </si>
  <si>
    <t>Short-term Investments</t>
  </si>
  <si>
    <t>IC-5</t>
  </si>
  <si>
    <t>Cash and Cash Equivalents</t>
  </si>
  <si>
    <t>B-2j-CB</t>
  </si>
  <si>
    <t xml:space="preserve">Restricted Cash </t>
  </si>
  <si>
    <t>FS-B-2-CB</t>
  </si>
  <si>
    <t>Total Current Assets</t>
  </si>
  <si>
    <t>Creditors: amounts falling due within one year</t>
  </si>
  <si>
    <t>B-3a-CB</t>
  </si>
  <si>
    <t>Overdrafts</t>
  </si>
  <si>
    <t>B-3b-CB</t>
  </si>
  <si>
    <t>Loans (DfE / ESFA)</t>
  </si>
  <si>
    <t>B-3c-CB</t>
  </si>
  <si>
    <t>Commercial Loans</t>
  </si>
  <si>
    <t>B-3d-CB</t>
  </si>
  <si>
    <t>Finance Lease Obligations</t>
  </si>
  <si>
    <t>B-3e-CB</t>
  </si>
  <si>
    <t>Interest Payable</t>
  </si>
  <si>
    <t>B-3f-CB</t>
  </si>
  <si>
    <t>Deferred Income - Capital Grant Liability</t>
  </si>
  <si>
    <t>B-3g-CB</t>
  </si>
  <si>
    <t>Trade Payables</t>
  </si>
  <si>
    <t>B-3h-CB</t>
  </si>
  <si>
    <t>Other Payments on Account</t>
  </si>
  <si>
    <t>B-3i-CB</t>
  </si>
  <si>
    <t>Other Liabilities</t>
  </si>
  <si>
    <t>B-3j-CB</t>
  </si>
  <si>
    <t>Fixed Assets Retentions</t>
  </si>
  <si>
    <t>B-3k-CB</t>
  </si>
  <si>
    <t>B-3l-CB</t>
  </si>
  <si>
    <t>AEB Clawback</t>
  </si>
  <si>
    <t>B-3m-CB</t>
  </si>
  <si>
    <t>Deferred Income - Revenue</t>
  </si>
  <si>
    <t>B-3n-CB</t>
  </si>
  <si>
    <t>Accruals</t>
  </si>
  <si>
    <t>B-3o-CB</t>
  </si>
  <si>
    <t>Holiday and Sabbatical Pay Accrual</t>
  </si>
  <si>
    <t>B-3p-CB</t>
  </si>
  <si>
    <t>Bursary Deferred Income Account</t>
  </si>
  <si>
    <t>B-3q-CB</t>
  </si>
  <si>
    <t>Corporation Tax</t>
  </si>
  <si>
    <t>B-3r-CB</t>
  </si>
  <si>
    <t>Other Taxation and Social Security</t>
  </si>
  <si>
    <t>FS-B-3-CB</t>
  </si>
  <si>
    <t>Total Creditors: amounts falling due within one year</t>
  </si>
  <si>
    <t>B-4</t>
  </si>
  <si>
    <t>Net Current Assets/(Liabilities)</t>
  </si>
  <si>
    <t>B-5</t>
  </si>
  <si>
    <t>Total assets less current liabilities</t>
  </si>
  <si>
    <t>Creditors: amounts falling due after one year</t>
  </si>
  <si>
    <t>B-6a-CB</t>
  </si>
  <si>
    <t>B-6b-CB</t>
  </si>
  <si>
    <t>B-6c-CB</t>
  </si>
  <si>
    <t>B-6d-CB</t>
  </si>
  <si>
    <t>B-6e-CB</t>
  </si>
  <si>
    <t>B-6f-CB</t>
  </si>
  <si>
    <t>FS-B-6-CB</t>
  </si>
  <si>
    <t>Total Creditors: amounts falling due after one year</t>
  </si>
  <si>
    <t>Provisions</t>
  </si>
  <si>
    <t>B-7a-CB</t>
  </si>
  <si>
    <t>Local Government Pension Scheme Provision</t>
  </si>
  <si>
    <t>B-7b-CB</t>
  </si>
  <si>
    <t>Enhanced Pension Provision</t>
  </si>
  <si>
    <t>B-7c-CB</t>
  </si>
  <si>
    <t>Other Pension Provisions</t>
  </si>
  <si>
    <t>B-7d-CB</t>
  </si>
  <si>
    <t>Other Provisions</t>
  </si>
  <si>
    <t>FS-B-7-CB</t>
  </si>
  <si>
    <t>Total Provisions</t>
  </si>
  <si>
    <t>B-8</t>
  </si>
  <si>
    <t>Total net assets</t>
  </si>
  <si>
    <t>Reserves</t>
  </si>
  <si>
    <t>B-9a-CB</t>
  </si>
  <si>
    <t>Revaluation Reserve</t>
  </si>
  <si>
    <t>B-9b-CB</t>
  </si>
  <si>
    <t>Restricted Reserve</t>
  </si>
  <si>
    <t>B-9c-CB</t>
  </si>
  <si>
    <t>I&amp;E Reserve</t>
  </si>
  <si>
    <t>FS-B-8-CB</t>
  </si>
  <si>
    <t>Total Reserves</t>
  </si>
  <si>
    <t>Net Balance Sheet Position</t>
  </si>
  <si>
    <t>B-Nar</t>
  </si>
  <si>
    <t>Cashflow</t>
  </si>
  <si>
    <t>Cash check</t>
  </si>
  <si>
    <t>Cash flow from operating activities</t>
  </si>
  <si>
    <t>Surplus/(Deficit) for the year</t>
  </si>
  <si>
    <t>Adjustment for non-cash items</t>
  </si>
  <si>
    <t>IC-1a</t>
  </si>
  <si>
    <t>IC-1b</t>
  </si>
  <si>
    <t>IC-1c</t>
  </si>
  <si>
    <t>Benefit on acquisitions released to Income</t>
  </si>
  <si>
    <t>IC-1d</t>
  </si>
  <si>
    <t>(Loss) / Gain on endowments, donations and investment property</t>
  </si>
  <si>
    <t>IC-1e</t>
  </si>
  <si>
    <t>Decrease / (Increase) in stock</t>
  </si>
  <si>
    <t>IC-1f</t>
  </si>
  <si>
    <t>Decrease / (Increase) in debtors due within one year</t>
  </si>
  <si>
    <t>IC-1g</t>
  </si>
  <si>
    <t>Decrease / (Increase) in debtors due after one year</t>
  </si>
  <si>
    <t>IC-1h</t>
  </si>
  <si>
    <t>Increase / (Decrease) in creditors due within one year</t>
  </si>
  <si>
    <t>IC-1i</t>
  </si>
  <si>
    <t>Increase / (Decrease) in creditors due after one year</t>
  </si>
  <si>
    <t>IC-1j</t>
  </si>
  <si>
    <t>Increase / (Decrease) in provisions</t>
  </si>
  <si>
    <t>IC-1k</t>
  </si>
  <si>
    <t>Receipt of donated equipment</t>
  </si>
  <si>
    <t>IC-1l</t>
  </si>
  <si>
    <t>Release of deferred capital grants</t>
  </si>
  <si>
    <t>IC-1m</t>
  </si>
  <si>
    <t>Pension costs less contributions payable</t>
  </si>
  <si>
    <t>IC-1n</t>
  </si>
  <si>
    <t>Share of operating surplus / (deficit) in JVs &amp; associates (inc. overseas)</t>
  </si>
  <si>
    <t>IC-1o</t>
  </si>
  <si>
    <t>Non-controlling interest</t>
  </si>
  <si>
    <t>IC-1p</t>
  </si>
  <si>
    <t>Adjustment for investing or financing activities</t>
  </si>
  <si>
    <t>IC-1q</t>
  </si>
  <si>
    <t>IC-1r</t>
  </si>
  <si>
    <t>Interest payable and other finance costs</t>
  </si>
  <si>
    <t>IC-1s</t>
  </si>
  <si>
    <t>(Gain)/Loss on the sale of fixed assets</t>
  </si>
  <si>
    <t>IC-1t</t>
  </si>
  <si>
    <t>Taxation paid</t>
  </si>
  <si>
    <t>IC-1u</t>
  </si>
  <si>
    <t>Cash flows from investing activities</t>
  </si>
  <si>
    <t>IC-2a</t>
  </si>
  <si>
    <t>Receipts from sale of non-current assets</t>
  </si>
  <si>
    <t>IC-2b</t>
  </si>
  <si>
    <t>Repayment of capital grants</t>
  </si>
  <si>
    <t>IC-2c</t>
  </si>
  <si>
    <t>Payments made to acquire non-current assets and investments</t>
  </si>
  <si>
    <t>IC-2d</t>
  </si>
  <si>
    <t>Release of restricted cash</t>
  </si>
  <si>
    <t>IC-2e</t>
  </si>
  <si>
    <t>Receipt of deferred capital grants</t>
  </si>
  <si>
    <t>IC-2f</t>
  </si>
  <si>
    <t>Dividends received from investment in JVs</t>
  </si>
  <si>
    <t>IC-2g</t>
  </si>
  <si>
    <t>IC-2h</t>
  </si>
  <si>
    <t>IC-2</t>
  </si>
  <si>
    <t>Net cash flow from investing activities</t>
  </si>
  <si>
    <t>Cash flows from financing activities</t>
  </si>
  <si>
    <t>IC-3a</t>
  </si>
  <si>
    <t>Interest and finance fee payments</t>
  </si>
  <si>
    <t>IC-3b</t>
  </si>
  <si>
    <t>Interest element of finance lease rental payments</t>
  </si>
  <si>
    <t>IC-3c</t>
  </si>
  <si>
    <t>New long term loans/Finance leases</t>
  </si>
  <si>
    <t>IC-3d-1</t>
  </si>
  <si>
    <t>Loan Capital Repayment (as per loan agreement)</t>
  </si>
  <si>
    <t>IC-3d-2</t>
  </si>
  <si>
    <t>Early Loan Capital Repayment</t>
  </si>
  <si>
    <t>IC-3e</t>
  </si>
  <si>
    <t>Capital element of finance lease rental payments</t>
  </si>
  <si>
    <t>IC-3f</t>
  </si>
  <si>
    <t>Cash movement due to merger / de-merger</t>
  </si>
  <si>
    <t>IC-3g</t>
  </si>
  <si>
    <t>IC-3</t>
  </si>
  <si>
    <t>Net cash flow from financing activities</t>
  </si>
  <si>
    <t>IC-4</t>
  </si>
  <si>
    <t>Increase/(decrease) in cash and cash equivalents</t>
  </si>
  <si>
    <t>Correct cash movement based on beginning/end of the year</t>
  </si>
  <si>
    <t>IC-5a</t>
  </si>
  <si>
    <t>Cash and cash equivalents at beginning of the year</t>
  </si>
  <si>
    <t>Cash and cash equivalents at end of the year</t>
  </si>
  <si>
    <t>IC-Nar</t>
  </si>
  <si>
    <t>Yes</t>
  </si>
  <si>
    <t>No</t>
  </si>
  <si>
    <t>Misc-1</t>
  </si>
  <si>
    <t>Misc-1a</t>
  </si>
  <si>
    <t>Accounting Officer's salary</t>
  </si>
  <si>
    <t>Misc-1b</t>
  </si>
  <si>
    <t>Accounting Officer's performance related pay &amp; bonus</t>
  </si>
  <si>
    <t>Misc-1c</t>
  </si>
  <si>
    <t>Severance and compensation for loss of office payments to the Accounting Officer</t>
  </si>
  <si>
    <t>Misc-1d</t>
  </si>
  <si>
    <t>Accounting Officer's other emoluments including benefits in kind</t>
  </si>
  <si>
    <t>Misc-1e</t>
  </si>
  <si>
    <t>Accounting Officer's pension contributions</t>
  </si>
  <si>
    <t>Misc-1f</t>
  </si>
  <si>
    <t>Have multiple persons held the position during the year?</t>
  </si>
  <si>
    <t>Misc-1g</t>
  </si>
  <si>
    <t>Pay Multiple - Accounting Officer's basic salary / median pay of all other employees</t>
  </si>
  <si>
    <t>Misc-1h</t>
  </si>
  <si>
    <t>Pay Multiple - Accounting Officer's total emoluments / median pay of all other employees</t>
  </si>
  <si>
    <t>Misc-2</t>
  </si>
  <si>
    <t>Audit fees £000s</t>
  </si>
  <si>
    <t>Misc-2ai</t>
  </si>
  <si>
    <t>External audit (incl regularity engagement)</t>
  </si>
  <si>
    <t>Misc-2aii</t>
  </si>
  <si>
    <t>Regularity engagement (if known)</t>
  </si>
  <si>
    <t>Misc-2b</t>
  </si>
  <si>
    <t>Internal audit</t>
  </si>
  <si>
    <t>Misc-2c</t>
  </si>
  <si>
    <t>Other services provided by external auditor</t>
  </si>
  <si>
    <t>Misc-2d</t>
  </si>
  <si>
    <t>Other services provided by internal auditor</t>
  </si>
  <si>
    <t>Misc-3</t>
  </si>
  <si>
    <t>External audit</t>
  </si>
  <si>
    <t>Misc-3a</t>
  </si>
  <si>
    <t>Name of external auditor</t>
  </si>
  <si>
    <t>Misc-4</t>
  </si>
  <si>
    <t>Misc-4a</t>
  </si>
  <si>
    <t>Name of internal auditor</t>
  </si>
  <si>
    <t>Misc-4b</t>
  </si>
  <si>
    <t>Internal audit number of days</t>
  </si>
  <si>
    <t>Misc-4c</t>
  </si>
  <si>
    <t>Internal audit daily rate (£)</t>
  </si>
  <si>
    <t>Misc-5</t>
  </si>
  <si>
    <t>I&amp;E reserve</t>
  </si>
  <si>
    <t>Misc-5a</t>
  </si>
  <si>
    <t>I&amp;E reserve incl FRS102 (28) bfwd</t>
  </si>
  <si>
    <t>Misc-5b</t>
  </si>
  <si>
    <t>Misc-5c</t>
  </si>
  <si>
    <t>Transfer (to)/from restricted reserves</t>
  </si>
  <si>
    <t>Misc-5d</t>
  </si>
  <si>
    <t xml:space="preserve">Enhanced pension - actuarial gain/(loss) </t>
  </si>
  <si>
    <t>Misc-5f</t>
  </si>
  <si>
    <t>I&amp;E reserve incl FRS102 (28) cfwd</t>
  </si>
  <si>
    <t>Misc-5g</t>
  </si>
  <si>
    <t xml:space="preserve">FRS102 (28) surplus/(deficit) in pension scheme at 31 July </t>
  </si>
  <si>
    <t>I&amp;E reserve excl FRS102 (28) cfwd</t>
  </si>
  <si>
    <t>Misc-6</t>
  </si>
  <si>
    <t>FRS102 (28) - LGPS</t>
  </si>
  <si>
    <t>Misc-6a</t>
  </si>
  <si>
    <t xml:space="preserve">(Surplus)/deficit in scheme at 1 August </t>
  </si>
  <si>
    <t>+ve (Cr)</t>
  </si>
  <si>
    <t>Misc-6b</t>
  </si>
  <si>
    <t>Current service charge net of employee contributions</t>
  </si>
  <si>
    <t>Misc-6c</t>
  </si>
  <si>
    <t xml:space="preserve">Employer Contributions </t>
  </si>
  <si>
    <t>-ve (Dr)</t>
  </si>
  <si>
    <t>Misc-6d</t>
  </si>
  <si>
    <t xml:space="preserve">Past Service Deficit Employer Contributions </t>
  </si>
  <si>
    <t>Misc-6e</t>
  </si>
  <si>
    <t>Past service costs</t>
  </si>
  <si>
    <t>Misc-6f</t>
  </si>
  <si>
    <t>Curtailments and settlements</t>
  </si>
  <si>
    <t>Misc-6g</t>
  </si>
  <si>
    <t>Expected return on pension assets</t>
  </si>
  <si>
    <t>Misc-6h</t>
  </si>
  <si>
    <t>Interest on pension liabilities</t>
  </si>
  <si>
    <t>Misc-6i</t>
  </si>
  <si>
    <t>Actuarial (gain)/loss</t>
  </si>
  <si>
    <t>Misc-6j</t>
  </si>
  <si>
    <t>Lumpsum settlement payment</t>
  </si>
  <si>
    <t>Misc-6k</t>
  </si>
  <si>
    <t>Movement due to mergers</t>
  </si>
  <si>
    <t>Closing Balance</t>
  </si>
  <si>
    <t>Misc-7</t>
  </si>
  <si>
    <t>Misc-7a</t>
  </si>
  <si>
    <t>Opening Balance</t>
  </si>
  <si>
    <t>Misc-7b</t>
  </si>
  <si>
    <t>Additions in period</t>
  </si>
  <si>
    <t>Misc-7c</t>
  </si>
  <si>
    <t>Net interest on provision in period</t>
  </si>
  <si>
    <t>Misc-7d</t>
  </si>
  <si>
    <t>Released in period</t>
  </si>
  <si>
    <t>Misc-7e</t>
  </si>
  <si>
    <t>Misc-7f</t>
  </si>
  <si>
    <t>Misc-8</t>
  </si>
  <si>
    <t>Misc-8a</t>
  </si>
  <si>
    <t>Misc-8b</t>
  </si>
  <si>
    <t>Misc-8c</t>
  </si>
  <si>
    <t>Misc-8d</t>
  </si>
  <si>
    <t>Misc-8e</t>
  </si>
  <si>
    <t>Misc-8f</t>
  </si>
  <si>
    <t>Misc-8g</t>
  </si>
  <si>
    <t>Misc-9</t>
  </si>
  <si>
    <t>Pension Assumptions</t>
  </si>
  <si>
    <t>LGPS</t>
  </si>
  <si>
    <t>S1.10a</t>
  </si>
  <si>
    <t>The latest triennial Scheme Funding valuation attributed to the college by the pension fund £000s</t>
  </si>
  <si>
    <t>S1.10b</t>
  </si>
  <si>
    <t>Deficit Recovery Period (years)</t>
  </si>
  <si>
    <t>S1.10e</t>
  </si>
  <si>
    <t>S1.10f</t>
  </si>
  <si>
    <t>S1.10g</t>
  </si>
  <si>
    <t>S1.10gi</t>
  </si>
  <si>
    <t>S1.10gii</t>
  </si>
  <si>
    <t>S1.11</t>
  </si>
  <si>
    <t>Teachers' Pension Scheme</t>
  </si>
  <si>
    <t xml:space="preserve">It is important that you explain clearly for LGPS and TPS: 
       </t>
  </si>
  <si>
    <t xml:space="preserve"> - the impact of scheme revaluations on employer contribution rates and deficit payments</t>
  </si>
  <si>
    <t xml:space="preserve">  - assumptions supporting the TPS and level of government support</t>
  </si>
  <si>
    <t>Misc-11</t>
  </si>
  <si>
    <t>Governance Reviews</t>
  </si>
  <si>
    <t>Misc-11a</t>
  </si>
  <si>
    <t>Has an annual governance self-assessment review taken place during the period covered by the accounts?</t>
  </si>
  <si>
    <t>Misc-11b</t>
  </si>
  <si>
    <t xml:space="preserve">Has an external governance review taken place during the period covered by the accounts? </t>
  </si>
  <si>
    <t>Misc-12</t>
  </si>
  <si>
    <t>Other Accounts Information</t>
  </si>
  <si>
    <t>Misc-12a</t>
  </si>
  <si>
    <t>Irrecoverable VAT (£000)</t>
  </si>
  <si>
    <t>Misc-12b</t>
  </si>
  <si>
    <t>What is the total value of goods and services purchased in the year from related parties external to the corporation?  (£000)</t>
  </si>
  <si>
    <t>Misc-13</t>
  </si>
  <si>
    <t>Subsidiaries</t>
  </si>
  <si>
    <t>S1.7a</t>
  </si>
  <si>
    <t>Does the college sponsor any academy trusts?</t>
  </si>
  <si>
    <t>S1.7b</t>
  </si>
  <si>
    <t>Is the sponsored academy trust(s) included in the college's consolidated accounts?</t>
  </si>
  <si>
    <t>S1.7c</t>
  </si>
  <si>
    <t>How many subsidiaries does the college have?</t>
  </si>
  <si>
    <t>S1.7d</t>
  </si>
  <si>
    <t>How many overseas subsidiaries does the college have?</t>
  </si>
  <si>
    <t>S1.7e</t>
  </si>
  <si>
    <t>Have all subsidiary companies been included in the college's consolidated accounts?</t>
  </si>
  <si>
    <t>Subsidiary name</t>
  </si>
  <si>
    <t>Subsidiary UKPRN (if applicable)</t>
  </si>
  <si>
    <t>S1.7f</t>
  </si>
  <si>
    <t>S1.7g</t>
  </si>
  <si>
    <t>S1.7h</t>
  </si>
  <si>
    <t>S1.7i</t>
  </si>
  <si>
    <t>S1.7j</t>
  </si>
  <si>
    <t>S1.7k</t>
  </si>
  <si>
    <t>S1.7l</t>
  </si>
  <si>
    <t>S1.7m</t>
  </si>
  <si>
    <t>S1.7n</t>
  </si>
  <si>
    <t>Loans</t>
  </si>
  <si>
    <t>S1.9a</t>
  </si>
  <si>
    <t>Please enter the value of any new bank or new commercial loan (£000s)</t>
  </si>
  <si>
    <t>S1.9b</t>
  </si>
  <si>
    <t>Please enter the value of any new  DfE / ESFA loan or government loan (£000s)</t>
  </si>
  <si>
    <t>Loans: amounts falling due within one year</t>
  </si>
  <si>
    <t>Misc-14ai</t>
  </si>
  <si>
    <t>DfE/ESFA Insolvency loans</t>
  </si>
  <si>
    <t>Misc-14aii</t>
  </si>
  <si>
    <t>DfE/ESFA RF / EFS loans</t>
  </si>
  <si>
    <t>Misc-14aiii</t>
  </si>
  <si>
    <t>DfE/ESFA Reclassification refinancing</t>
  </si>
  <si>
    <t>Misc-14aiv</t>
  </si>
  <si>
    <t>DfE/ESFA Capital loans</t>
  </si>
  <si>
    <t>Misc-14a</t>
  </si>
  <si>
    <t>Total</t>
  </si>
  <si>
    <t>Misc-14bi</t>
  </si>
  <si>
    <t>Commercial - Banks</t>
  </si>
  <si>
    <t>Misc-14bii</t>
  </si>
  <si>
    <t>Commercial - SALIX</t>
  </si>
  <si>
    <t>Misc-14biii</t>
  </si>
  <si>
    <t>Commercial - CBILS</t>
  </si>
  <si>
    <t>Misc-14biv</t>
  </si>
  <si>
    <t>Commercial - other</t>
  </si>
  <si>
    <t>Misc-14b</t>
  </si>
  <si>
    <t>Loans: amounts falling due after one year</t>
  </si>
  <si>
    <t>Misc-15ai</t>
  </si>
  <si>
    <t>Misc-15aii</t>
  </si>
  <si>
    <t>Misc-15aiii</t>
  </si>
  <si>
    <t>Misc-15aiv</t>
  </si>
  <si>
    <t>Misc-15a</t>
  </si>
  <si>
    <t>Misc-15bi</t>
  </si>
  <si>
    <t>Misc-15bii</t>
  </si>
  <si>
    <t>Misc-15biii</t>
  </si>
  <si>
    <t>Misc-15biv</t>
  </si>
  <si>
    <t>Misc-15b</t>
  </si>
  <si>
    <t>Note - the following details about covenant breaches and non-current asset sales will not be published</t>
  </si>
  <si>
    <t>Covenant breaches</t>
  </si>
  <si>
    <t>Misc-16</t>
  </si>
  <si>
    <t>Is the college forecasting any breach of loan covenants in the next 12 months?</t>
  </si>
  <si>
    <t>Disposals of non-current assets</t>
  </si>
  <si>
    <t>Misc-17a</t>
  </si>
  <si>
    <t>Misc-17b</t>
  </si>
  <si>
    <t>Have proceeds from any asset sales been reinvested, or are they planned to be reinvested, in other capital projects?</t>
  </si>
  <si>
    <t>Misc-17bi</t>
  </si>
  <si>
    <r>
      <rPr>
        <b/>
        <sz val="11"/>
        <rFont val="Calibri"/>
        <family val="2"/>
        <scheme val="minor"/>
      </rPr>
      <t xml:space="preserve">   If known: </t>
    </r>
    <r>
      <rPr>
        <sz val="11"/>
        <rFont val="Calibri"/>
        <family val="2"/>
        <scheme val="minor"/>
      </rPr>
      <t>What is the total value (in £000) of proceeds to be reinvested in other capital projects?</t>
    </r>
  </si>
  <si>
    <t>Misc-17c</t>
  </si>
  <si>
    <t>Have proceeds from any asset sales been used, or are they planned to be used, to pay down debt?</t>
  </si>
  <si>
    <t>Misc-17ci</t>
  </si>
  <si>
    <r>
      <rPr>
        <b/>
        <sz val="11"/>
        <rFont val="Calibri"/>
        <family val="2"/>
        <scheme val="minor"/>
      </rPr>
      <t xml:space="preserve">   If known: </t>
    </r>
    <r>
      <rPr>
        <sz val="11"/>
        <rFont val="Calibri"/>
        <family val="2"/>
        <scheme val="minor"/>
      </rPr>
      <t>What is the total value (in £000) of proceeds to be used to pay down debt?</t>
    </r>
  </si>
  <si>
    <t>Misc-17d</t>
  </si>
  <si>
    <t>Have proceeds from any asset sale been used, or are they planned to be used, to support working capital?</t>
  </si>
  <si>
    <t>Misc-17di</t>
  </si>
  <si>
    <r>
      <rPr>
        <b/>
        <sz val="11"/>
        <rFont val="Calibri"/>
        <family val="2"/>
        <scheme val="minor"/>
      </rPr>
      <t xml:space="preserve">   If known: </t>
    </r>
    <r>
      <rPr>
        <sz val="11"/>
        <rFont val="Calibri"/>
        <family val="2"/>
        <scheme val="minor"/>
      </rPr>
      <t>What is the total value (in £000) of proceeds to be used to support working capital?</t>
    </r>
  </si>
  <si>
    <t>Misc-Nar</t>
  </si>
  <si>
    <t>Parameters</t>
  </si>
  <si>
    <t>Financial Year</t>
  </si>
  <si>
    <t>Forecast vs Actual</t>
  </si>
  <si>
    <t>Period End Date</t>
  </si>
  <si>
    <t xml:space="preserve">General </t>
  </si>
  <si>
    <t>Model calculation method:</t>
  </si>
  <si>
    <t>Automated</t>
  </si>
  <si>
    <t>BS check threshold</t>
  </si>
  <si>
    <t>Cashflow check threshold</t>
  </si>
  <si>
    <t>Annual vs Monthly I&amp;E Selection Dropdown</t>
  </si>
  <si>
    <t>Monthly</t>
  </si>
  <si>
    <t>Annual</t>
  </si>
  <si>
    <t>Yes/No</t>
  </si>
  <si>
    <t>No, but one was due</t>
  </si>
  <si>
    <t>No, not due this year</t>
  </si>
  <si>
    <t>Days Parameters</t>
  </si>
  <si>
    <t>Days per year</t>
  </si>
  <si>
    <t>Days per month</t>
  </si>
  <si>
    <t>Financial Health Parameters - Existing System</t>
  </si>
  <si>
    <t>FEC Benchmarks</t>
  </si>
  <si>
    <t>Benchmark</t>
  </si>
  <si>
    <t>Definition</t>
  </si>
  <si>
    <t>Measure</t>
  </si>
  <si>
    <t xml:space="preserve">Min </t>
  </si>
  <si>
    <t>Min 2</t>
  </si>
  <si>
    <t>Adjusted Operating Surplus/Deficit (as a % of income)</t>
  </si>
  <si>
    <t>Surplus/(deficit) on continuing operations after depreciation and before exceptional items, tax, pension finance income and FRS 102 adjustments, divided by adjusted income</t>
  </si>
  <si>
    <t>&gt;1</t>
  </si>
  <si>
    <t>Net cashflow from operating activities divided by the total of interest paid, interest element of finance leases, repayment of amount borrowed and capital element of finance leases</t>
  </si>
  <si>
    <t>&gt;2</t>
  </si>
  <si>
    <t>Cash Days in Hand</t>
  </si>
  <si>
    <t>Cash and investments divided by annual operating costs and interest charges, then multiplied by 365 days.
Effectively a measure of how many days it would take to exhaust cash reserves if all income were to stop.</t>
  </si>
  <si>
    <t>&gt; 25 (all months)</t>
  </si>
  <si>
    <t>Adjusted Current Ratio</t>
  </si>
  <si>
    <t xml:space="preserve">Current assets (excluding restricted cash from disposal of fixed assets held for future reinvestment and assets held for resale) divided by current liabilities (excluding deferred capital grants and holiday pay accruals) </t>
  </si>
  <si>
    <t>&gt;1.4</t>
  </si>
  <si>
    <t>Pay costs (as a % of income)</t>
  </si>
  <si>
    <t xml:space="preserve">Total staff costs (teaching and support, including contract tuition services but excluding restructuring and FRS102 pensions adjustments) as a percentage of adjusted income (excluding franchised provision income) </t>
  </si>
  <si>
    <t>&lt;65% (GFE)
&lt;70% (SFC)</t>
  </si>
  <si>
    <t>Financial grade as defined by ESFA (to note this is currently subject to review)</t>
  </si>
  <si>
    <t>Good or outstanding</t>
  </si>
  <si>
    <t>Lookup</t>
  </si>
  <si>
    <t>Rule</t>
  </si>
  <si>
    <t>&lt; 0.5</t>
  </si>
  <si>
    <t>&gt;/= 0.5</t>
  </si>
  <si>
    <t>&gt;/= 0.6</t>
  </si>
  <si>
    <t>&gt;/= 0.7</t>
  </si>
  <si>
    <t>&gt;/= 0.8</t>
  </si>
  <si>
    <t>&gt;/= 1.0</t>
  </si>
  <si>
    <t>&gt;/= 1.2</t>
  </si>
  <si>
    <t>&gt;/= 1.4</t>
  </si>
  <si>
    <t>&gt;/= 1.6</t>
  </si>
  <si>
    <t>&gt;/= 1.8</t>
  </si>
  <si>
    <t>&gt;/= 2.0</t>
  </si>
  <si>
    <t xml:space="preserve">Sector EBITDA as % Income </t>
  </si>
  <si>
    <t>&gt;/= 1%</t>
  </si>
  <si>
    <t>&gt;/= 2%</t>
  </si>
  <si>
    <t>&gt;/= 3%</t>
  </si>
  <si>
    <t>&gt;/= 4%</t>
  </si>
  <si>
    <t>&gt;/= 5%</t>
  </si>
  <si>
    <t>&gt;/= 6%</t>
  </si>
  <si>
    <t>&gt;/= 7%</t>
  </si>
  <si>
    <t>&gt;/= 8%</t>
  </si>
  <si>
    <t>&gt;/= 9%</t>
  </si>
  <si>
    <t>&gt;/= 10%</t>
  </si>
  <si>
    <t>Borrowing as a % of Income</t>
  </si>
  <si>
    <t>0</t>
  </si>
  <si>
    <t>&gt;60%</t>
  </si>
  <si>
    <t>Debt Service Cover</t>
  </si>
  <si>
    <t>&lt;0.9</t>
  </si>
  <si>
    <t>&gt;=2.2</t>
  </si>
  <si>
    <t>&gt;=2.4</t>
  </si>
  <si>
    <t>&gt;=2.6</t>
  </si>
  <si>
    <t>Cash Generation from Operations</t>
  </si>
  <si>
    <t>Financial Health Parameters - Proposed System</t>
  </si>
  <si>
    <t>&gt;= 2.0</t>
  </si>
  <si>
    <t>N/A</t>
  </si>
  <si>
    <t>Auditors Opinion</t>
  </si>
  <si>
    <t>Unmodified opinion</t>
  </si>
  <si>
    <t>No material uncertainty in relation to going concern</t>
  </si>
  <si>
    <t>No emphasis of matter paragraph included</t>
  </si>
  <si>
    <t>Modified - Qualified opinion</t>
  </si>
  <si>
    <t>Material uncertainty in relation to going concern</t>
  </si>
  <si>
    <t>Emphasis of matter paragraph included</t>
  </si>
  <si>
    <t>Modified - Adverse opinion</t>
  </si>
  <si>
    <t>Modified - Disclaimer opinion</t>
  </si>
  <si>
    <t>Regularity</t>
  </si>
  <si>
    <t>Matters raised</t>
  </si>
  <si>
    <t>No matters raised</t>
  </si>
  <si>
    <t>Audit Committee's opinion</t>
  </si>
  <si>
    <t>Unqualified</t>
  </si>
  <si>
    <t>Qualified</t>
  </si>
  <si>
    <t>Governance Codes</t>
  </si>
  <si>
    <t>Code of Good Governance for English Colleges</t>
  </si>
  <si>
    <t>Charity Governance Code</t>
  </si>
  <si>
    <t>UK Corporate Governance Code</t>
  </si>
  <si>
    <t>We adopt or follow 2 or more codes</t>
  </si>
  <si>
    <t>College sites</t>
  </si>
  <si>
    <t>Single</t>
  </si>
  <si>
    <t>Multi</t>
  </si>
  <si>
    <t>List of auditors</t>
  </si>
  <si>
    <t>External auditors 19/20</t>
  </si>
  <si>
    <t>Internal auditors 19/20</t>
  </si>
  <si>
    <t>Alliotts</t>
  </si>
  <si>
    <t>No internal auditors appointed</t>
  </si>
  <si>
    <t>Armstrong Watson</t>
  </si>
  <si>
    <t>Audit One</t>
  </si>
  <si>
    <t>Azets Audit Services</t>
  </si>
  <si>
    <t>BDO</t>
  </si>
  <si>
    <t>Baldwins Audit Services</t>
  </si>
  <si>
    <t>Buzzacott</t>
  </si>
  <si>
    <t>Crowe Clark Whitehill LLP</t>
  </si>
  <si>
    <t>Bishop Fleming</t>
  </si>
  <si>
    <t>East Coast Audit Consortium</t>
  </si>
  <si>
    <t>Elucidate Consulting</t>
  </si>
  <si>
    <t>CK Audit</t>
  </si>
  <si>
    <t>Haines Watts</t>
  </si>
  <si>
    <t>Cooper Parry Group Limited</t>
  </si>
  <si>
    <t>Hampshire County Council</t>
  </si>
  <si>
    <t>Crowe UK LLP</t>
  </si>
  <si>
    <t>ICCA</t>
  </si>
  <si>
    <t>Francis Clark</t>
  </si>
  <si>
    <t>KPMG</t>
  </si>
  <si>
    <t>Grant Thornton</t>
  </si>
  <si>
    <t>MacIntyre Hudson</t>
  </si>
  <si>
    <t>Hazlewoods LLP</t>
  </si>
  <si>
    <t>Mazars</t>
  </si>
  <si>
    <t>NHS Audit Consortium</t>
  </si>
  <si>
    <t>PricewaterhouseCoopers</t>
  </si>
  <si>
    <t>RSM</t>
  </si>
  <si>
    <t>MHA Tait Walker</t>
  </si>
  <si>
    <t>Scrutton Bland</t>
  </si>
  <si>
    <t>Moore Stephens</t>
  </si>
  <si>
    <t>Southern Internal Audit Partnership</t>
  </si>
  <si>
    <t>Murray Smith</t>
  </si>
  <si>
    <t>TIAA</t>
  </si>
  <si>
    <t>PKF</t>
  </si>
  <si>
    <t>Wilkins Kennedy</t>
  </si>
  <si>
    <t>Numbers</t>
  </si>
  <si>
    <t>LGPS Schemes</t>
  </si>
  <si>
    <t>Avon</t>
  </si>
  <si>
    <t>Barking &amp; Dagenham</t>
  </si>
  <si>
    <t>Barnet</t>
  </si>
  <si>
    <t>Bedfordshire</t>
  </si>
  <si>
    <t>Berkshire</t>
  </si>
  <si>
    <t>Bexley</t>
  </si>
  <si>
    <t>Brent</t>
  </si>
  <si>
    <t>Bromley</t>
  </si>
  <si>
    <t>Buckinghamshire</t>
  </si>
  <si>
    <t>Cambridgeshire</t>
  </si>
  <si>
    <t>Camden</t>
  </si>
  <si>
    <t>Cardiff UA</t>
  </si>
  <si>
    <t>Cheshire</t>
  </si>
  <si>
    <t>City of London</t>
  </si>
  <si>
    <t>Clywd</t>
  </si>
  <si>
    <t>Cornwall</t>
  </si>
  <si>
    <t>Croydon</t>
  </si>
  <si>
    <t>Cumbria</t>
  </si>
  <si>
    <t>Derbyshire</t>
  </si>
  <si>
    <t>Devon</t>
  </si>
  <si>
    <t>Dorset</t>
  </si>
  <si>
    <t>Durham</t>
  </si>
  <si>
    <t>Dyfed</t>
  </si>
  <si>
    <t>Ealing</t>
  </si>
  <si>
    <t>East Riding of Yorkshire UA</t>
  </si>
  <si>
    <t>East Sussex</t>
  </si>
  <si>
    <t>Enfield</t>
  </si>
  <si>
    <t>Essex</t>
  </si>
  <si>
    <t>Gloucestershire</t>
  </si>
  <si>
    <t>Greater Gwent (Torfaen) UA</t>
  </si>
  <si>
    <t>Greenwich</t>
  </si>
  <si>
    <t>Gwynedd</t>
  </si>
  <si>
    <t>Hackney</t>
  </si>
  <si>
    <t>Hammersmith &amp; Fulham</t>
  </si>
  <si>
    <t>Hampshire</t>
  </si>
  <si>
    <t>Haringey</t>
  </si>
  <si>
    <t>Harrow</t>
  </si>
  <si>
    <t>Havering</t>
  </si>
  <si>
    <t>Hertfordshire</t>
  </si>
  <si>
    <t>Hillingdon</t>
  </si>
  <si>
    <t>Hounslow</t>
  </si>
  <si>
    <t>Isle of Wight UA</t>
  </si>
  <si>
    <t>Islington</t>
  </si>
  <si>
    <t>Kensington &amp; Chelsea</t>
  </si>
  <si>
    <t>Kent</t>
  </si>
  <si>
    <t>Kingston upon Thames</t>
  </si>
  <si>
    <t>Lambeth</t>
  </si>
  <si>
    <t>Lancashire</t>
  </si>
  <si>
    <t>Leicestershire</t>
  </si>
  <si>
    <t>Lewisham</t>
  </si>
  <si>
    <t>Lincolnshire</t>
  </si>
  <si>
    <t>London Pensions Fund Auth</t>
  </si>
  <si>
    <t>Greater Manchester Pension Fund</t>
  </si>
  <si>
    <t>Merseyside Pension Fund</t>
  </si>
  <si>
    <t>Merton</t>
  </si>
  <si>
    <t>Newham</t>
  </si>
  <si>
    <t>Norfolk</t>
  </si>
  <si>
    <t>North Yorkshire</t>
  </si>
  <si>
    <t>Northamptonshire</t>
  </si>
  <si>
    <t>Nottinghamshire</t>
  </si>
  <si>
    <t>Oxfordshire</t>
  </si>
  <si>
    <t>Powys UA</t>
  </si>
  <si>
    <t>Redbridge</t>
  </si>
  <si>
    <t>Rhondda Cynon Taff UA</t>
  </si>
  <si>
    <t>Shropshire</t>
  </si>
  <si>
    <t>Somerset</t>
  </si>
  <si>
    <t>South Yorkshire Pensions Fund</t>
  </si>
  <si>
    <t>Southwark</t>
  </si>
  <si>
    <t>Staffordshire</t>
  </si>
  <si>
    <t>Suffolk</t>
  </si>
  <si>
    <t>Surrey</t>
  </si>
  <si>
    <t>Sutton</t>
  </si>
  <si>
    <t>Swansea UA</t>
  </si>
  <si>
    <t>Teeside</t>
  </si>
  <si>
    <t>Tower Hamlets</t>
  </si>
  <si>
    <t>Tyne and Wear</t>
  </si>
  <si>
    <t>Waltham Forest</t>
  </si>
  <si>
    <t>Wandsworth</t>
  </si>
  <si>
    <t>Warwickshire</t>
  </si>
  <si>
    <t>West Midlands Pension Fund</t>
  </si>
  <si>
    <t>West Midlands PTA</t>
  </si>
  <si>
    <t>West Sussex</t>
  </si>
  <si>
    <t>West Yorkshire</t>
  </si>
  <si>
    <t>Westminster</t>
  </si>
  <si>
    <t>Wiltshire</t>
  </si>
  <si>
    <t>Worcestershire</t>
  </si>
  <si>
    <t>Benchmarking validation limits</t>
  </si>
  <si>
    <t>Max</t>
  </si>
  <si>
    <t>Min</t>
  </si>
  <si>
    <t>Warning Max</t>
  </si>
  <si>
    <t>Warning Min</t>
  </si>
  <si>
    <t>Miscellaneous validation limits</t>
  </si>
  <si>
    <t>List of Colleges</t>
  </si>
  <si>
    <t>COLLEGE TYPE</t>
  </si>
  <si>
    <t>COLLEGE CODE</t>
  </si>
  <si>
    <t>COLLEGE UPIN</t>
  </si>
  <si>
    <t>COLLEGE UKPRN</t>
  </si>
  <si>
    <t>ABINGDON AND WITNEY COLLEGE</t>
  </si>
  <si>
    <t>GFEC</t>
  </si>
  <si>
    <t>ABING</t>
  </si>
  <si>
    <t>ACTIVATE LEARNING</t>
  </si>
  <si>
    <t>OXFFE</t>
  </si>
  <si>
    <t>ADA NATIONAL COLLEGE FOR DIGITAL SKILLS</t>
  </si>
  <si>
    <t>NCDSK</t>
  </si>
  <si>
    <t>AQUINAS COLLEGE</t>
  </si>
  <si>
    <t>SFC</t>
  </si>
  <si>
    <t>AQUIN</t>
  </si>
  <si>
    <t>ASKHAM BRYAN COLLEGE</t>
  </si>
  <si>
    <t>A&amp;HC</t>
  </si>
  <si>
    <t>ASKBR</t>
  </si>
  <si>
    <t>AYLESBURY COLLEGE</t>
  </si>
  <si>
    <t>AYLES</t>
  </si>
  <si>
    <t>BARKING AND DAGENHAM COLLEGE</t>
  </si>
  <si>
    <t>BARKG</t>
  </si>
  <si>
    <t>BARNET &amp; SOUTHGATE COLLEGE</t>
  </si>
  <si>
    <t>BARNT</t>
  </si>
  <si>
    <t>BARNSLEY COLLEGE</t>
  </si>
  <si>
    <t>TC</t>
  </si>
  <si>
    <t>BNSLY</t>
  </si>
  <si>
    <t>BARTON PEVERIL SIXTH FORM COLLEGE</t>
  </si>
  <si>
    <t>BARPE</t>
  </si>
  <si>
    <t>BASINGSTOKE COLLEGE OF TECHNOLOGY</t>
  </si>
  <si>
    <t>BASNG</t>
  </si>
  <si>
    <t>BATH COLLEGE</t>
  </si>
  <si>
    <t>CYBAT</t>
  </si>
  <si>
    <t>BEDFORD COLLEGE</t>
  </si>
  <si>
    <t>BEDFD</t>
  </si>
  <si>
    <t>BEXHILL COLLEGE</t>
  </si>
  <si>
    <t>BEXHL</t>
  </si>
  <si>
    <t>BIRMINGHAM METROPOLITAN COLLEGE</t>
  </si>
  <si>
    <t>SUTTN</t>
  </si>
  <si>
    <t>BISHOP AUCKLAND COLLEGE</t>
  </si>
  <si>
    <t>BSHAU</t>
  </si>
  <si>
    <t>BISHOP BURTON COLLEGE</t>
  </si>
  <si>
    <t>BISBU</t>
  </si>
  <si>
    <t>BLACKBURN COLLEGE</t>
  </si>
  <si>
    <t>BBURN</t>
  </si>
  <si>
    <t>BLACKPOOL AND THE FYLDE COLLEGE</t>
  </si>
  <si>
    <t>BFYLD</t>
  </si>
  <si>
    <t>BOLTON COLLEGE</t>
  </si>
  <si>
    <t>DC</t>
  </si>
  <si>
    <t>BOLCL</t>
  </si>
  <si>
    <t>BOLTON SIXTH FORM COLLEGE</t>
  </si>
  <si>
    <t>BLNSF</t>
  </si>
  <si>
    <t>BOSTON COLLEGE</t>
  </si>
  <si>
    <t>BOSTO</t>
  </si>
  <si>
    <t>BOURNEMOUTH AND POOLE COLLEGE, THE</t>
  </si>
  <si>
    <t>BPCFE</t>
  </si>
  <si>
    <t>BRADFORD COLLEGE</t>
  </si>
  <si>
    <t>BRILK</t>
  </si>
  <si>
    <t>BRIDGWATER AND TAUNTON COLLEGE</t>
  </si>
  <si>
    <t>BRIDG</t>
  </si>
  <si>
    <t>BRIGHTON HOVE AND SUSSEX SIXTH FORM COLLEGE</t>
  </si>
  <si>
    <t>BRIHO</t>
  </si>
  <si>
    <t>BROCKENHURST COLLEGE</t>
  </si>
  <si>
    <t>BROCK</t>
  </si>
  <si>
    <t>BROOKLANDS COLLEGE</t>
  </si>
  <si>
    <t>BRKLD</t>
  </si>
  <si>
    <t>BURNLEY COLLEGE</t>
  </si>
  <si>
    <t>BRNLY</t>
  </si>
  <si>
    <t>BURTON AND SOUTH DERBYSHIRE COLLEGE</t>
  </si>
  <si>
    <t>BURTN</t>
  </si>
  <si>
    <t>BURY COLLEGE</t>
  </si>
  <si>
    <t>BURYC</t>
  </si>
  <si>
    <t>CALDERDALE COLLEGE</t>
  </si>
  <si>
    <t>CALDE</t>
  </si>
  <si>
    <t>CAMBRIDGE REGIONAL COLLEGE</t>
  </si>
  <si>
    <t>CAMRE</t>
  </si>
  <si>
    <t>CAPEL MANOR COLLEGE</t>
  </si>
  <si>
    <t>CAPEL</t>
  </si>
  <si>
    <t>CARDINAL NEWMAN COLLEGE</t>
  </si>
  <si>
    <t>CARNE</t>
  </si>
  <si>
    <t>CARMEL COLLEGE</t>
  </si>
  <si>
    <t>CARML</t>
  </si>
  <si>
    <t>CHELMSFORD COLLEGE</t>
  </si>
  <si>
    <t>CHELM</t>
  </si>
  <si>
    <t>CHESHIRE COLLEGE SOUTH AND WEST</t>
  </si>
  <si>
    <t>SOCHE</t>
  </si>
  <si>
    <t>CHESTERFIELD COLLEGE</t>
  </si>
  <si>
    <t>CHSTF</t>
  </si>
  <si>
    <t>CHICHESTER COLLEGE GROUP</t>
  </si>
  <si>
    <t>CHICH</t>
  </si>
  <si>
    <t>CHRIST THE KING SIXTH FORM COLLEGE</t>
  </si>
  <si>
    <t>CHKIN</t>
  </si>
  <si>
    <t>CIRENCESTER COLLEGE</t>
  </si>
  <si>
    <t>CIREN</t>
  </si>
  <si>
    <t>CITY COLLEGE NORWICH</t>
  </si>
  <si>
    <t>NRWCH</t>
  </si>
  <si>
    <t>CITY COLLEGE PLYMOUTH</t>
  </si>
  <si>
    <t>PLYFE</t>
  </si>
  <si>
    <t>CITY OF BRISTOL COLLEGE</t>
  </si>
  <si>
    <t>CTBRI</t>
  </si>
  <si>
    <t>CITY OF PORTSMOUTH COLLEGE</t>
  </si>
  <si>
    <t>HIGHB</t>
  </si>
  <si>
    <t>CITY OF SUNDERLAND COLLEGE</t>
  </si>
  <si>
    <t>CTSUN</t>
  </si>
  <si>
    <t>CITY OF WOLVERHAMPTON COLLEGE</t>
  </si>
  <si>
    <t>WOLVE</t>
  </si>
  <si>
    <t>COLCHESTER INSTITUTE</t>
  </si>
  <si>
    <t>CLHIN</t>
  </si>
  <si>
    <t>CORNWALL COLLEGE</t>
  </si>
  <si>
    <t>CORNL</t>
  </si>
  <si>
    <t>COVENTRY COLLEGE</t>
  </si>
  <si>
    <t>HENCO</t>
  </si>
  <si>
    <t>CRAVEN COLLEGE</t>
  </si>
  <si>
    <t>CRAVN</t>
  </si>
  <si>
    <t>CROYDON COLLEGE</t>
  </si>
  <si>
    <t>CROYD</t>
  </si>
  <si>
    <t>DARLINGTON COLLEGE</t>
  </si>
  <si>
    <t>DARLN</t>
  </si>
  <si>
    <t>DCG</t>
  </si>
  <si>
    <t>DERBY</t>
  </si>
  <si>
    <t>DERWENTSIDE COLLEGE</t>
  </si>
  <si>
    <t>DERWE</t>
  </si>
  <si>
    <t>DN COLLEGES GROUP</t>
  </si>
  <si>
    <t>NTLND</t>
  </si>
  <si>
    <t>DUDLEY COLLEGE OF TECHNOLOGY</t>
  </si>
  <si>
    <t>DUDLY</t>
  </si>
  <si>
    <t>EALING, HAMMERSMITH &amp; WEST LONDON COLLEGE</t>
  </si>
  <si>
    <t>HAMWL</t>
  </si>
  <si>
    <t>EAST COAST COLLEGE</t>
  </si>
  <si>
    <t>LWSFT</t>
  </si>
  <si>
    <t>EAST DURHAM COLLEGE</t>
  </si>
  <si>
    <t>EDHCC</t>
  </si>
  <si>
    <t>EAST SURREY COLLEGE</t>
  </si>
  <si>
    <t>ESURR</t>
  </si>
  <si>
    <t>EAST SUSSEX COLLEGE GROUP</t>
  </si>
  <si>
    <t>HASTG</t>
  </si>
  <si>
    <t>EKC GROUP</t>
  </si>
  <si>
    <t>THANT</t>
  </si>
  <si>
    <t>EXETER COLLEGE</t>
  </si>
  <si>
    <t>EXETE</t>
  </si>
  <si>
    <t>FAREH</t>
  </si>
  <si>
    <t>FARNBOROUGH COLLEGE OF TECHNOLOGY</t>
  </si>
  <si>
    <t>FCOTF</t>
  </si>
  <si>
    <t>FIRCROFT COLLEGE OF ADULT EDUCATION</t>
  </si>
  <si>
    <t>FIRCR</t>
  </si>
  <si>
    <t>FRANKLIN COLLEGE</t>
  </si>
  <si>
    <t>FRNKN</t>
  </si>
  <si>
    <t>FURNESS COLLEGE</t>
  </si>
  <si>
    <t>FURNE</t>
  </si>
  <si>
    <t>GATESHEAD COLLEGE</t>
  </si>
  <si>
    <t>GATHD</t>
  </si>
  <si>
    <t>GLOUCESTERSHIRE COLLEGE</t>
  </si>
  <si>
    <t>GLOUC</t>
  </si>
  <si>
    <t>GRANTHAM COLLEGE</t>
  </si>
  <si>
    <t>GRANT</t>
  </si>
  <si>
    <t>GREENHEAD COLLEGE</t>
  </si>
  <si>
    <t>GRHED</t>
  </si>
  <si>
    <t>HALESOWEN COLLEGE</t>
  </si>
  <si>
    <t>HALES</t>
  </si>
  <si>
    <t>HARLOW COLLEGE</t>
  </si>
  <si>
    <t>HRLOW</t>
  </si>
  <si>
    <t>HARTLEPOOL COLLEGE OF FURTHER EDUCATION</t>
  </si>
  <si>
    <t>HPLFE</t>
  </si>
  <si>
    <t>HARTPURY COLLEGE OF FURTHER EDUCATION</t>
  </si>
  <si>
    <t>HRTPY</t>
  </si>
  <si>
    <t>HAVANT AND SOUTH DOWNS COLLEGE</t>
  </si>
  <si>
    <t>SDOWN</t>
  </si>
  <si>
    <t>HEART OF WORCESTERSHIRE COLLEGE</t>
  </si>
  <si>
    <t>WRCTE</t>
  </si>
  <si>
    <t>HEART OF YORKSHIRE EDUCATION GROUP</t>
  </si>
  <si>
    <t>WAKEF</t>
  </si>
  <si>
    <t>HEREFORD COLLEGE OF ARTS</t>
  </si>
  <si>
    <t>AD&amp;PA</t>
  </si>
  <si>
    <t>HFDAD</t>
  </si>
  <si>
    <t>HEREFORDSHIRE, LUDLOW, AND NORTH SHROPSHIRE COLLEGE</t>
  </si>
  <si>
    <t>HERTE</t>
  </si>
  <si>
    <t>HEREWARD COLLEGE OF FURTHER EDUCATION</t>
  </si>
  <si>
    <t>HEREW</t>
  </si>
  <si>
    <t>HERTFORD REGIONAL COLLEGE</t>
  </si>
  <si>
    <t>HTREG</t>
  </si>
  <si>
    <t>HILLS ROAD SIXTH FORM COLLEGE</t>
  </si>
  <si>
    <t>HILLS</t>
  </si>
  <si>
    <t>HOLY CROSS COLLEGE</t>
  </si>
  <si>
    <t>HOLYC</t>
  </si>
  <si>
    <t>HOPWOOD HALL COLLEGE</t>
  </si>
  <si>
    <t>HOPWD</t>
  </si>
  <si>
    <t>UXBRI</t>
  </si>
  <si>
    <t>HUDDERSFIELD NEW COLLEGE</t>
  </si>
  <si>
    <t>HUNEW</t>
  </si>
  <si>
    <t>HUGH BAIRD COLLEGE</t>
  </si>
  <si>
    <t>HBAIR</t>
  </si>
  <si>
    <t>HULL COLLEGE</t>
  </si>
  <si>
    <t>HULLC</t>
  </si>
  <si>
    <t>INSPIRE EDUCATION GROUP</t>
  </si>
  <si>
    <t>PBORO</t>
  </si>
  <si>
    <t>ISLE OF WIGHT COLLEGE</t>
  </si>
  <si>
    <t>ISLWT</t>
  </si>
  <si>
    <t>ITCHEN COLLEGE</t>
  </si>
  <si>
    <t>ITCHE</t>
  </si>
  <si>
    <t>JOHN LEGGOTT SIXTH FORM COLLEGE</t>
  </si>
  <si>
    <t>JLEGG</t>
  </si>
  <si>
    <t>JOSEPH CHAMBERLAIN SIXTH FORM COLLEGE</t>
  </si>
  <si>
    <t>JCHAM</t>
  </si>
  <si>
    <t>KENDAL COLLEGE</t>
  </si>
  <si>
    <t>KENDA</t>
  </si>
  <si>
    <t>KIRKLEES COLLEGE</t>
  </si>
  <si>
    <t>HUDTE</t>
  </si>
  <si>
    <t>LAKES COLLEGE WEST CUMBRIA</t>
  </si>
  <si>
    <t>WCUMB</t>
  </si>
  <si>
    <t>LANCASTER AND MORECAMBE COLLEGE</t>
  </si>
  <si>
    <t>LANMO</t>
  </si>
  <si>
    <t>LEEDS COLLEGE OF BUILDING</t>
  </si>
  <si>
    <t>LEEBU</t>
  </si>
  <si>
    <t>LEICESTER COLLEGE</t>
  </si>
  <si>
    <t>LCSTR</t>
  </si>
  <si>
    <t>LEYTON SIXTH FORM COLLEGE</t>
  </si>
  <si>
    <t>LEYTN</t>
  </si>
  <si>
    <t>LINCOLN COLLEGE</t>
  </si>
  <si>
    <t>NLINC</t>
  </si>
  <si>
    <t>LONDON SOUTH EAST COLLEGES</t>
  </si>
  <si>
    <t>BROML</t>
  </si>
  <si>
    <t>LORETO COLLEGE</t>
  </si>
  <si>
    <t>LORET</t>
  </si>
  <si>
    <t>LOUGHBOROUGH COLLEGE</t>
  </si>
  <si>
    <t>LOUFE</t>
  </si>
  <si>
    <t>LTE GROUP</t>
  </si>
  <si>
    <t>CYCOL</t>
  </si>
  <si>
    <t>LUMINATE EDUCATION GROUP</t>
  </si>
  <si>
    <t>LEETE</t>
  </si>
  <si>
    <t>LUTON SIXTH FORM COLLEGE</t>
  </si>
  <si>
    <t>LTNSF</t>
  </si>
  <si>
    <t>MACCLESFIELD COLLEGE</t>
  </si>
  <si>
    <t>MACCL</t>
  </si>
  <si>
    <t>MARY WARD SETTLEMENT</t>
  </si>
  <si>
    <t>MWARD</t>
  </si>
  <si>
    <t>MIDDLESBROUGH COLLEGE</t>
  </si>
  <si>
    <t>MIBRO</t>
  </si>
  <si>
    <t>MID-KENT COLLEGE</t>
  </si>
  <si>
    <t>MKENT</t>
  </si>
  <si>
    <t>MILTON KEYNES COLLEGE</t>
  </si>
  <si>
    <t>MILTN</t>
  </si>
  <si>
    <t>MORLEY COLLEGE LIMITED</t>
  </si>
  <si>
    <t>MORLE</t>
  </si>
  <si>
    <t>MOULTON COLLEGE</t>
  </si>
  <si>
    <t>MOULT</t>
  </si>
  <si>
    <t>MYERSCOUGH COLLEGE</t>
  </si>
  <si>
    <t>MYERS</t>
  </si>
  <si>
    <t>NCG</t>
  </si>
  <si>
    <t>NWCAS</t>
  </si>
  <si>
    <t>NELSON AND COLNE COLLEGE</t>
  </si>
  <si>
    <t>NELCO</t>
  </si>
  <si>
    <t>NEW CITY COLLEGE</t>
  </si>
  <si>
    <t>TOWHA</t>
  </si>
  <si>
    <t>NEW COLLEGE DURHAM</t>
  </si>
  <si>
    <t>NWDUR</t>
  </si>
  <si>
    <t>NEW COLLEGE SWINDON</t>
  </si>
  <si>
    <t>NWSWI</t>
  </si>
  <si>
    <t>NEWBURY COLLEGE</t>
  </si>
  <si>
    <t>NWBRY</t>
  </si>
  <si>
    <t>NEWCASTLE AND STAFFORD COLLEGES GROUP</t>
  </si>
  <si>
    <t>NELYM</t>
  </si>
  <si>
    <t>NEWHAM COLLEGE OF FURTHER EDUCATION</t>
  </si>
  <si>
    <t>NEWFE</t>
  </si>
  <si>
    <t>NORTH EAST SURREY COLLEGE OF TECHNOLOGY (NESCOT)</t>
  </si>
  <si>
    <t>NESUR</t>
  </si>
  <si>
    <t>NORTH HERTFORDSHIRE COLLEGE</t>
  </si>
  <si>
    <t>NHERT</t>
  </si>
  <si>
    <t>NORTH KENT COLLEGE</t>
  </si>
  <si>
    <t>NWKEN</t>
  </si>
  <si>
    <t>NORTH WARWICKSHIRE AND SOUTH LEICESTERSHIRE COLLEGE</t>
  </si>
  <si>
    <t>NTWAR</t>
  </si>
  <si>
    <t>NORTHAMPTON COLLEGE</t>
  </si>
  <si>
    <t>NAMPT</t>
  </si>
  <si>
    <t>NORTHERN COLLEGE FOR RESIDENTIAL ADULT EDUCATION LIMITED(THE)</t>
  </si>
  <si>
    <t>NCRES</t>
  </si>
  <si>
    <t>NOTRE DAME CATHOLIC SIXTH FORM COLLEGE</t>
  </si>
  <si>
    <t>NOTRE</t>
  </si>
  <si>
    <t>NOTTINGHAM COLLEGE</t>
  </si>
  <si>
    <t>CLARN</t>
  </si>
  <si>
    <t>OAKLANDS COLLEGE</t>
  </si>
  <si>
    <t>OAKLA</t>
  </si>
  <si>
    <t>PETER SYMONDS COLLEGE</t>
  </si>
  <si>
    <t>PSYMO</t>
  </si>
  <si>
    <t>PETROC</t>
  </si>
  <si>
    <t>NTDEV</t>
  </si>
  <si>
    <t>PLUMPTON COLLEGE</t>
  </si>
  <si>
    <t>PLMTN</t>
  </si>
  <si>
    <t>PRESTON COLLEGE</t>
  </si>
  <si>
    <t>PREST</t>
  </si>
  <si>
    <t>REASEHEATH COLLEGE</t>
  </si>
  <si>
    <t>REASE</t>
  </si>
  <si>
    <t>RICHMOND AND HILLCROFT ADULT AND COMMUNITY COLLEGE</t>
  </si>
  <si>
    <t>HILCT</t>
  </si>
  <si>
    <t>RIVERSIDE COLLEGE</t>
  </si>
  <si>
    <t>HALTN</t>
  </si>
  <si>
    <t>RNN GROUP</t>
  </si>
  <si>
    <t>ROHAM</t>
  </si>
  <si>
    <t>RUNSHAW COLLEGE</t>
  </si>
  <si>
    <t>RUNSH</t>
  </si>
  <si>
    <t>RUSKIN COLLEGE</t>
  </si>
  <si>
    <t>RUSKN</t>
  </si>
  <si>
    <t>SALFORD CITY COLLEGE</t>
  </si>
  <si>
    <t>SALFD</t>
  </si>
  <si>
    <t>SANDWELL COLLEGE</t>
  </si>
  <si>
    <t>SANDW</t>
  </si>
  <si>
    <t>SCARBOROUGH SIXTH FORM COLLEGE</t>
  </si>
  <si>
    <t>SCARB</t>
  </si>
  <si>
    <t>SHEFFIELD COLLEGE, THE</t>
  </si>
  <si>
    <t>SHFCL</t>
  </si>
  <si>
    <t>SHIPLEY COLLEGE</t>
  </si>
  <si>
    <t>SHIPL</t>
  </si>
  <si>
    <t>SHREWSBURY COLLEGES GROUP</t>
  </si>
  <si>
    <t>SHWSF</t>
  </si>
  <si>
    <t>SIR GEORGE MONOUX COLLEGE</t>
  </si>
  <si>
    <t>SRGEO</t>
  </si>
  <si>
    <t>SOLIHULL COLLEGE AND UNIVERSITY CENTRE</t>
  </si>
  <si>
    <t>SOLFE</t>
  </si>
  <si>
    <t>SOUTH &amp; CITY COLLEGE BIRMINGHAM</t>
  </si>
  <si>
    <t>SOBIR</t>
  </si>
  <si>
    <t>SOUTH BANK COLLEGES</t>
  </si>
  <si>
    <t>LAMBE</t>
  </si>
  <si>
    <t>SOUTH DEVON COLLEGE</t>
  </si>
  <si>
    <t>SODEV</t>
  </si>
  <si>
    <t>SOUTH ESSEX COLLEGE OF FURTHER AND HIGHER EDUCATION</t>
  </si>
  <si>
    <t>SEEAT</t>
  </si>
  <si>
    <t>SOUTH GLOUCESTERSHIRE AND STROUD COLLEGE</t>
  </si>
  <si>
    <t>STROU</t>
  </si>
  <si>
    <t>SOUTH STAFFORDSHIRE COLLEGE</t>
  </si>
  <si>
    <t>TAMWO</t>
  </si>
  <si>
    <t>SOUTH THAMES COLLEGES GROUP</t>
  </si>
  <si>
    <t>KGSTN</t>
  </si>
  <si>
    <t>SPORT</t>
  </si>
  <si>
    <t>SPARSHOLT COLLEGE</t>
  </si>
  <si>
    <t>SPARS</t>
  </si>
  <si>
    <t>ST BRENDAN'S SIXTH FORM COLLEGE</t>
  </si>
  <si>
    <t>STBRN</t>
  </si>
  <si>
    <t>ST CHARLES CATHOLIC SIXTH FORM COLLEGE</t>
  </si>
  <si>
    <t>STCHA</t>
  </si>
  <si>
    <t>ST DOMINIC'S SIXTH FORM COLLEGE</t>
  </si>
  <si>
    <t>STDOM</t>
  </si>
  <si>
    <t>ST FRANCIS XAVIER SIXTH FORM COLLEGE</t>
  </si>
  <si>
    <t>SFXVA</t>
  </si>
  <si>
    <t>ST HELENS COLLEGE</t>
  </si>
  <si>
    <t>STHEL</t>
  </si>
  <si>
    <t>ST JOHN RIGBY RC SIXTH FORM COLLEGE</t>
  </si>
  <si>
    <t>STJOH</t>
  </si>
  <si>
    <t>STANMORE COLLEGE</t>
  </si>
  <si>
    <t>STANM</t>
  </si>
  <si>
    <t>STOKE ON TRENT COLLEGE</t>
  </si>
  <si>
    <t>STOKE</t>
  </si>
  <si>
    <t>STRODE COLLEGE</t>
  </si>
  <si>
    <t>STRDE</t>
  </si>
  <si>
    <t>SUFFOLK NEW COLLEGE</t>
  </si>
  <si>
    <t>SUFFO</t>
  </si>
  <si>
    <t>TAMESIDE COLLEGE</t>
  </si>
  <si>
    <t>TAMES</t>
  </si>
  <si>
    <t>TEC PARTNERSHIP</t>
  </si>
  <si>
    <t>GRMBY</t>
  </si>
  <si>
    <t>TELFORD COLLEGE</t>
  </si>
  <si>
    <t>TELFD</t>
  </si>
  <si>
    <t>THE CITY LITERARY INSTITUTE</t>
  </si>
  <si>
    <t>CTLIT</t>
  </si>
  <si>
    <t>THE CITY OF LIVERPOOL COLLEGE</t>
  </si>
  <si>
    <t>CYLVP</t>
  </si>
  <si>
    <t>THE COLLEGE OF RICHARD COLLYER IN HORSHAM</t>
  </si>
  <si>
    <t>RCOLL</t>
  </si>
  <si>
    <t>THE COLLEGE OF WEST ANGLIA</t>
  </si>
  <si>
    <t>NKCOL</t>
  </si>
  <si>
    <t>THE EDUCATION TRAINING COLLECTIVE</t>
  </si>
  <si>
    <t>STOBI</t>
  </si>
  <si>
    <t>THE HENLEY COLLEGE</t>
  </si>
  <si>
    <t>HENHE</t>
  </si>
  <si>
    <t>THE NORTHERN SCHOOL OF ART</t>
  </si>
  <si>
    <t>CLVAD</t>
  </si>
  <si>
    <t>THE OLDHAM COLLEGE</t>
  </si>
  <si>
    <t>OLDFE</t>
  </si>
  <si>
    <t>THE SMB GROUP</t>
  </si>
  <si>
    <t>BRKSY</t>
  </si>
  <si>
    <t>SOTRF</t>
  </si>
  <si>
    <t>THE WINDSOR FOREST COLLEGES GROUP</t>
  </si>
  <si>
    <t>EBERK</t>
  </si>
  <si>
    <t>WMINS</t>
  </si>
  <si>
    <t>TRURO AND PENWITH COLLEGE</t>
  </si>
  <si>
    <t>TRURO</t>
  </si>
  <si>
    <t>TYNE COAST COLLEGE</t>
  </si>
  <si>
    <t>STTYN</t>
  </si>
  <si>
    <t>UNIFIED SEEVIC PALMER'S COLLEGE</t>
  </si>
  <si>
    <t>SEESF</t>
  </si>
  <si>
    <t>UNITED COLLEGES GROUP</t>
  </si>
  <si>
    <t>CYWST</t>
  </si>
  <si>
    <t>VARNDEAN COLLEGE</t>
  </si>
  <si>
    <t>VARND</t>
  </si>
  <si>
    <t>WALSALL COLLEGE</t>
  </si>
  <si>
    <t>WACAT</t>
  </si>
  <si>
    <t>WALTHAM FOREST COLLEGE</t>
  </si>
  <si>
    <t>WALTH</t>
  </si>
  <si>
    <t>WARRINGTON &amp; VALE ROYAL COLLEGE</t>
  </si>
  <si>
    <t>WRGTN</t>
  </si>
  <si>
    <t>WARWICKSHIRE COLLEGE</t>
  </si>
  <si>
    <t>MDWAR</t>
  </si>
  <si>
    <t>WEST HERTS COLLEGE</t>
  </si>
  <si>
    <t>WEHRT</t>
  </si>
  <si>
    <t>WEST NOTTINGHAMSHIRE COLLEGE</t>
  </si>
  <si>
    <t>WTNOT</t>
  </si>
  <si>
    <t>WEST SUFFOLK COLLEGE</t>
  </si>
  <si>
    <t>WSUFF</t>
  </si>
  <si>
    <t>WEST THAMES COLLEGE</t>
  </si>
  <si>
    <t>WSTTH</t>
  </si>
  <si>
    <t>WESTON COLLEGE OF FURTHER AND HIGHER EDUCATION</t>
  </si>
  <si>
    <t>WESTO</t>
  </si>
  <si>
    <t>WEYMO</t>
  </si>
  <si>
    <t>WIGAN AND LEIGH COLLEGE</t>
  </si>
  <si>
    <t>WIGAN</t>
  </si>
  <si>
    <t>WILBERFORCE COLLEGE</t>
  </si>
  <si>
    <t>WILBE</t>
  </si>
  <si>
    <t>WILTSHIRE COLLEGE AND UNIVERSITY CENTRE</t>
  </si>
  <si>
    <t>WILTS</t>
  </si>
  <si>
    <t>WINSTANLEY COLLEGE</t>
  </si>
  <si>
    <t>WNSTY</t>
  </si>
  <si>
    <t>WIRRAL METROPOLITAN COLLEGE</t>
  </si>
  <si>
    <t>WIRRA</t>
  </si>
  <si>
    <t>WORKERS' EDUCATIONAL ASSOCIATION</t>
  </si>
  <si>
    <t>WORKE</t>
  </si>
  <si>
    <t>WORKING MEN'S COLLEGE CORPORATION</t>
  </si>
  <si>
    <t>WRKNG</t>
  </si>
  <si>
    <t>WQE AND REGENT COLLEGE GROUP</t>
  </si>
  <si>
    <t>WYGQU</t>
  </si>
  <si>
    <t>WYKE SIXTH FORM COLLEGE</t>
  </si>
  <si>
    <t>WYKES</t>
  </si>
  <si>
    <t>XAVERIAN COLLEGE</t>
  </si>
  <si>
    <t>XAVER</t>
  </si>
  <si>
    <t>YEOVIL COLLEGE</t>
  </si>
  <si>
    <t>YEOVI</t>
  </si>
  <si>
    <t>YORK COLLEGE</t>
  </si>
  <si>
    <t>YORFE</t>
  </si>
  <si>
    <t>Deficit Repayment (per annum) from 01 April 2024 (£000s)</t>
  </si>
  <si>
    <t>Has the college disposed of any non-current assets during the year? If yes, please answer the questions below.</t>
  </si>
  <si>
    <t>Date</t>
  </si>
  <si>
    <t>S1.2t</t>
  </si>
  <si>
    <t>S1.2u</t>
  </si>
  <si>
    <t>Date of application of pay award</t>
  </si>
  <si>
    <t>Skills Bootcamps Income</t>
  </si>
  <si>
    <t>Subcontracted in - Skills Bootcamps</t>
  </si>
  <si>
    <t>Total Skills Bootcamps Income</t>
  </si>
  <si>
    <t>Of which: subcontracted out Skills Bootcamps Income</t>
  </si>
  <si>
    <t>IE-1f-SI</t>
  </si>
  <si>
    <t>IE-1f-ii</t>
  </si>
  <si>
    <t>IE-1f-SO</t>
  </si>
  <si>
    <t>FS-IE-1f-ii</t>
  </si>
  <si>
    <t>Total Skills Bootcamps income</t>
  </si>
  <si>
    <t>Capital Grant Liabilities</t>
  </si>
  <si>
    <t>Automated Moderation - emergency funding grant received during the year</t>
  </si>
  <si>
    <t>FH-2ai</t>
  </si>
  <si>
    <t>Number of students qualifying for Element 2 High Needs Funding. This was clarified in FR2023.</t>
  </si>
  <si>
    <t>SOUTH HAMPSHIRE COLLEGE GROUP</t>
  </si>
  <si>
    <t>SOUTHPORT EDUCATION GROUP</t>
  </si>
  <si>
    <t>THE TRAFFORD AND STOCKPORT COLLEGE GROUP</t>
  </si>
  <si>
    <t>WRITTLE COLLEGE LIMITED</t>
  </si>
  <si>
    <t>WRITT</t>
  </si>
  <si>
    <t>Northumberland</t>
  </si>
  <si>
    <t>Automated Moderation - have you received an emergency funding loan during the year?</t>
  </si>
  <si>
    <t>If colleges have selected a different self-assessed grade to  the calculated grade, they must enter text in the narrative box, to explain their choice. When a different grade has been selected, but no narrative has been supplied, a warning will be generated as a reminder that narrative must be provided. See below for an example.</t>
  </si>
  <si>
    <t>Wbg (formerly Wylie &amp; Bissett)</t>
  </si>
  <si>
    <r>
      <t xml:space="preserve">Accounting Officer's remuneration recorded in the section beginning at row 10 in the Miscellaneous sheet  must be comprehensive, and </t>
    </r>
    <r>
      <rPr>
        <b/>
        <sz val="11"/>
        <color theme="1"/>
        <rFont val="Calibri"/>
        <family val="2"/>
        <scheme val="minor"/>
      </rPr>
      <t>fully comply with the College Accounts Direction:</t>
    </r>
    <r>
      <rPr>
        <sz val="11"/>
        <color theme="1"/>
        <rFont val="Calibri"/>
        <family val="2"/>
        <scheme val="minor"/>
      </rPr>
      <t xml:space="preserve"> Annex D, part v.</t>
    </r>
    <r>
      <rPr>
        <i/>
        <sz val="11"/>
        <color theme="1"/>
        <rFont val="Calibri"/>
        <family val="2"/>
        <scheme val="minor"/>
      </rPr>
      <t xml:space="preserve"> Remuneration of key management personnel and higher-paid staff</t>
    </r>
    <r>
      <rPr>
        <sz val="11"/>
        <color theme="1"/>
        <rFont val="Calibri"/>
        <family val="2"/>
        <scheme val="minor"/>
      </rPr>
      <t>,  parts (b) and (e) starting at p22.</t>
    </r>
  </si>
  <si>
    <t>This section sets out a list of the most notable changes for the latest release of the Finance Record,  FR2024. Not described here are minor changes  to validation, text and formatting, which should not affect how users complete the template.</t>
  </si>
  <si>
    <t>•The 16-19 study programme hours: the total average actual annual study programme hours per learner, including English and maths hours, with the level based on main aim. If a learner is undertaking, for example, a level 2 programme alongside a main aim level 3, then that learner should be counted in level 3 only.
• 16-19 student attrition rate: enter the total headcount enrolments (where a student has been active and attended at least one session) for the year of the finance record and the total headcount enrolled learners at R04 for the year of the finance record. This is to give an indication of the day 42 attrition rate. 
• Average assessor caseload: total FTE assessors and the headcount number of apprentices in learning. Both entries to be taken at the time of R06.
The remaining cells in this section are self-calculating.</t>
  </si>
  <si>
    <t>Name of LGPS Scheme 1</t>
  </si>
  <si>
    <t>Name of LGPS Scheme 2</t>
  </si>
  <si>
    <t>Name of LGPS Scheme 3</t>
  </si>
  <si>
    <t>FY2025</t>
  </si>
  <si>
    <t>The 2025 Finance Record and associated documents must be submitted through the College 
Financial Data (CFD) service (follow this link). This will require a DfE sign-in account to login.</t>
  </si>
  <si>
    <t>Changes since FR2024</t>
  </si>
  <si>
    <t>14-16 funding</t>
  </si>
  <si>
    <t>16-19 programme funding</t>
  </si>
  <si>
    <t>16-19  other programme funding (exc. Bursaries)</t>
  </si>
  <si>
    <t>High Needs - element 2</t>
  </si>
  <si>
    <t>Adult Skills Fund Grant</t>
  </si>
  <si>
    <t>Adult Skills Fund Procured</t>
  </si>
  <si>
    <t>Adult Skills Fund - Devolved Authorities</t>
  </si>
  <si>
    <t>European Social Fund - direct</t>
  </si>
  <si>
    <t>Skills Bootcamps</t>
  </si>
  <si>
    <t>Skills Bootcamps - Devolved Authorities</t>
  </si>
  <si>
    <t>Recovery of DfE/ESFA/DA Funding</t>
  </si>
  <si>
    <t>&gt; 40</t>
  </si>
  <si>
    <t>&gt; 6%</t>
  </si>
  <si>
    <t>Primary contribution rate (%)</t>
  </si>
  <si>
    <t>Secondary contribution rate %</t>
  </si>
  <si>
    <t>Secondary contribution rate £</t>
  </si>
  <si>
    <t>At 31 July 2025</t>
  </si>
  <si>
    <t>At 31 July 2026 (if known)</t>
  </si>
  <si>
    <t>Primary contribution rate in £000 - per Pensions note in Financial Statements</t>
  </si>
  <si>
    <t>Did your contribution rate change in 24/25 after DfE introduced the FE guarantee</t>
  </si>
  <si>
    <t>Please provide details of the change</t>
  </si>
  <si>
    <t>Deficit Repayment (per annum) from 1 April 2025 (£000s)</t>
  </si>
  <si>
    <t>What was the date of the annual governance self-assessment review for the period covered by the accounts?</t>
  </si>
  <si>
    <t>OL1</t>
  </si>
  <si>
    <t>Total number of operating leases</t>
  </si>
  <si>
    <t>OL2</t>
  </si>
  <si>
    <t>Total annual payment value (including interest) of operating lease payments    £000</t>
  </si>
  <si>
    <t>OL3</t>
  </si>
  <si>
    <t>Number of operating leases likely to be impacted by the new  FE &amp; HE SORP</t>
  </si>
  <si>
    <t>OL4</t>
  </si>
  <si>
    <t>Total annual payment value (including interest) of operating lease payments likely to be impacted by the new FE&amp;HE SORP      £000</t>
  </si>
  <si>
    <t>Operating leases detail</t>
  </si>
  <si>
    <t>Please detail the top 5 operating leases by annual payment value (as at July 2025) which will be impacted by the new FE &amp; HE SORP, due to come into effect from 1 January 2026  (first college financial year impacted = 2026/27)</t>
  </si>
  <si>
    <t>LS1 - a</t>
  </si>
  <si>
    <t>Lease 1 - Total annual lease repayment (including any interest) £000</t>
  </si>
  <si>
    <t>LS1 - b</t>
  </si>
  <si>
    <t>Lease 1 - Average implicit interest rate % ,  if can be readily determined</t>
  </si>
  <si>
    <t>LS1 - c</t>
  </si>
  <si>
    <t>Lease 1 - Remaining lease term in years as at 31.7.25  (to nearest year)</t>
  </si>
  <si>
    <t>LS2 - a</t>
  </si>
  <si>
    <t>LS2 - b</t>
  </si>
  <si>
    <t>Lease 2 - Average implicit interest rate % ,  if can be readily determined</t>
  </si>
  <si>
    <t>LS2 - c</t>
  </si>
  <si>
    <t>Lease 2 - Remaining lease term in years as at 31.7.25  (to nearest year)</t>
  </si>
  <si>
    <t>LS3 - a</t>
  </si>
  <si>
    <t>LS3 - b</t>
  </si>
  <si>
    <t>Lease 3 - Average implicit interest rate % ,  if can be readily determined</t>
  </si>
  <si>
    <t>LS3 - c</t>
  </si>
  <si>
    <t>Lease 3 - Remaining lease term in years as at 31.7.25  (to nearest year)</t>
  </si>
  <si>
    <t>LS4 - a</t>
  </si>
  <si>
    <t>LS4 - b</t>
  </si>
  <si>
    <t>Lease 4 - Average implicit interest rate % ,  if can be readily determined</t>
  </si>
  <si>
    <t>LS4 - c</t>
  </si>
  <si>
    <t>Lease 4 - Remaining lease term in years as at 31.7.25  (to nearest year)</t>
  </si>
  <si>
    <t>LS5 - a</t>
  </si>
  <si>
    <t>LS5 - b</t>
  </si>
  <si>
    <t>Lease 5 - Average implicit interest rate % ,  if can be readily determined</t>
  </si>
  <si>
    <t>LS5 - c</t>
  </si>
  <si>
    <t>Lease 5 - Remaining lease term in years as at 31.7.25  (to nearest year)</t>
  </si>
  <si>
    <t>Operating lease validation limits</t>
  </si>
  <si>
    <t>Deficit Repayment (additional %) from 1 April 2025</t>
  </si>
  <si>
    <t>Lease 2 - Total annual lease repayment (including any interest) £000</t>
  </si>
  <si>
    <t>Lease 3 - Total annual lease repayment (including any interest) £000</t>
  </si>
  <si>
    <t>Lease 4 - Total annual lease repayment (including any interest) £000</t>
  </si>
  <si>
    <t>Lease 5 - Total annual lease repayment (including any interest) £000</t>
  </si>
  <si>
    <t>Please enter the following details for the LGPS scheme to which the college pays the highest level of contribution</t>
  </si>
  <si>
    <t>Note - the following details about operating leases are being collected to understand the impact of the new FE &amp; HE SORP and will not be published</t>
  </si>
  <si>
    <t>Adjustment due to applied asset ceiling</t>
  </si>
  <si>
    <t>Post-16 National Insurance Grant</t>
  </si>
  <si>
    <t>16-19 discretionary and vulnerable bursaries and free meals in further education (FEFM) funds</t>
  </si>
  <si>
    <t>Misc-11aa</t>
  </si>
  <si>
    <t>Misc-11ba</t>
  </si>
  <si>
    <t>16-19 discretionary and vulnerable bursaries and free meals in 
further education (FEFM) funds 2024/25</t>
  </si>
  <si>
    <t>Deferred income b/f</t>
  </si>
  <si>
    <t>+ve</t>
  </si>
  <si>
    <t>Total 16-19 discretionary and vulnerable bursaries and FEFM
funding received from DfE during 2024/25</t>
  </si>
  <si>
    <t>Total 16-19 discretionary and vulnerable bursaries and FEFM
funding disbursed to learners during 2024/25</t>
  </si>
  <si>
    <t>Administration costs charged</t>
  </si>
  <si>
    <t>16-19 discretionary and vulnerable bursaries and FEFM
funding funds returned to DfE during 2024/25</t>
  </si>
  <si>
    <t>Cumulative unspent 16-19 discretionary and vulnerable bursaries and FEFM
funding at 31 July 2025</t>
  </si>
  <si>
    <t>Of which, how much is in scope to be returned to DfE in March 2026?</t>
  </si>
  <si>
    <t>16-19 discretionary and vulnerable bursaries and free meals in 
further education (FEFM) funds 2023/24</t>
  </si>
  <si>
    <t>Total 16-19 discretionary and vulnerable bursaries and FEFM
funding received from DfE</t>
  </si>
  <si>
    <t>Total 16-19 discretionary and vulnerable bursaries and FEFM
funding disbursed to learners</t>
  </si>
  <si>
    <t>16-19 discretionary and vulnerable bursaries and FEFM
funding funds returned to DfE during 2023/24</t>
  </si>
  <si>
    <t>Cumulative unspent 16-19 discretionary and vulnerable bursaries and FEFM
funding at 31 July 2024</t>
  </si>
  <si>
    <t>Of which, how much was returned to DfE in March 2025?</t>
  </si>
  <si>
    <t>S1.10c</t>
  </si>
  <si>
    <t>S1.10d</t>
  </si>
  <si>
    <t>DfE/ESFA 16-19 Learner Numbers</t>
  </si>
  <si>
    <t>AEB DfE/ESFA Learners (Grant &amp; Procured)</t>
  </si>
  <si>
    <t>DfE/ESFA Teachers Pension Scheme grant</t>
  </si>
  <si>
    <t>What was the date of the last external governance review?</t>
  </si>
  <si>
    <r>
      <t xml:space="preserve">Average 2024/25 pay award </t>
    </r>
    <r>
      <rPr>
        <b/>
        <sz val="11"/>
        <rFont val="Arial"/>
        <family val="2"/>
      </rPr>
      <t xml:space="preserve">excluding </t>
    </r>
    <r>
      <rPr>
        <sz val="11"/>
        <rFont val="Arial"/>
        <family val="2"/>
      </rPr>
      <t xml:space="preserve">incremental and other increases (%) </t>
    </r>
  </si>
  <si>
    <t>An error check has been added to  the I&amp;E sheet. If subcontracting out costs (G124) are non-zero, this checks whether subcontracted out income has been entered in any cells further up the sheet - G13; G23; G29; G38; G46; G53; or G60. If no subcontracted out income has been entered, the validation check in column O will return an error, meaning the template will be rejected if the error is not corrected. Please see below for an example.</t>
  </si>
  <si>
    <t xml:space="preserve">Operating leases
</t>
  </si>
  <si>
    <t xml:space="preserve">It is mandatory for colleges to provide their self-assessed financial health grades in the return. As a reminder of this, a warning has been added to the financial health sheet. The entry for college self-assessment (cell G26 on the financial health sheet) is set to default to the auto-calculated financial health grade, meaning that, if no change is made to this cell, it will be assumed that the college's self-assessed financial health grade is the same as the auto-calculated grade. If a college wants to enter a different self-assessed grade, this can be selected from the drop down in G26, as in previous returns. If cell G26 is cleared and left empty, a warning will appear, prompting colleges to enter their own self-assessed grade. Please see below for an example.
</t>
  </si>
  <si>
    <t>Guidance is included in a note for the question "Has an external governance review taken place during the period covered by the accounts?" (Miscellaneous sheet, line Misc-11b, cell G109), to provide clarity on how users should answer. This note is attached to cell F109 and the guidance within is as follows:
"An external governance review is required every 3 years (with effect from 21-22). Please select:
– 'Yes' where an external governance review has been held in this financial year
– 'No but one was due' where the 3 year point fell this financial year but an external governance review has not been held (please note that DfE will follow up to explore the reasons why)
– 'No, not due this year' where the 3 year point has not yet been reached."</t>
  </si>
  <si>
    <r>
      <t xml:space="preserve">It is important for the calculation of Education-specific EBITDA to ensure that the correct sign is used for the entry of </t>
    </r>
    <r>
      <rPr>
        <i/>
        <sz val="11"/>
        <color theme="1"/>
        <rFont val="Calibri"/>
        <family val="2"/>
        <scheme val="minor"/>
      </rPr>
      <t>Movement in holiday pay accrual</t>
    </r>
    <r>
      <rPr>
        <sz val="11"/>
        <color theme="1"/>
        <rFont val="Calibri"/>
        <family val="2"/>
        <scheme val="minor"/>
      </rPr>
      <t xml:space="preserve"> in cell G175 of the I&amp;E sheet.
For an </t>
    </r>
    <r>
      <rPr>
        <b/>
        <sz val="11"/>
        <color theme="1"/>
        <rFont val="Calibri"/>
        <family val="2"/>
        <scheme val="minor"/>
      </rPr>
      <t>increase</t>
    </r>
    <r>
      <rPr>
        <sz val="11"/>
        <color theme="1"/>
        <rFont val="Calibri"/>
        <family val="2"/>
        <scheme val="minor"/>
      </rPr>
      <t xml:space="preserve"> in the provision, the value entered should be +ve, for a </t>
    </r>
    <r>
      <rPr>
        <b/>
        <sz val="11"/>
        <color theme="1"/>
        <rFont val="Calibri"/>
        <family val="2"/>
        <scheme val="minor"/>
      </rPr>
      <t>decrease</t>
    </r>
    <r>
      <rPr>
        <sz val="11"/>
        <color theme="1"/>
        <rFont val="Calibri"/>
        <family val="2"/>
        <scheme val="minor"/>
      </rPr>
      <t xml:space="preserve"> in provision, the value entered should be -ve.</t>
    </r>
  </si>
  <si>
    <r>
      <t xml:space="preserve">For the purposes of the Finance Record, a </t>
    </r>
    <r>
      <rPr>
        <i/>
        <sz val="11"/>
        <color theme="1"/>
        <rFont val="Calibri"/>
        <family val="2"/>
        <scheme val="minor"/>
      </rPr>
      <t>net asset</t>
    </r>
    <r>
      <rPr>
        <sz val="11"/>
        <color theme="1"/>
        <rFont val="Calibri"/>
        <family val="2"/>
        <scheme val="minor"/>
      </rPr>
      <t xml:space="preserve"> for the LGPS will be shown as a negative liability in the balance sheet. Note - this will raise a warning but will not prevent the FR from being submitted.</t>
    </r>
  </si>
  <si>
    <r>
      <t xml:space="preserve">Cell G114 of the Miscellaneous tab, as requested in previous years, requires colleges to enter the total value of goods and services purchased in the year from related parties external to the corporation.
</t>
    </r>
    <r>
      <rPr>
        <b/>
        <sz val="11"/>
        <color theme="1"/>
        <rFont val="Calibri"/>
        <family val="2"/>
        <scheme val="minor"/>
      </rPr>
      <t>If there are no such transactions, please enter zero in the cell.</t>
    </r>
    <r>
      <rPr>
        <sz val="11"/>
        <color theme="1"/>
        <rFont val="Calibri"/>
        <family val="2"/>
        <scheme val="minor"/>
      </rPr>
      <t xml:space="preserve">
Organisations whose results have been consolidated into the corporation’s financial statements (for example those of a subsidiary) are classed as internal related parties and purchases from such entities should be omitted from the value reported.
Please report only external related party expenditure. This figure should exclude, for example:
- expenses and other payments made to governors/trustees
- income received by the corporation
- loan and interest payments made by the corporation.
</t>
    </r>
  </si>
  <si>
    <t>16-19 discretionary and vulnerable bursaries and free meals in 
further education (FEFM) funds disclosure
 (Reference: Section xxii, Annex D, of the College Accounts Direction 2024/25)</t>
  </si>
  <si>
    <r>
      <t xml:space="preserve">Section xxii, Annex D, of the College Accounts Direction 2024/25 requires colleges to make a disclosure in their financial statements about the 16-19 bursaries (discretionary and vulnerable) and free meals in further education (FEFM) they have distributed during the year.
In the section beginning on row 218 of the Miscellaneous sheet, we are asking for the details which have been included in the relevant note to the financial statements.
</t>
    </r>
    <r>
      <rPr>
        <b/>
        <sz val="11"/>
        <color theme="1"/>
        <rFont val="Calibri"/>
        <family val="2"/>
        <scheme val="minor"/>
      </rPr>
      <t>For any cells where the value is nil, please enter zero.</t>
    </r>
  </si>
  <si>
    <t>As instructed for the 2025 CFFR, where colleges have received capital funding in advance which forms part of their cash balance, they should use the restricted cash field (cell G29 in the BS sheet) to record that unspent capital cash balance to the extent that this has not already been included in current liabilities. Please refer to paragraph 14 of the College Financial Planning Handbook 2024/25 for further details.</t>
  </si>
  <si>
    <t>CAPITAL CITY COLLEGE GROUP</t>
  </si>
  <si>
    <t>HRUC (HARROW, RICHMOND AND UXBRIDGE COLLEGES).</t>
  </si>
  <si>
    <t>WEYMOUTH AND KINGSTON MAURWARD COLLEGE</t>
  </si>
  <si>
    <t>S1.10ci</t>
  </si>
  <si>
    <t>S1.10di</t>
  </si>
  <si>
    <t>S1.10h</t>
  </si>
  <si>
    <t>S1.10hi</t>
  </si>
  <si>
    <t>IE-1f-13</t>
  </si>
  <si>
    <t xml:space="preserve"> As part of this year’s financial return, we are asking colleges to provide details of their LGPS contribution rates. This information will help us understand how the DfE’s FE Guarantee has been implemented across the sector. </t>
  </si>
  <si>
    <t>We have now included a cell to enter the Post-16 National Insurance grant at row 73.</t>
  </si>
  <si>
    <t>Data on operating leases is being collected in this year's Finance Record to help understand the potential effect of the new FE &amp; HE SORP which will first impact college accounts for the 2026/27 Financial Year.
The SORP is expected to require changes in lease accounting. For some operating leases, institutions will now be required to recognise a lease liability and a corresponding right-of-use asset on the balance sheet.
Such changes in the accounting treatment of operating leases may impact the ratios currently used for assessment of colleges' financial health scores, so it is important for the department and the sector to be able to assess the extent of any potential effects, in advance of the change.</t>
  </si>
  <si>
    <t>BU-1-a</t>
  </si>
  <si>
    <t>BU-1-b</t>
  </si>
  <si>
    <t>BU-1-ai</t>
  </si>
  <si>
    <t>BU-1-aii</t>
  </si>
  <si>
    <t>BU-1-aiii</t>
  </si>
  <si>
    <t>BU-1-aiv</t>
  </si>
  <si>
    <t>BU-1-av</t>
  </si>
  <si>
    <t>BU-1-avi</t>
  </si>
  <si>
    <t>BU-1-bi</t>
  </si>
  <si>
    <t>BU-1-bii</t>
  </si>
  <si>
    <t>BU-1-biii</t>
  </si>
  <si>
    <t>BU-1-biv</t>
  </si>
  <si>
    <t>BU-1-bv</t>
  </si>
  <si>
    <t>BU-1-bvi</t>
  </si>
  <si>
    <t>Misc-6l</t>
  </si>
  <si>
    <t>F5.1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</si>
</sst>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Red]\-&quot;£&quot;#,##0"/>
    <numFmt numFmtId="43" formatCode="_-* #,##0.00_-;\-* #,##0.00_-;_-* &quot;-&quot;??_-;_-@_-"/>
    <numFmt numFmtId="164" formatCode="_-* #,##0_-;* \(#,##0\)_-;_-* &quot;-&quot;??_-;_-@_-"/>
    <numFmt numFmtId="165" formatCode="#,##0_ ;\(#,##0\);\-\ "/>
    <numFmt numFmtId="166" formatCode="&quot;ERROR&quot;;;&quot;OK&quot;"/>
    <numFmt numFmtId="167" formatCode="#,##0;\ \(#,##0\)"/>
    <numFmt numFmtId="168" formatCode="#,##0;\(#,##0\);\-"/>
    <numFmt numFmtId="169" formatCode="&quot;Forecast&quot;;&quot;Act/For&quot;;&quot;Actual&quot;"/>
    <numFmt numFmtId="170" formatCode="&quot;£&quot;#,##0_);\(&quot;£&quot;#,##0\)"/>
    <numFmt numFmtId="171" formatCode="_-* #,##0.00_-;* \(#,##0.00\)_-;_-* &quot;-&quot;??_-;_-@_-"/>
    <numFmt numFmtId="172" formatCode="&quot;Yes&quot;;;&quot;No&quot;"/>
    <numFmt numFmtId="173" formatCode="_-* #,##0.0_-;* \(#,##0.0\)_-;_-* &quot;-&quot;??_-;_-@_-"/>
    <numFmt numFmtId="174" formatCode="&quot;WARNING&quot;;;&quot;OK&quot;"/>
    <numFmt numFmtId="175" formatCode="&quot;Please Complete&quot;;;&quot;OK&quot;"/>
    <numFmt numFmtId="176" formatCode="0.0%"/>
    <numFmt numFmtId="177" formatCode="_-* #,##0_-;* \(#,##0\)_-;_-* &quot;0&quot;??_-;_-@_-"/>
    <numFmt numFmtId="178" formatCode="_-* #,##0.0_-;* \(#,##0.0\)_-;_-* &quot;0&quot;??_-;_-@_-"/>
    <numFmt numFmtId="179" formatCode="_-* #,##0.00_-;* \(#,##0.00\)_-;_-* &quot;0&quot;??_-;_-@_-"/>
    <numFmt numFmtId="180" formatCode="_-* #,##0_-;\-* #,##0_-;_-* &quot;-&quot;??_-;_-@_-"/>
    <numFmt numFmtId="181" formatCode="&quot;£&quot;#,##0"/>
    <numFmt numFmtId="182" formatCode="&quot;&quot;;;&quot;&quot;"/>
    <numFmt numFmtId="183" formatCode="[$-F800]dddd\,\ mmmm\ dd\,\ yyyy"/>
    <numFmt numFmtId="184" formatCode="###0"/>
    <numFmt numFmtId="185" formatCode="_-* #,##0.0_-;\-* #,##0.0_-;_-* &quot;-&quot;??_-;_-@_-"/>
  </numFmts>
  <fonts count="61" x14ac:knownFonts="1">
    <font>
      <sz val="11"/>
      <color theme="1"/>
      <name val="Calibri"/>
      <family val="2"/>
      <scheme val="minor"/>
    </font>
    <font>
      <sz val="11"/>
      <color theme="1"/>
      <name val="Calibri"/>
      <family val="2"/>
      <scheme val="minor"/>
    </font>
    <font>
      <b/>
      <sz val="11"/>
      <color theme="1"/>
      <name val="Calibri"/>
      <family val="2"/>
      <scheme val="minor"/>
    </font>
    <font>
      <u/>
      <sz val="8"/>
      <color theme="0"/>
      <name val="Calibri"/>
      <family val="2"/>
      <scheme val="minor"/>
    </font>
    <font>
      <b/>
      <sz val="11"/>
      <color theme="0"/>
      <name val="Calibri"/>
      <family val="2"/>
    </font>
    <font>
      <b/>
      <sz val="11"/>
      <name val="Calibri"/>
      <family val="2"/>
      <scheme val="minor"/>
    </font>
    <font>
      <b/>
      <sz val="10"/>
      <name val="Arial"/>
      <family val="2"/>
    </font>
    <font>
      <sz val="8"/>
      <color theme="1"/>
      <name val="Calibri"/>
      <family val="2"/>
      <scheme val="minor"/>
    </font>
    <font>
      <b/>
      <sz val="8"/>
      <name val="Arial"/>
      <family val="2"/>
    </font>
    <font>
      <u/>
      <sz val="11"/>
      <color theme="10"/>
      <name val="Calibri"/>
      <family val="2"/>
      <scheme val="minor"/>
    </font>
    <font>
      <sz val="11"/>
      <color theme="1"/>
      <name val="Webdings"/>
      <family val="1"/>
      <charset val="2"/>
    </font>
    <font>
      <b/>
      <sz val="11"/>
      <color indexed="8"/>
      <name val="Calibri"/>
      <family val="2"/>
      <scheme val="minor"/>
    </font>
    <font>
      <sz val="8"/>
      <name val="Calibri"/>
      <family val="2"/>
      <scheme val="minor"/>
    </font>
    <font>
      <sz val="10"/>
      <color theme="1"/>
      <name val="Calibri"/>
      <family val="2"/>
      <scheme val="minor"/>
    </font>
    <font>
      <sz val="10"/>
      <color indexed="8"/>
      <name val="Arial"/>
      <family val="2"/>
    </font>
    <font>
      <b/>
      <sz val="10"/>
      <color theme="5"/>
      <name val="Arial"/>
      <family val="2"/>
    </font>
    <font>
      <b/>
      <sz val="10"/>
      <color indexed="8"/>
      <name val="Arial"/>
      <family val="2"/>
    </font>
    <font>
      <sz val="10"/>
      <name val="Arial"/>
      <family val="2"/>
    </font>
    <font>
      <sz val="11"/>
      <name val="Arial"/>
      <family val="2"/>
    </font>
    <font>
      <sz val="10"/>
      <color rgb="FFFF0000"/>
      <name val="MS Sans Serif"/>
    </font>
    <font>
      <sz val="9"/>
      <color indexed="81"/>
      <name val="Tahoma"/>
      <family val="2"/>
    </font>
    <font>
      <sz val="11"/>
      <name val="Calibri"/>
      <family val="2"/>
      <scheme val="minor"/>
    </font>
    <font>
      <sz val="10"/>
      <color indexed="8"/>
      <name val="MS Sans Serif"/>
      <family val="2"/>
    </font>
    <font>
      <sz val="11"/>
      <color rgb="FF3F3F76"/>
      <name val="Calibri"/>
      <family val="2"/>
      <scheme val="minor"/>
    </font>
    <font>
      <sz val="11"/>
      <color indexed="8"/>
      <name val="Calibri"/>
      <family val="2"/>
      <scheme val="minor"/>
    </font>
    <font>
      <sz val="8"/>
      <color theme="0"/>
      <name val="Calibri"/>
      <family val="2"/>
      <scheme val="minor"/>
    </font>
    <font>
      <sz val="11"/>
      <color theme="0"/>
      <name val="Calibri"/>
      <family val="2"/>
      <scheme val="minor"/>
    </font>
    <font>
      <b/>
      <sz val="11"/>
      <color rgb="FF000000"/>
      <name val="Calibri"/>
      <family val="2"/>
    </font>
    <font>
      <sz val="11"/>
      <color rgb="FF000000"/>
      <name val="Calibri"/>
      <family val="2"/>
    </font>
    <font>
      <b/>
      <u/>
      <sz val="11"/>
      <color theme="0"/>
      <name val="Calibri"/>
      <family val="2"/>
      <scheme val="minor"/>
    </font>
    <font>
      <b/>
      <sz val="10"/>
      <color theme="1"/>
      <name val="Calibri"/>
      <family val="2"/>
      <scheme val="minor"/>
    </font>
    <font>
      <u/>
      <sz val="11"/>
      <color theme="1"/>
      <name val="Calibri"/>
      <family val="2"/>
      <scheme val="minor"/>
    </font>
    <font>
      <b/>
      <u/>
      <sz val="9"/>
      <color theme="0"/>
      <name val="Calibri"/>
      <family val="2"/>
    </font>
    <font>
      <b/>
      <sz val="11"/>
      <color theme="1"/>
      <name val="Calibri"/>
      <family val="2"/>
    </font>
    <font>
      <b/>
      <sz val="10"/>
      <color indexed="8"/>
      <name val="MS Sans Serif"/>
    </font>
    <font>
      <b/>
      <sz val="9"/>
      <color theme="1"/>
      <name val="Calibri"/>
      <family val="2"/>
      <scheme val="minor"/>
    </font>
    <font>
      <sz val="9"/>
      <color theme="1"/>
      <name val="Calibri"/>
      <family val="2"/>
      <scheme val="minor"/>
    </font>
    <font>
      <sz val="9"/>
      <name val="Calibri"/>
      <family val="2"/>
      <scheme val="minor"/>
    </font>
    <font>
      <b/>
      <sz val="9"/>
      <name val="Arial"/>
      <family val="2"/>
    </font>
    <font>
      <b/>
      <sz val="11"/>
      <color indexed="8"/>
      <name val="Arial"/>
      <family val="2"/>
    </font>
    <font>
      <sz val="11"/>
      <color indexed="8"/>
      <name val="Arial"/>
      <family val="2"/>
    </font>
    <font>
      <b/>
      <sz val="11"/>
      <name val="Arial"/>
      <family val="2"/>
    </font>
    <font>
      <sz val="9"/>
      <color theme="0"/>
      <name val="Calibri"/>
      <family val="2"/>
      <scheme val="minor"/>
    </font>
    <font>
      <b/>
      <sz val="11"/>
      <color theme="1"/>
      <name val="Arial"/>
      <family val="2"/>
    </font>
    <font>
      <sz val="11"/>
      <color theme="1"/>
      <name val="Arial"/>
      <family val="2"/>
    </font>
    <font>
      <sz val="11"/>
      <color theme="10"/>
      <name val="Calibri"/>
      <family val="2"/>
      <scheme val="minor"/>
    </font>
    <font>
      <sz val="11"/>
      <color rgb="FFFF0000"/>
      <name val="Arial"/>
      <family val="2"/>
    </font>
    <font>
      <sz val="9"/>
      <color rgb="FF000000"/>
      <name val="Tahoma"/>
      <family val="2"/>
    </font>
    <font>
      <sz val="11"/>
      <color indexed="8"/>
      <name val="Calibri"/>
      <family val="2"/>
    </font>
    <font>
      <sz val="11"/>
      <color rgb="FFFF0000"/>
      <name val="Calibri"/>
      <family val="2"/>
      <scheme val="minor"/>
    </font>
    <font>
      <b/>
      <sz val="9"/>
      <color indexed="81"/>
      <name val="Tahoma"/>
      <family val="2"/>
    </font>
    <font>
      <sz val="11"/>
      <color theme="1"/>
      <name val="Calibri"/>
      <family val="2"/>
    </font>
    <font>
      <i/>
      <sz val="11"/>
      <color theme="1"/>
      <name val="Calibri"/>
      <family val="2"/>
      <scheme val="minor"/>
    </font>
    <font>
      <b/>
      <sz val="11"/>
      <color rgb="FFFF0000"/>
      <name val="Calibri"/>
      <family val="2"/>
      <scheme val="minor"/>
    </font>
    <font>
      <sz val="11"/>
      <color rgb="FF000000"/>
      <name val="Arial"/>
      <family val="2"/>
    </font>
    <font>
      <sz val="11"/>
      <color theme="0"/>
      <name val="Webdings"/>
      <family val="1"/>
      <charset val="2"/>
    </font>
    <font>
      <b/>
      <sz val="10"/>
      <name val="Arial"/>
      <family val="2"/>
    </font>
    <font>
      <i/>
      <sz val="9"/>
      <color indexed="81"/>
      <name val="Tahoma"/>
      <family val="2"/>
    </font>
    <font>
      <strike/>
      <sz val="11"/>
      <color theme="1"/>
      <name val="Calibri"/>
      <family val="2"/>
      <scheme val="minor"/>
    </font>
    <font>
      <u/>
      <sz val="11"/>
      <color theme="4" tint="-0.249977111117893"/>
      <name val="Calibri"/>
      <family val="2"/>
      <scheme val="minor"/>
    </font>
    <font>
      <sz val="11"/>
      <color rgb="FFED0000"/>
      <name val="Arial"/>
      <family val="2"/>
    </font>
  </fonts>
  <fills count="22">
    <fill>
      <patternFill patternType="none"/>
    </fill>
    <fill>
      <patternFill patternType="gray125"/>
    </fill>
    <fill>
      <patternFill patternType="solid">
        <fgColor rgb="FF0070C0"/>
        <bgColor indexed="64"/>
      </patternFill>
    </fill>
    <fill>
      <patternFill patternType="solid">
        <fgColor rgb="FF98C6EA"/>
        <bgColor indexed="64"/>
      </patternFill>
    </fill>
    <fill>
      <patternFill patternType="solid">
        <fgColor theme="0"/>
        <bgColor indexed="64"/>
      </patternFill>
    </fill>
    <fill>
      <patternFill patternType="solid">
        <fgColor theme="0" tint="-0.34998626667073579"/>
        <bgColor indexed="64"/>
      </patternFill>
    </fill>
    <fill>
      <patternFill patternType="solid">
        <fgColor theme="6" tint="0.59996337778862885"/>
        <bgColor indexed="64"/>
      </patternFill>
    </fill>
    <fill>
      <patternFill patternType="solid">
        <fgColor rgb="FFBBF7DC"/>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theme="9" tint="0.39997558519241921"/>
        <bgColor indexed="64"/>
      </patternFill>
    </fill>
    <fill>
      <patternFill patternType="solid">
        <fgColor rgb="FF00B050"/>
        <bgColor indexed="64"/>
      </patternFill>
    </fill>
    <fill>
      <patternFill patternType="solid">
        <fgColor rgb="FFD9E1F2"/>
        <bgColor indexed="64"/>
      </patternFill>
    </fill>
    <fill>
      <patternFill patternType="solid">
        <fgColor theme="2" tint="-9.9948118533890809E-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rgb="FF92D050"/>
        <bgColor indexed="64"/>
      </patternFill>
    </fill>
    <fill>
      <patternFill patternType="solid">
        <fgColor theme="7" tint="0.59999389629810485"/>
        <bgColor indexed="64"/>
      </patternFill>
    </fill>
    <fill>
      <patternFill patternType="solid">
        <fgColor rgb="FF002060"/>
        <bgColor indexed="64"/>
      </patternFill>
    </fill>
    <fill>
      <patternFill patternType="solid">
        <fgColor rgb="FFC00000"/>
        <bgColor indexed="64"/>
      </patternFill>
    </fill>
  </fills>
  <borders count="48">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thin">
        <color indexed="64"/>
      </left>
      <right/>
      <top/>
      <bottom style="thin">
        <color indexed="64"/>
      </bottom>
      <diagonal/>
    </border>
    <border>
      <left/>
      <right/>
      <top/>
      <bottom style="thin">
        <color auto="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thin">
        <color rgb="FF7F7F7F"/>
      </left>
      <right style="thin">
        <color rgb="FF7F7F7F"/>
      </right>
      <top style="thin">
        <color rgb="FF7F7F7F"/>
      </top>
      <bottom style="thin">
        <color rgb="FF7F7F7F"/>
      </bottom>
      <diagonal/>
    </border>
    <border>
      <left/>
      <right/>
      <top style="thin">
        <color indexed="64"/>
      </top>
      <bottom/>
      <diagonal/>
    </border>
    <border>
      <left style="hair">
        <color indexed="64"/>
      </left>
      <right style="hair">
        <color indexed="64"/>
      </right>
      <top/>
      <bottom style="hair">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hair">
        <color indexed="64"/>
      </left>
      <right/>
      <top/>
      <bottom/>
      <diagonal/>
    </border>
    <border>
      <left/>
      <right style="hair">
        <color indexed="64"/>
      </right>
      <top/>
      <bottom/>
      <diagonal/>
    </border>
    <border>
      <left/>
      <right/>
      <top style="thin">
        <color rgb="FF000000"/>
      </top>
      <bottom/>
      <diagonal/>
    </border>
    <border>
      <left/>
      <right style="hair">
        <color indexed="64"/>
      </right>
      <top style="hair">
        <color indexed="64"/>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diagonal/>
    </border>
    <border>
      <left/>
      <right style="thin">
        <color indexed="64"/>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theme="0"/>
      </bottom>
      <diagonal/>
    </border>
    <border>
      <left style="hair">
        <color indexed="64"/>
      </left>
      <right style="hair">
        <color indexed="64"/>
      </right>
      <top style="hair">
        <color indexed="64"/>
      </top>
      <bottom/>
      <diagonal/>
    </border>
    <border>
      <left style="dashed">
        <color indexed="64"/>
      </left>
      <right style="dashed">
        <color indexed="64"/>
      </right>
      <top style="dashed">
        <color indexed="64"/>
      </top>
      <bottom style="thick">
        <color indexed="64"/>
      </bottom>
      <diagonal/>
    </border>
  </borders>
  <cellStyleXfs count="33">
    <xf numFmtId="0" fontId="0" fillId="0" borderId="0"/>
    <xf numFmtId="164" fontId="3" fillId="2" borderId="0"/>
    <xf numFmtId="164" fontId="4" fillId="2" borderId="0" applyBorder="0" applyAlignment="0"/>
    <xf numFmtId="165" fontId="6" fillId="3" borderId="0" applyNumberFormat="0">
      <alignment vertical="center"/>
    </xf>
    <xf numFmtId="0" fontId="7" fillId="0" borderId="0" applyFill="0"/>
    <xf numFmtId="0" fontId="9" fillId="0" borderId="0" applyNumberFormat="0" applyFill="0" applyBorder="0" applyAlignment="0" applyProtection="0"/>
    <xf numFmtId="0" fontId="1" fillId="0" borderId="0">
      <alignment wrapText="1"/>
    </xf>
    <xf numFmtId="0" fontId="13"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164" fontId="2" fillId="5" borderId="13"/>
    <xf numFmtId="164" fontId="1" fillId="6" borderId="13"/>
    <xf numFmtId="164" fontId="1" fillId="7" borderId="13"/>
    <xf numFmtId="164" fontId="1" fillId="8" borderId="13" applyProtection="0"/>
    <xf numFmtId="164" fontId="1" fillId="6" borderId="13"/>
    <xf numFmtId="169" fontId="4" fillId="2" borderId="0"/>
    <xf numFmtId="0" fontId="22" fillId="0" borderId="0" applyFont="0" applyFill="0" applyBorder="0" applyAlignment="0" applyProtection="0"/>
    <xf numFmtId="171" fontId="1" fillId="6" borderId="13"/>
    <xf numFmtId="10" fontId="1" fillId="6" borderId="13"/>
    <xf numFmtId="172" fontId="1" fillId="5" borderId="13" applyNumberFormat="0" applyFont="0" applyFill="0" applyAlignment="0" applyProtection="0">
      <protection locked="0"/>
    </xf>
    <xf numFmtId="15" fontId="21" fillId="8" borderId="13"/>
    <xf numFmtId="15" fontId="1" fillId="6" borderId="13"/>
    <xf numFmtId="173" fontId="1" fillId="0" borderId="13"/>
    <xf numFmtId="164" fontId="9" fillId="15" borderId="13">
      <alignment horizontal="center"/>
    </xf>
    <xf numFmtId="49" fontId="1" fillId="8" borderId="13" applyProtection="0"/>
    <xf numFmtId="9" fontId="1" fillId="8" borderId="13" applyProtection="0"/>
    <xf numFmtId="49" fontId="1" fillId="6" borderId="13"/>
    <xf numFmtId="0" fontId="1" fillId="8" borderId="13" applyProtection="0"/>
    <xf numFmtId="49" fontId="2" fillId="5" borderId="13"/>
    <xf numFmtId="0" fontId="1" fillId="6" borderId="13"/>
    <xf numFmtId="38" fontId="23" fillId="17" borderId="14">
      <protection locked="0"/>
    </xf>
    <xf numFmtId="172" fontId="1" fillId="6" borderId="13">
      <alignment horizontal="right"/>
    </xf>
  </cellStyleXfs>
  <cellXfs count="540">
    <xf numFmtId="0" fontId="0" fillId="0" borderId="0" xfId="0"/>
    <xf numFmtId="167" fontId="14" fillId="4" borderId="0" xfId="17" applyNumberFormat="1" applyFont="1" applyFill="1" applyProtection="1"/>
    <xf numFmtId="164" fontId="4" fillId="2" borderId="0" xfId="2"/>
    <xf numFmtId="0" fontId="0" fillId="0" borderId="0" xfId="0" applyAlignment="1">
      <alignment horizontal="left" vertical="center"/>
    </xf>
    <xf numFmtId="0" fontId="0" fillId="0" borderId="0" xfId="0" applyAlignment="1">
      <alignment wrapText="1"/>
    </xf>
    <xf numFmtId="0" fontId="6" fillId="3" borderId="0" xfId="3" applyNumberFormat="1">
      <alignment vertical="center"/>
    </xf>
    <xf numFmtId="0" fontId="1" fillId="0" borderId="0" xfId="10"/>
    <xf numFmtId="175" fontId="9" fillId="0" borderId="0" xfId="5" applyNumberFormat="1" applyAlignment="1" applyProtection="1">
      <alignment horizontal="center" vertical="center"/>
    </xf>
    <xf numFmtId="0" fontId="0" fillId="0" borderId="0" xfId="0" applyAlignment="1">
      <alignment horizontal="center" vertical="center"/>
    </xf>
    <xf numFmtId="166" fontId="9" fillId="0" borderId="0" xfId="5" applyNumberFormat="1" applyAlignment="1" applyProtection="1">
      <alignment horizontal="center"/>
    </xf>
    <xf numFmtId="174" fontId="9" fillId="0" borderId="0" xfId="5" applyNumberFormat="1" applyAlignment="1" applyProtection="1">
      <alignment horizontal="center" vertical="center"/>
    </xf>
    <xf numFmtId="0" fontId="9" fillId="0" borderId="0" xfId="5" applyBorder="1" applyAlignment="1" applyProtection="1">
      <alignment wrapText="1"/>
    </xf>
    <xf numFmtId="0" fontId="9" fillId="0" borderId="0" xfId="5" applyAlignment="1" applyProtection="1">
      <alignment wrapText="1"/>
    </xf>
    <xf numFmtId="175" fontId="9" fillId="0" borderId="0" xfId="5" applyNumberFormat="1" applyAlignment="1" applyProtection="1">
      <alignment horizontal="center"/>
    </xf>
    <xf numFmtId="0" fontId="0" fillId="4" borderId="0" xfId="0" applyFill="1"/>
    <xf numFmtId="0" fontId="26" fillId="4" borderId="0" xfId="0" applyFont="1" applyFill="1"/>
    <xf numFmtId="0" fontId="7" fillId="4" borderId="0" xfId="4" applyFill="1"/>
    <xf numFmtId="0" fontId="0" fillId="4" borderId="0" xfId="0" applyFill="1" applyAlignment="1">
      <alignment wrapText="1"/>
    </xf>
    <xf numFmtId="0" fontId="0" fillId="4" borderId="0" xfId="0" applyFill="1" applyAlignment="1">
      <alignment horizontal="left" vertical="center"/>
    </xf>
    <xf numFmtId="164" fontId="1" fillId="6" borderId="13" xfId="12"/>
    <xf numFmtId="0" fontId="21" fillId="4" borderId="0" xfId="0" applyFont="1" applyFill="1"/>
    <xf numFmtId="0" fontId="7" fillId="3" borderId="0" xfId="4" applyFill="1"/>
    <xf numFmtId="0" fontId="0" fillId="4" borderId="0" xfId="0" applyFill="1" applyAlignment="1">
      <alignment vertical="center"/>
    </xf>
    <xf numFmtId="170" fontId="24" fillId="4" borderId="0" xfId="10" applyNumberFormat="1" applyFont="1" applyFill="1" applyAlignment="1">
      <alignment horizontal="left" vertical="center"/>
    </xf>
    <xf numFmtId="0" fontId="0" fillId="4" borderId="0" xfId="0" applyFill="1" applyAlignment="1">
      <alignment vertical="center" wrapText="1"/>
    </xf>
    <xf numFmtId="0" fontId="24" fillId="4" borderId="0" xfId="10" applyFont="1" applyFill="1" applyAlignment="1">
      <alignment vertical="center"/>
    </xf>
    <xf numFmtId="0" fontId="2" fillId="4" borderId="0" xfId="0" applyFont="1" applyFill="1" applyAlignment="1">
      <alignment vertical="center"/>
    </xf>
    <xf numFmtId="0" fontId="7" fillId="4" borderId="0" xfId="4" applyFill="1" applyAlignment="1">
      <alignment vertical="top"/>
    </xf>
    <xf numFmtId="164" fontId="1" fillId="8" borderId="13" xfId="14" applyProtection="1">
      <protection locked="0"/>
    </xf>
    <xf numFmtId="0" fontId="14" fillId="4" borderId="0" xfId="0" applyFont="1" applyFill="1"/>
    <xf numFmtId="0" fontId="15" fillId="4" borderId="0" xfId="0" applyFont="1" applyFill="1" applyAlignment="1">
      <alignment horizontal="left" wrapText="1"/>
    </xf>
    <xf numFmtId="0" fontId="16" fillId="4" borderId="0" xfId="0" applyFont="1" applyFill="1"/>
    <xf numFmtId="0" fontId="14" fillId="4" borderId="0" xfId="0" applyFont="1" applyFill="1" applyAlignment="1">
      <alignment horizontal="left"/>
    </xf>
    <xf numFmtId="0" fontId="16" fillId="4" borderId="0" xfId="0" applyFont="1" applyFill="1" applyAlignment="1">
      <alignment horizontal="left"/>
    </xf>
    <xf numFmtId="167" fontId="14" fillId="4" borderId="0" xfId="0" applyNumberFormat="1" applyFont="1" applyFill="1"/>
    <xf numFmtId="0" fontId="17" fillId="4" borderId="0" xfId="0" applyFont="1" applyFill="1"/>
    <xf numFmtId="0" fontId="2" fillId="0" borderId="0" xfId="0" applyFont="1"/>
    <xf numFmtId="164" fontId="4" fillId="2" borderId="0" xfId="2" applyAlignment="1">
      <alignment horizontal="center"/>
    </xf>
    <xf numFmtId="171" fontId="1" fillId="6" borderId="13" xfId="12" applyNumberFormat="1"/>
    <xf numFmtId="171" fontId="21" fillId="6" borderId="13" xfId="12" applyNumberFormat="1" applyFont="1"/>
    <xf numFmtId="164" fontId="21" fillId="6" borderId="13" xfId="12" applyFont="1"/>
    <xf numFmtId="10" fontId="21" fillId="6" borderId="13" xfId="9" applyNumberFormat="1" applyFont="1" applyFill="1" applyBorder="1" applyProtection="1"/>
    <xf numFmtId="164" fontId="1" fillId="6" borderId="13" xfId="12" applyAlignment="1">
      <alignment horizontal="right"/>
    </xf>
    <xf numFmtId="10" fontId="1" fillId="6" borderId="13" xfId="9" applyNumberFormat="1" applyFill="1" applyBorder="1" applyAlignment="1" applyProtection="1">
      <alignment horizontal="right"/>
    </xf>
    <xf numFmtId="10" fontId="1" fillId="6" borderId="13" xfId="9" applyNumberFormat="1" applyFill="1" applyBorder="1" applyProtection="1"/>
    <xf numFmtId="10" fontId="1" fillId="6" borderId="13" xfId="12" applyNumberFormat="1"/>
    <xf numFmtId="49" fontId="14" fillId="4" borderId="0" xfId="0" applyNumberFormat="1" applyFont="1" applyFill="1"/>
    <xf numFmtId="0" fontId="7" fillId="4" borderId="0" xfId="0" applyFont="1" applyFill="1"/>
    <xf numFmtId="0" fontId="27" fillId="0" borderId="17" xfId="0" applyFont="1" applyBorder="1" applyAlignment="1">
      <alignment horizontal="center" vertical="center" wrapText="1" readingOrder="1"/>
    </xf>
    <xf numFmtId="0" fontId="27" fillId="0" borderId="18" xfId="0" applyFont="1" applyBorder="1" applyAlignment="1">
      <alignment horizontal="center" vertical="center" wrapText="1" readingOrder="1"/>
    </xf>
    <xf numFmtId="0" fontId="28" fillId="0" borderId="19" xfId="0" applyFont="1" applyBorder="1" applyAlignment="1">
      <alignment horizontal="center" wrapText="1" readingOrder="1"/>
    </xf>
    <xf numFmtId="0" fontId="28" fillId="14" borderId="19" xfId="0" applyFont="1" applyFill="1" applyBorder="1" applyAlignment="1">
      <alignment horizontal="center" wrapText="1" readingOrder="1"/>
    </xf>
    <xf numFmtId="0" fontId="0" fillId="0" borderId="12" xfId="0" applyBorder="1"/>
    <xf numFmtId="0" fontId="0" fillId="4" borderId="3" xfId="0" applyFill="1" applyBorder="1" applyAlignment="1">
      <alignment vertical="center" wrapText="1"/>
    </xf>
    <xf numFmtId="0" fontId="0" fillId="4" borderId="3" xfId="0" applyFill="1" applyBorder="1"/>
    <xf numFmtId="171" fontId="1" fillId="6" borderId="13" xfId="12" applyNumberFormat="1" applyAlignment="1">
      <alignment vertical="center" wrapText="1"/>
    </xf>
    <xf numFmtId="0" fontId="0" fillId="0" borderId="11" xfId="0" applyBorder="1"/>
    <xf numFmtId="0" fontId="0" fillId="0" borderId="10" xfId="0" applyBorder="1"/>
    <xf numFmtId="0" fontId="0" fillId="4" borderId="0" xfId="0" applyFill="1" applyAlignment="1">
      <alignment horizontal="center"/>
    </xf>
    <xf numFmtId="0" fontId="2" fillId="4" borderId="3" xfId="0" applyFont="1" applyFill="1" applyBorder="1" applyAlignment="1">
      <alignment vertical="center" wrapText="1"/>
    </xf>
    <xf numFmtId="164" fontId="1" fillId="6" borderId="13" xfId="12" applyAlignment="1">
      <alignment horizontal="center"/>
    </xf>
    <xf numFmtId="164" fontId="4" fillId="2" borderId="0" xfId="2" applyAlignment="1">
      <alignment horizontal="right"/>
    </xf>
    <xf numFmtId="0" fontId="0" fillId="4" borderId="5" xfId="0" applyFill="1" applyBorder="1" applyAlignment="1">
      <alignment horizontal="left" vertical="center" wrapText="1"/>
    </xf>
    <xf numFmtId="0" fontId="0" fillId="4" borderId="4" xfId="0" applyFill="1" applyBorder="1" applyAlignment="1">
      <alignment horizontal="left" vertical="center" wrapText="1"/>
    </xf>
    <xf numFmtId="0" fontId="2" fillId="4" borderId="5" xfId="0" applyFont="1" applyFill="1" applyBorder="1" applyAlignment="1">
      <alignment horizontal="left" vertical="top" wrapText="1"/>
    </xf>
    <xf numFmtId="0" fontId="2" fillId="4" borderId="4" xfId="0" applyFont="1" applyFill="1" applyBorder="1" applyAlignment="1">
      <alignment horizontal="left" vertical="top" wrapText="1"/>
    </xf>
    <xf numFmtId="0" fontId="0" fillId="0" borderId="3" xfId="0" applyBorder="1"/>
    <xf numFmtId="0" fontId="0" fillId="0" borderId="0" xfId="0" applyAlignment="1">
      <alignment vertical="center"/>
    </xf>
    <xf numFmtId="2" fontId="0" fillId="0" borderId="0" xfId="0" applyNumberFormat="1"/>
    <xf numFmtId="0" fontId="2" fillId="0" borderId="0" xfId="0" applyFont="1" applyAlignment="1">
      <alignment vertical="center"/>
    </xf>
    <xf numFmtId="0" fontId="2" fillId="0" borderId="0" xfId="0" applyFont="1" applyAlignment="1">
      <alignment vertical="center" wrapText="1"/>
    </xf>
    <xf numFmtId="0" fontId="0" fillId="0" borderId="0" xfId="0" applyAlignment="1">
      <alignment vertical="center" wrapText="1"/>
    </xf>
    <xf numFmtId="166" fontId="9" fillId="4" borderId="0" xfId="5" applyNumberFormat="1" applyFill="1" applyAlignment="1" applyProtection="1">
      <alignment horizontal="center"/>
    </xf>
    <xf numFmtId="0" fontId="6" fillId="4" borderId="0" xfId="3" applyNumberFormat="1" applyFill="1">
      <alignment vertical="center"/>
    </xf>
    <xf numFmtId="164" fontId="4" fillId="2" borderId="0" xfId="2" applyAlignment="1">
      <alignment vertical="center"/>
    </xf>
    <xf numFmtId="0" fontId="8" fillId="4" borderId="0" xfId="4" applyFont="1" applyFill="1"/>
    <xf numFmtId="0" fontId="0" fillId="0" borderId="0" xfId="0" applyAlignment="1">
      <alignment horizontal="center"/>
    </xf>
    <xf numFmtId="0" fontId="2" fillId="4" borderId="0" xfId="0" applyFont="1" applyFill="1" applyAlignment="1">
      <alignment vertical="center" wrapText="1"/>
    </xf>
    <xf numFmtId="174" fontId="0" fillId="0" borderId="0" xfId="0" applyNumberFormat="1" applyAlignment="1">
      <alignment horizontal="center" vertical="center"/>
    </xf>
    <xf numFmtId="164" fontId="26" fillId="4" borderId="0" xfId="0" applyNumberFormat="1" applyFont="1" applyFill="1"/>
    <xf numFmtId="166" fontId="26" fillId="0" borderId="0" xfId="0" applyNumberFormat="1" applyFont="1" applyAlignment="1">
      <alignment horizontal="center"/>
    </xf>
    <xf numFmtId="0" fontId="10" fillId="0" borderId="0" xfId="0" applyFont="1" applyAlignment="1">
      <alignment horizontal="center"/>
    </xf>
    <xf numFmtId="0" fontId="11" fillId="4" borderId="0" xfId="0" applyFont="1" applyFill="1"/>
    <xf numFmtId="0" fontId="2" fillId="4" borderId="0" xfId="0" applyFont="1" applyFill="1"/>
    <xf numFmtId="0" fontId="10" fillId="0" borderId="0" xfId="0" applyFont="1" applyAlignment="1">
      <alignment horizontal="center" vertical="center"/>
    </xf>
    <xf numFmtId="0" fontId="0" fillId="4" borderId="0" xfId="0" applyFill="1" applyAlignment="1">
      <alignment horizontal="left" vertical="center" wrapText="1"/>
    </xf>
    <xf numFmtId="0" fontId="0" fillId="4" borderId="0" xfId="0" quotePrefix="1" applyFill="1"/>
    <xf numFmtId="0" fontId="1" fillId="0" borderId="0" xfId="6" applyAlignment="1">
      <alignment vertical="center" wrapText="1"/>
    </xf>
    <xf numFmtId="0" fontId="0" fillId="0" borderId="0" xfId="6" applyFont="1" applyAlignment="1">
      <alignment vertical="center" wrapText="1"/>
    </xf>
    <xf numFmtId="0" fontId="2" fillId="4" borderId="0" xfId="6" applyFont="1" applyFill="1" applyAlignment="1">
      <alignment vertical="center" wrapText="1"/>
    </xf>
    <xf numFmtId="0" fontId="2" fillId="0" borderId="0" xfId="0" applyFont="1" applyAlignment="1">
      <alignment horizontal="left"/>
    </xf>
    <xf numFmtId="170" fontId="17" fillId="4" borderId="0" xfId="0" quotePrefix="1" applyNumberFormat="1" applyFont="1" applyFill="1" applyAlignment="1">
      <alignment horizontal="center"/>
    </xf>
    <xf numFmtId="167" fontId="17" fillId="4" borderId="0" xfId="0" applyNumberFormat="1" applyFont="1" applyFill="1"/>
    <xf numFmtId="0" fontId="2" fillId="0" borderId="0" xfId="0" applyFont="1" applyAlignment="1">
      <alignment horizontal="left" vertical="top"/>
    </xf>
    <xf numFmtId="0" fontId="0" fillId="0" borderId="0" xfId="0" applyAlignment="1">
      <alignment horizontal="left"/>
    </xf>
    <xf numFmtId="167" fontId="6" fillId="4" borderId="0" xfId="0" applyNumberFormat="1" applyFont="1" applyFill="1"/>
    <xf numFmtId="0" fontId="7" fillId="0" borderId="0" xfId="4" applyFill="1"/>
    <xf numFmtId="0" fontId="26" fillId="0" borderId="0" xfId="0" applyFont="1"/>
    <xf numFmtId="0" fontId="25" fillId="0" borderId="0" xfId="4" applyFont="1" applyFill="1"/>
    <xf numFmtId="0" fontId="26" fillId="0" borderId="0" xfId="0" applyFont="1" applyAlignment="1">
      <alignment vertical="center"/>
    </xf>
    <xf numFmtId="0" fontId="21" fillId="0" borderId="0" xfId="0" applyFont="1" applyAlignment="1">
      <alignment vertical="center"/>
    </xf>
    <xf numFmtId="164" fontId="3" fillId="4" borderId="0" xfId="1" applyFill="1"/>
    <xf numFmtId="164" fontId="4" fillId="4" borderId="0" xfId="2" applyFill="1" applyAlignment="1">
      <alignment vertical="center"/>
    </xf>
    <xf numFmtId="164" fontId="4" fillId="4" borderId="0" xfId="2" applyFill="1" applyAlignment="1">
      <alignment vertical="center" wrapText="1"/>
    </xf>
    <xf numFmtId="0" fontId="0" fillId="0" borderId="0" xfId="0" quotePrefix="1"/>
    <xf numFmtId="0" fontId="1" fillId="4" borderId="0" xfId="10" applyFill="1"/>
    <xf numFmtId="166" fontId="0" fillId="4" borderId="0" xfId="0" applyNumberFormat="1" applyFill="1" applyAlignment="1">
      <alignment horizontal="center"/>
    </xf>
    <xf numFmtId="0" fontId="12" fillId="4" borderId="0" xfId="4" applyFont="1" applyFill="1" applyAlignment="1">
      <alignment vertical="center"/>
    </xf>
    <xf numFmtId="166" fontId="26" fillId="4" borderId="0" xfId="0" applyNumberFormat="1" applyFont="1" applyFill="1" applyAlignment="1">
      <alignment horizontal="center"/>
    </xf>
    <xf numFmtId="170" fontId="14" fillId="4" borderId="0" xfId="0" quotePrefix="1" applyNumberFormat="1" applyFont="1" applyFill="1" applyAlignment="1">
      <alignment horizontal="center" wrapText="1"/>
    </xf>
    <xf numFmtId="164" fontId="4" fillId="2" borderId="22" xfId="2" applyBorder="1" applyAlignment="1">
      <alignment horizontal="left"/>
    </xf>
    <xf numFmtId="164" fontId="29" fillId="2" borderId="0" xfId="5" applyNumberFormat="1" applyFont="1" applyFill="1" applyProtection="1"/>
    <xf numFmtId="0" fontId="21" fillId="0" borderId="0" xfId="0" applyFont="1"/>
    <xf numFmtId="0" fontId="0" fillId="4" borderId="0" xfId="0" applyFill="1" applyAlignment="1">
      <alignment horizontal="left"/>
    </xf>
    <xf numFmtId="164" fontId="1" fillId="8" borderId="13" xfId="20" applyNumberFormat="1" applyFill="1" applyProtection="1">
      <protection locked="0"/>
    </xf>
    <xf numFmtId="166" fontId="9" fillId="4" borderId="0" xfId="5" applyNumberFormat="1" applyFill="1" applyAlignment="1" applyProtection="1">
      <alignment horizontal="center" vertical="center"/>
    </xf>
    <xf numFmtId="166" fontId="31" fillId="0" borderId="0" xfId="0" applyNumberFormat="1" applyFont="1" applyAlignment="1">
      <alignment horizontal="center"/>
    </xf>
    <xf numFmtId="174" fontId="31" fillId="0" borderId="0" xfId="0" applyNumberFormat="1" applyFont="1" applyAlignment="1">
      <alignment horizontal="center" vertical="center"/>
    </xf>
    <xf numFmtId="0" fontId="9" fillId="0" borderId="0" xfId="5" applyProtection="1"/>
    <xf numFmtId="0" fontId="2" fillId="0" borderId="0" xfId="10" applyFont="1"/>
    <xf numFmtId="43" fontId="21" fillId="6" borderId="13" xfId="12" applyNumberFormat="1" applyFont="1" applyAlignment="1">
      <alignment horizontal="right"/>
    </xf>
    <xf numFmtId="164" fontId="32" fillId="2" borderId="0" xfId="2" applyFont="1"/>
    <xf numFmtId="0" fontId="2" fillId="0" borderId="0" xfId="10" applyFont="1" applyAlignment="1">
      <alignment horizontal="center"/>
    </xf>
    <xf numFmtId="0" fontId="33" fillId="0" borderId="0" xfId="0" applyFont="1" applyAlignment="1">
      <alignment horizontal="center"/>
    </xf>
    <xf numFmtId="49" fontId="1" fillId="8" borderId="13" xfId="25" applyAlignment="1" applyProtection="1">
      <alignment horizontal="center" vertical="center"/>
      <protection locked="0"/>
    </xf>
    <xf numFmtId="0" fontId="0" fillId="4" borderId="0" xfId="0" applyFill="1" applyAlignment="1">
      <alignment horizontal="center" vertical="center"/>
    </xf>
    <xf numFmtId="175" fontId="9" fillId="4" borderId="0" xfId="5" applyNumberFormat="1" applyFill="1" applyAlignment="1" applyProtection="1">
      <alignment horizontal="center" vertical="center"/>
    </xf>
    <xf numFmtId="49" fontId="1" fillId="8" borderId="13" xfId="25" applyAlignment="1" applyProtection="1">
      <alignment horizontal="center" vertical="center" wrapText="1"/>
      <protection locked="0"/>
    </xf>
    <xf numFmtId="0" fontId="36" fillId="4" borderId="0" xfId="4" applyFont="1" applyFill="1"/>
    <xf numFmtId="0" fontId="35" fillId="4" borderId="0" xfId="4" applyFont="1" applyFill="1"/>
    <xf numFmtId="0" fontId="36" fillId="4" borderId="0" xfId="0" applyFont="1" applyFill="1"/>
    <xf numFmtId="0" fontId="30" fillId="0" borderId="0" xfId="0" applyFont="1" applyAlignment="1">
      <alignment horizontal="left"/>
    </xf>
    <xf numFmtId="0" fontId="13" fillId="0" borderId="0" xfId="0" applyFont="1"/>
    <xf numFmtId="0" fontId="30" fillId="0" borderId="0" xfId="0" applyFont="1"/>
    <xf numFmtId="0" fontId="13" fillId="4" borderId="0" xfId="0" applyFont="1" applyFill="1"/>
    <xf numFmtId="0" fontId="36" fillId="0" borderId="0" xfId="0" applyFont="1"/>
    <xf numFmtId="0" fontId="35" fillId="0" borderId="0" xfId="0" applyFont="1" applyAlignment="1">
      <alignment horizontal="left" vertical="top"/>
    </xf>
    <xf numFmtId="0" fontId="36" fillId="0" borderId="0" xfId="0" applyFont="1" applyAlignment="1">
      <alignment horizontal="left"/>
    </xf>
    <xf numFmtId="0" fontId="35" fillId="0" borderId="0" xfId="0" applyFont="1" applyAlignment="1">
      <alignment horizontal="left"/>
    </xf>
    <xf numFmtId="0" fontId="35" fillId="0" borderId="0" xfId="0" applyFont="1"/>
    <xf numFmtId="0" fontId="37" fillId="4" borderId="0" xfId="4" applyFont="1" applyFill="1"/>
    <xf numFmtId="0" fontId="36" fillId="4" borderId="0" xfId="7" applyFont="1" applyFill="1"/>
    <xf numFmtId="173" fontId="4" fillId="2" borderId="0" xfId="2" applyNumberFormat="1"/>
    <xf numFmtId="164" fontId="4" fillId="2" borderId="0" xfId="2" applyAlignment="1">
      <alignment horizontal="center" wrapText="1"/>
    </xf>
    <xf numFmtId="0" fontId="0" fillId="19" borderId="0" xfId="0" applyFill="1" applyAlignment="1">
      <alignment horizontal="center"/>
    </xf>
    <xf numFmtId="49" fontId="1" fillId="8" borderId="13" xfId="25" applyProtection="1">
      <protection locked="0"/>
    </xf>
    <xf numFmtId="164" fontId="4" fillId="2" borderId="0" xfId="2" applyAlignment="1">
      <alignment horizontal="left"/>
    </xf>
    <xf numFmtId="166" fontId="0" fillId="0" borderId="0" xfId="0" applyNumberFormat="1" applyAlignment="1">
      <alignment horizontal="center"/>
    </xf>
    <xf numFmtId="0" fontId="1" fillId="6" borderId="13" xfId="30"/>
    <xf numFmtId="0" fontId="14" fillId="4" borderId="0" xfId="0" applyFont="1" applyFill="1" applyAlignment="1">
      <alignment horizontal="left" vertical="top"/>
    </xf>
    <xf numFmtId="0" fontId="2" fillId="4" borderId="5" xfId="0" applyFont="1" applyFill="1" applyBorder="1"/>
    <xf numFmtId="49" fontId="16" fillId="4" borderId="15" xfId="0" applyNumberFormat="1" applyFont="1" applyFill="1" applyBorder="1" applyAlignment="1">
      <alignment horizontal="left"/>
    </xf>
    <xf numFmtId="49" fontId="16" fillId="4" borderId="2" xfId="0" applyNumberFormat="1" applyFont="1" applyFill="1" applyBorder="1" applyAlignment="1">
      <alignment horizontal="left"/>
    </xf>
    <xf numFmtId="0" fontId="0" fillId="4" borderId="0" xfId="0" applyFill="1" applyAlignment="1">
      <alignment horizontal="left" vertical="top"/>
    </xf>
    <xf numFmtId="0" fontId="14" fillId="4" borderId="15" xfId="0" applyFont="1" applyFill="1" applyBorder="1" applyAlignment="1">
      <alignment horizontal="left"/>
    </xf>
    <xf numFmtId="0" fontId="14" fillId="4" borderId="2" xfId="0" applyFont="1" applyFill="1" applyBorder="1" applyAlignment="1">
      <alignment horizontal="left"/>
    </xf>
    <xf numFmtId="0" fontId="14" fillId="4" borderId="6" xfId="0" applyFont="1" applyFill="1" applyBorder="1" applyAlignment="1">
      <alignment horizontal="left"/>
    </xf>
    <xf numFmtId="0" fontId="14" fillId="4" borderId="4" xfId="0" applyFont="1" applyFill="1" applyBorder="1" applyAlignment="1">
      <alignment horizontal="left"/>
    </xf>
    <xf numFmtId="0" fontId="0" fillId="0" borderId="0" xfId="0" applyAlignment="1">
      <alignment horizontal="left" vertical="top"/>
    </xf>
    <xf numFmtId="49" fontId="16" fillId="4" borderId="6" xfId="0" applyNumberFormat="1" applyFont="1" applyFill="1" applyBorder="1" applyAlignment="1">
      <alignment horizontal="left"/>
    </xf>
    <xf numFmtId="49" fontId="16" fillId="4" borderId="4" xfId="0" applyNumberFormat="1" applyFont="1" applyFill="1" applyBorder="1" applyAlignment="1">
      <alignment horizontal="left"/>
    </xf>
    <xf numFmtId="38" fontId="23" fillId="17" borderId="14" xfId="31" applyProtection="1"/>
    <xf numFmtId="0" fontId="14" fillId="0" borderId="0" xfId="0" applyFont="1"/>
    <xf numFmtId="0" fontId="14" fillId="4" borderId="8" xfId="0" applyFont="1" applyFill="1" applyBorder="1" applyAlignment="1">
      <alignment horizontal="left"/>
    </xf>
    <xf numFmtId="0" fontId="14" fillId="4" borderId="9" xfId="0" applyFont="1" applyFill="1" applyBorder="1" applyAlignment="1">
      <alignment horizontal="left"/>
    </xf>
    <xf numFmtId="0" fontId="16" fillId="4" borderId="0" xfId="0" applyFont="1" applyFill="1" applyAlignment="1">
      <alignment horizontal="left" vertical="top"/>
    </xf>
    <xf numFmtId="0" fontId="6" fillId="4" borderId="0" xfId="0" applyFont="1" applyFill="1"/>
    <xf numFmtId="0" fontId="16" fillId="4" borderId="8" xfId="0" applyFont="1" applyFill="1" applyBorder="1" applyAlignment="1">
      <alignment horizontal="left"/>
    </xf>
    <xf numFmtId="0" fontId="16" fillId="4" borderId="9" xfId="0" applyFont="1" applyFill="1" applyBorder="1" applyAlignment="1">
      <alignment horizontal="left"/>
    </xf>
    <xf numFmtId="0" fontId="16" fillId="4" borderId="4" xfId="0" applyFont="1" applyFill="1" applyBorder="1" applyAlignment="1">
      <alignment horizontal="left"/>
    </xf>
    <xf numFmtId="49" fontId="17" fillId="4" borderId="6" xfId="0" applyNumberFormat="1" applyFont="1" applyFill="1" applyBorder="1" applyAlignment="1">
      <alignment horizontal="left" vertical="center" wrapText="1"/>
    </xf>
    <xf numFmtId="49" fontId="17" fillId="4" borderId="4" xfId="0" applyNumberFormat="1" applyFont="1" applyFill="1" applyBorder="1" applyAlignment="1">
      <alignment horizontal="left" vertical="center" wrapText="1"/>
    </xf>
    <xf numFmtId="168" fontId="17" fillId="4" borderId="0" xfId="0" applyNumberFormat="1" applyFont="1" applyFill="1" applyAlignment="1">
      <alignment vertical="center"/>
    </xf>
    <xf numFmtId="0" fontId="17" fillId="4" borderId="0" xfId="0" applyFont="1" applyFill="1" applyAlignment="1">
      <alignment horizontal="left" vertical="top"/>
    </xf>
    <xf numFmtId="49" fontId="17" fillId="4" borderId="6" xfId="0" applyNumberFormat="1" applyFont="1" applyFill="1" applyBorder="1" applyAlignment="1">
      <alignment horizontal="left" vertical="center"/>
    </xf>
    <xf numFmtId="49" fontId="17" fillId="4" borderId="4" xfId="0" applyNumberFormat="1" applyFont="1" applyFill="1" applyBorder="1" applyAlignment="1">
      <alignment horizontal="left" vertical="center"/>
    </xf>
    <xf numFmtId="49" fontId="17" fillId="4" borderId="0" xfId="0" applyNumberFormat="1" applyFont="1" applyFill="1" applyAlignment="1">
      <alignment horizontal="left" vertical="center" wrapText="1"/>
    </xf>
    <xf numFmtId="1" fontId="14" fillId="4" borderId="0" xfId="0" applyNumberFormat="1" applyFont="1" applyFill="1" applyAlignment="1">
      <alignment horizontal="right"/>
    </xf>
    <xf numFmtId="49" fontId="14" fillId="4" borderId="6" xfId="0" applyNumberFormat="1" applyFont="1" applyFill="1" applyBorder="1" applyAlignment="1">
      <alignment horizontal="left"/>
    </xf>
    <xf numFmtId="49" fontId="14" fillId="4" borderId="0" xfId="0" applyNumberFormat="1" applyFont="1" applyFill="1" applyAlignment="1">
      <alignment horizontal="left"/>
    </xf>
    <xf numFmtId="0" fontId="16" fillId="4" borderId="0" xfId="10" applyFont="1" applyFill="1" applyAlignment="1">
      <alignment horizontal="center" vertical="center" wrapText="1"/>
    </xf>
    <xf numFmtId="1" fontId="19" fillId="4" borderId="0" xfId="0" applyNumberFormat="1" applyFont="1" applyFill="1"/>
    <xf numFmtId="0" fontId="14" fillId="4" borderId="0" xfId="0" applyFont="1" applyFill="1" applyAlignment="1">
      <alignment horizontal="left" wrapText="1"/>
    </xf>
    <xf numFmtId="176" fontId="1" fillId="8" borderId="13" xfId="26" applyNumberFormat="1" applyProtection="1">
      <protection locked="0"/>
    </xf>
    <xf numFmtId="0" fontId="1" fillId="8" borderId="13" xfId="28" applyProtection="1">
      <protection locked="0"/>
    </xf>
    <xf numFmtId="9" fontId="1" fillId="8" borderId="13" xfId="26" applyProtection="1">
      <protection locked="0"/>
    </xf>
    <xf numFmtId="10" fontId="1" fillId="6" borderId="13" xfId="19"/>
    <xf numFmtId="0" fontId="0" fillId="10" borderId="1" xfId="0" applyFill="1" applyBorder="1"/>
    <xf numFmtId="0" fontId="0" fillId="10" borderId="15" xfId="0" applyFill="1" applyBorder="1"/>
    <xf numFmtId="0" fontId="0" fillId="10" borderId="2" xfId="0" applyFill="1" applyBorder="1"/>
    <xf numFmtId="0" fontId="0" fillId="16" borderId="4" xfId="0" applyFill="1" applyBorder="1"/>
    <xf numFmtId="0" fontId="0" fillId="11" borderId="28" xfId="0" applyFill="1" applyBorder="1"/>
    <xf numFmtId="0" fontId="0" fillId="11" borderId="0" xfId="0" applyFill="1"/>
    <xf numFmtId="0" fontId="0" fillId="11" borderId="29" xfId="0" applyFill="1" applyBorder="1"/>
    <xf numFmtId="0" fontId="0" fillId="18" borderId="28" xfId="0" applyFill="1" applyBorder="1"/>
    <xf numFmtId="0" fontId="0" fillId="18" borderId="0" xfId="0" applyFill="1"/>
    <xf numFmtId="0" fontId="0" fillId="18" borderId="29" xfId="0" applyFill="1" applyBorder="1"/>
    <xf numFmtId="0" fontId="0" fillId="13" borderId="7" xfId="0" applyFill="1" applyBorder="1"/>
    <xf numFmtId="0" fontId="0" fillId="13" borderId="8" xfId="0" applyFill="1" applyBorder="1"/>
    <xf numFmtId="0" fontId="0" fillId="13" borderId="9" xfId="0" applyFill="1" applyBorder="1"/>
    <xf numFmtId="0" fontId="0" fillId="0" borderId="0" xfId="0" applyAlignment="1">
      <alignment horizontal="center" vertical="center" wrapText="1"/>
    </xf>
    <xf numFmtId="0" fontId="8" fillId="3" borderId="0" xfId="4" applyFont="1" applyFill="1"/>
    <xf numFmtId="0" fontId="38" fillId="3" borderId="0" xfId="4" applyFont="1" applyFill="1"/>
    <xf numFmtId="0" fontId="7" fillId="0" borderId="0" xfId="4"/>
    <xf numFmtId="0" fontId="14" fillId="0" borderId="0" xfId="0" applyFont="1" applyAlignment="1">
      <alignment horizontal="left" vertical="top"/>
    </xf>
    <xf numFmtId="164" fontId="25" fillId="2" borderId="0" xfId="1" applyFont="1" applyAlignment="1">
      <alignment vertical="center"/>
    </xf>
    <xf numFmtId="164" fontId="3" fillId="2" borderId="0" xfId="1"/>
    <xf numFmtId="0" fontId="5" fillId="0" borderId="0" xfId="0" applyFont="1"/>
    <xf numFmtId="164" fontId="0" fillId="6" borderId="13" xfId="12" applyFont="1"/>
    <xf numFmtId="173" fontId="0" fillId="6" borderId="13" xfId="12" applyNumberFormat="1" applyFont="1"/>
    <xf numFmtId="172" fontId="0" fillId="6" borderId="13" xfId="12" applyNumberFormat="1" applyFont="1"/>
    <xf numFmtId="164" fontId="0" fillId="10" borderId="13" xfId="12" applyFont="1" applyFill="1"/>
    <xf numFmtId="164" fontId="0" fillId="11" borderId="13" xfId="12" applyFont="1" applyFill="1"/>
    <xf numFmtId="164" fontId="0" fillId="12" borderId="13" xfId="12" applyFont="1" applyFill="1"/>
    <xf numFmtId="164" fontId="0" fillId="13" borderId="13" xfId="12" applyFont="1" applyFill="1"/>
    <xf numFmtId="164" fontId="0" fillId="6" borderId="13" xfId="12" applyFont="1" applyAlignment="1">
      <alignment wrapText="1"/>
    </xf>
    <xf numFmtId="10" fontId="0" fillId="6" borderId="13" xfId="19" applyFont="1"/>
    <xf numFmtId="171" fontId="0" fillId="6" borderId="13" xfId="18" applyFont="1"/>
    <xf numFmtId="0" fontId="2" fillId="0" borderId="1" xfId="0" applyFont="1" applyBorder="1"/>
    <xf numFmtId="0" fontId="2" fillId="0" borderId="15" xfId="0" applyFont="1" applyBorder="1"/>
    <xf numFmtId="0" fontId="2" fillId="0" borderId="2" xfId="0" applyFont="1" applyBorder="1"/>
    <xf numFmtId="0" fontId="7" fillId="0" borderId="7" xfId="0" applyFont="1" applyBorder="1" applyAlignment="1">
      <alignment horizontal="left"/>
    </xf>
    <xf numFmtId="0" fontId="7" fillId="0" borderId="8" xfId="0" applyFont="1" applyBorder="1" applyAlignment="1">
      <alignment horizontal="left"/>
    </xf>
    <xf numFmtId="0" fontId="7" fillId="0" borderId="9" xfId="0" applyFont="1" applyBorder="1" applyAlignment="1">
      <alignment horizontal="left"/>
    </xf>
    <xf numFmtId="164" fontId="0" fillId="6" borderId="16" xfId="12" applyFont="1" applyBorder="1"/>
    <xf numFmtId="164" fontId="0" fillId="6" borderId="13" xfId="12" quotePrefix="1" applyFont="1"/>
    <xf numFmtId="171" fontId="0" fillId="6" borderId="13" xfId="18" quotePrefix="1" applyFont="1"/>
    <xf numFmtId="10" fontId="0" fillId="6" borderId="13" xfId="19" quotePrefix="1" applyFont="1"/>
    <xf numFmtId="0" fontId="34" fillId="0" borderId="0" xfId="0" applyFont="1"/>
    <xf numFmtId="164" fontId="0" fillId="4" borderId="0" xfId="0" applyNumberFormat="1" applyFill="1"/>
    <xf numFmtId="0" fontId="12" fillId="0" borderId="0" xfId="4" applyFont="1"/>
    <xf numFmtId="0" fontId="2" fillId="0" borderId="0" xfId="0" applyFont="1" applyAlignment="1">
      <alignment wrapText="1"/>
    </xf>
    <xf numFmtId="0" fontId="21" fillId="0" borderId="0" xfId="0" quotePrefix="1" applyFont="1"/>
    <xf numFmtId="0" fontId="0" fillId="0" borderId="0" xfId="4" applyFont="1" applyAlignment="1">
      <alignment vertical="center"/>
    </xf>
    <xf numFmtId="0" fontId="0" fillId="4" borderId="5" xfId="0" applyFill="1" applyBorder="1"/>
    <xf numFmtId="0" fontId="39" fillId="0" borderId="5" xfId="0" applyFont="1" applyBorder="1" applyAlignment="1">
      <alignment horizontal="left"/>
    </xf>
    <xf numFmtId="0" fontId="0" fillId="0" borderId="5" xfId="0" applyBorder="1"/>
    <xf numFmtId="49" fontId="39" fillId="4" borderId="5" xfId="0" applyNumberFormat="1" applyFont="1" applyFill="1" applyBorder="1" applyAlignment="1">
      <alignment horizontal="left"/>
    </xf>
    <xf numFmtId="49" fontId="39" fillId="0" borderId="5" xfId="0" applyNumberFormat="1" applyFont="1" applyBorder="1" applyAlignment="1">
      <alignment horizontal="left"/>
    </xf>
    <xf numFmtId="0" fontId="40" fillId="0" borderId="7" xfId="0" applyFont="1" applyBorder="1" applyAlignment="1">
      <alignment horizontal="left"/>
    </xf>
    <xf numFmtId="0" fontId="40" fillId="4" borderId="5" xfId="0" applyFont="1" applyFill="1" applyBorder="1" applyAlignment="1">
      <alignment horizontal="left"/>
    </xf>
    <xf numFmtId="0" fontId="39" fillId="4" borderId="5" xfId="0" applyFont="1" applyFill="1" applyBorder="1" applyAlignment="1">
      <alignment horizontal="left"/>
    </xf>
    <xf numFmtId="0" fontId="41" fillId="4" borderId="0" xfId="0" applyFont="1" applyFill="1"/>
    <xf numFmtId="0" fontId="40" fillId="4" borderId="1" xfId="0" applyFont="1" applyFill="1" applyBorder="1" applyAlignment="1">
      <alignment horizontal="left"/>
    </xf>
    <xf numFmtId="0" fontId="39" fillId="4" borderId="0" xfId="0" applyFont="1" applyFill="1" applyAlignment="1">
      <alignment horizontal="left"/>
    </xf>
    <xf numFmtId="49" fontId="18" fillId="4" borderId="5" xfId="0" applyNumberFormat="1" applyFont="1" applyFill="1" applyBorder="1" applyAlignment="1">
      <alignment horizontal="left" vertical="center"/>
    </xf>
    <xf numFmtId="49" fontId="18" fillId="4" borderId="0" xfId="0" applyNumberFormat="1" applyFont="1" applyFill="1" applyAlignment="1">
      <alignment vertical="center"/>
    </xf>
    <xf numFmtId="0" fontId="18" fillId="4" borderId="0" xfId="0" applyFont="1" applyFill="1" applyAlignment="1">
      <alignment vertical="center"/>
    </xf>
    <xf numFmtId="49" fontId="18" fillId="4" borderId="5" xfId="0" applyNumberFormat="1" applyFont="1" applyFill="1" applyBorder="1" applyAlignment="1">
      <alignment horizontal="left" vertical="center" wrapText="1"/>
    </xf>
    <xf numFmtId="0" fontId="41" fillId="3" borderId="0" xfId="3" applyNumberFormat="1" applyFont="1">
      <alignment vertical="center"/>
    </xf>
    <xf numFmtId="0" fontId="40" fillId="4" borderId="6" xfId="0" applyFont="1" applyFill="1" applyBorder="1" applyAlignment="1">
      <alignment horizontal="left"/>
    </xf>
    <xf numFmtId="0" fontId="40" fillId="4" borderId="4" xfId="0" applyFont="1" applyFill="1" applyBorder="1" applyAlignment="1">
      <alignment horizontal="left"/>
    </xf>
    <xf numFmtId="0" fontId="40" fillId="4" borderId="0" xfId="0" applyFont="1" applyFill="1"/>
    <xf numFmtId="6" fontId="39" fillId="4" borderId="3" xfId="0" quotePrefix="1" applyNumberFormat="1" applyFont="1" applyFill="1" applyBorder="1" applyAlignment="1">
      <alignment horizontal="center" wrapText="1"/>
    </xf>
    <xf numFmtId="0" fontId="40" fillId="4" borderId="0" xfId="0" applyFont="1" applyFill="1" applyAlignment="1">
      <alignment horizontal="left"/>
    </xf>
    <xf numFmtId="49" fontId="40" fillId="4" borderId="5" xfId="0" applyNumberFormat="1" applyFont="1" applyFill="1" applyBorder="1" applyAlignment="1">
      <alignment horizontal="left"/>
    </xf>
    <xf numFmtId="49" fontId="40" fillId="4" borderId="7" xfId="0" applyNumberFormat="1" applyFont="1" applyFill="1" applyBorder="1" applyAlignment="1">
      <alignment horizontal="left"/>
    </xf>
    <xf numFmtId="0" fontId="41" fillId="4" borderId="0" xfId="0" applyFont="1" applyFill="1" applyAlignment="1">
      <alignment horizontal="left" wrapText="1"/>
    </xf>
    <xf numFmtId="49" fontId="39" fillId="0" borderId="3" xfId="0" applyNumberFormat="1" applyFont="1" applyBorder="1" applyAlignment="1">
      <alignment horizontal="center"/>
    </xf>
    <xf numFmtId="49" fontId="39" fillId="0" borderId="3" xfId="0" applyNumberFormat="1" applyFont="1" applyBorder="1" applyAlignment="1">
      <alignment horizontal="center" wrapText="1"/>
    </xf>
    <xf numFmtId="49" fontId="39" fillId="4" borderId="3" xfId="0" applyNumberFormat="1" applyFont="1" applyFill="1" applyBorder="1" applyAlignment="1">
      <alignment horizontal="center" wrapText="1"/>
    </xf>
    <xf numFmtId="49" fontId="39" fillId="0" borderId="4" xfId="0" applyNumberFormat="1" applyFont="1" applyBorder="1" applyAlignment="1">
      <alignment horizontal="center"/>
    </xf>
    <xf numFmtId="49" fontId="39" fillId="4" borderId="3" xfId="0" applyNumberFormat="1" applyFont="1" applyFill="1" applyBorder="1" applyAlignment="1">
      <alignment horizontal="center"/>
    </xf>
    <xf numFmtId="49" fontId="39" fillId="4" borderId="3" xfId="0" applyNumberFormat="1" applyFont="1" applyFill="1" applyBorder="1" applyAlignment="1">
      <alignment horizontal="center" vertical="top" wrapText="1"/>
    </xf>
    <xf numFmtId="10" fontId="41" fillId="4" borderId="3" xfId="9" applyNumberFormat="1" applyFont="1" applyFill="1" applyBorder="1" applyAlignment="1" applyProtection="1">
      <alignment horizontal="center" vertical="center" wrapText="1"/>
    </xf>
    <xf numFmtId="0" fontId="39" fillId="4" borderId="3" xfId="0" applyFont="1" applyFill="1" applyBorder="1" applyAlignment="1">
      <alignment horizontal="center" wrapText="1"/>
    </xf>
    <xf numFmtId="0" fontId="39" fillId="4" borderId="3" xfId="0" applyFont="1" applyFill="1" applyBorder="1" applyAlignment="1">
      <alignment horizontal="center"/>
    </xf>
    <xf numFmtId="0" fontId="1" fillId="6" borderId="13" xfId="27" applyNumberFormat="1"/>
    <xf numFmtId="177" fontId="2" fillId="5" borderId="13" xfId="11" applyNumberFormat="1"/>
    <xf numFmtId="177" fontId="1" fillId="6" borderId="13" xfId="12" applyNumberFormat="1"/>
    <xf numFmtId="0" fontId="0" fillId="19" borderId="0" xfId="0" applyFill="1" applyAlignment="1">
      <alignment horizontal="center" wrapText="1"/>
    </xf>
    <xf numFmtId="178" fontId="2" fillId="5" borderId="13" xfId="11" applyNumberFormat="1"/>
    <xf numFmtId="177" fontId="1" fillId="8" borderId="13" xfId="14" applyNumberFormat="1" applyProtection="1">
      <protection locked="0"/>
    </xf>
    <xf numFmtId="178" fontId="1" fillId="0" borderId="13" xfId="23" applyNumberFormat="1"/>
    <xf numFmtId="10" fontId="1" fillId="6" borderId="3" xfId="9" applyNumberFormat="1" applyFill="1" applyBorder="1" applyProtection="1"/>
    <xf numFmtId="0" fontId="42" fillId="0" borderId="0" xfId="0" applyFont="1" applyProtection="1">
      <protection hidden="1"/>
    </xf>
    <xf numFmtId="0" fontId="26" fillId="0" borderId="0" xfId="0" applyFont="1" applyProtection="1">
      <protection hidden="1"/>
    </xf>
    <xf numFmtId="10" fontId="26" fillId="0" borderId="0" xfId="9" applyNumberFormat="1" applyFont="1" applyFill="1" applyBorder="1" applyProtection="1">
      <protection hidden="1"/>
    </xf>
    <xf numFmtId="0" fontId="0" fillId="0" borderId="0" xfId="0" applyProtection="1">
      <protection hidden="1"/>
    </xf>
    <xf numFmtId="0" fontId="6" fillId="0" borderId="0" xfId="3" applyNumberFormat="1" applyFill="1" applyAlignment="1">
      <alignment horizontal="center" vertical="center"/>
    </xf>
    <xf numFmtId="164" fontId="0" fillId="9" borderId="0" xfId="14" applyFont="1" applyFill="1" applyBorder="1" applyAlignment="1">
      <alignment vertical="center"/>
    </xf>
    <xf numFmtId="164" fontId="26" fillId="20" borderId="0" xfId="13" applyFont="1" applyFill="1" applyBorder="1" applyAlignment="1">
      <alignment vertical="center" wrapText="1"/>
    </xf>
    <xf numFmtId="164" fontId="0" fillId="13" borderId="0" xfId="13" applyFont="1" applyFill="1" applyBorder="1" applyAlignment="1">
      <alignment vertical="center" wrapText="1"/>
    </xf>
    <xf numFmtId="164" fontId="26" fillId="21" borderId="0" xfId="13" applyFont="1" applyFill="1" applyBorder="1" applyAlignment="1">
      <alignment vertical="center" wrapText="1"/>
    </xf>
    <xf numFmtId="164" fontId="0" fillId="0" borderId="0" xfId="13" applyFont="1" applyFill="1" applyBorder="1" applyAlignment="1">
      <alignment vertical="center" wrapText="1"/>
    </xf>
    <xf numFmtId="0" fontId="43" fillId="0" borderId="0" xfId="0" applyFont="1"/>
    <xf numFmtId="0" fontId="44" fillId="0" borderId="0" xfId="0" applyFont="1"/>
    <xf numFmtId="0" fontId="18" fillId="0" borderId="3" xfId="0" applyFont="1" applyBorder="1" applyAlignment="1">
      <alignment vertical="center"/>
    </xf>
    <xf numFmtId="0" fontId="18" fillId="0" borderId="3" xfId="0" applyFont="1" applyBorder="1" applyAlignment="1">
      <alignment horizontal="center" vertical="center"/>
    </xf>
    <xf numFmtId="0" fontId="41" fillId="0" borderId="3" xfId="0" applyFont="1" applyBorder="1" applyAlignment="1">
      <alignment vertical="center"/>
    </xf>
    <xf numFmtId="0" fontId="41" fillId="0" borderId="3" xfId="0" applyFont="1" applyBorder="1" applyAlignment="1">
      <alignment horizontal="center" vertical="center"/>
    </xf>
    <xf numFmtId="178" fontId="1" fillId="8" borderId="13" xfId="14" applyNumberFormat="1" applyProtection="1">
      <protection locked="0"/>
    </xf>
    <xf numFmtId="166" fontId="45" fillId="4" borderId="0" xfId="5" applyNumberFormat="1" applyFont="1" applyFill="1" applyAlignment="1" applyProtection="1">
      <alignment horizontal="center"/>
    </xf>
    <xf numFmtId="164" fontId="4" fillId="2" borderId="0" xfId="2" applyAlignment="1">
      <alignment horizontal="right" wrapText="1"/>
    </xf>
    <xf numFmtId="164" fontId="4" fillId="2" borderId="0" xfId="2" applyAlignment="1">
      <alignment wrapText="1"/>
    </xf>
    <xf numFmtId="15" fontId="4" fillId="2" borderId="0" xfId="2" applyNumberFormat="1"/>
    <xf numFmtId="179" fontId="1" fillId="8" borderId="13" xfId="14" applyNumberFormat="1" applyProtection="1">
      <protection locked="0"/>
    </xf>
    <xf numFmtId="171" fontId="1" fillId="6" borderId="13" xfId="18"/>
    <xf numFmtId="171" fontId="1" fillId="6" borderId="13" xfId="18" quotePrefix="1"/>
    <xf numFmtId="164" fontId="1" fillId="6" borderId="13" xfId="12" quotePrefix="1"/>
    <xf numFmtId="10" fontId="1" fillId="6" borderId="13" xfId="19" quotePrefix="1"/>
    <xf numFmtId="174" fontId="9" fillId="0" borderId="0" xfId="5" applyNumberFormat="1" applyAlignment="1">
      <alignment horizontal="center" vertical="center"/>
    </xf>
    <xf numFmtId="0" fontId="2" fillId="0" borderId="0" xfId="0" applyFont="1" applyAlignment="1">
      <alignment horizontal="center"/>
    </xf>
    <xf numFmtId="0" fontId="2" fillId="5" borderId="13" xfId="29" applyNumberFormat="1" applyAlignment="1">
      <alignment wrapText="1"/>
    </xf>
    <xf numFmtId="172" fontId="1" fillId="6" borderId="13" xfId="20" applyNumberFormat="1" applyFill="1" applyAlignment="1" applyProtection="1">
      <alignment horizontal="right"/>
    </xf>
    <xf numFmtId="0" fontId="40" fillId="4" borderId="5" xfId="0" applyFont="1" applyFill="1" applyBorder="1" applyAlignment="1">
      <alignment horizontal="left" wrapText="1"/>
    </xf>
    <xf numFmtId="49" fontId="1" fillId="8" borderId="3" xfId="14" applyNumberFormat="1" applyBorder="1" applyProtection="1">
      <protection locked="0"/>
    </xf>
    <xf numFmtId="0" fontId="40" fillId="0" borderId="0" xfId="0" applyFont="1" applyAlignment="1">
      <alignment horizontal="left"/>
    </xf>
    <xf numFmtId="0" fontId="14" fillId="0" borderId="0" xfId="0" applyFont="1" applyAlignment="1">
      <alignment horizontal="left"/>
    </xf>
    <xf numFmtId="177" fontId="1" fillId="8" borderId="3" xfId="14" applyNumberFormat="1" applyBorder="1" applyProtection="1">
      <protection locked="0"/>
    </xf>
    <xf numFmtId="0" fontId="0" fillId="0" borderId="6" xfId="0" applyBorder="1"/>
    <xf numFmtId="0" fontId="0" fillId="0" borderId="4" xfId="0" applyBorder="1"/>
    <xf numFmtId="177" fontId="1" fillId="6" borderId="3" xfId="12" applyNumberFormat="1" applyBorder="1"/>
    <xf numFmtId="49" fontId="40" fillId="0" borderId="0" xfId="0" applyNumberFormat="1" applyFont="1" applyAlignment="1">
      <alignment horizontal="left"/>
    </xf>
    <xf numFmtId="49" fontId="14" fillId="0" borderId="0" xfId="0" applyNumberFormat="1" applyFont="1" applyAlignment="1">
      <alignment horizontal="left"/>
    </xf>
    <xf numFmtId="49" fontId="39" fillId="4" borderId="5" xfId="0" applyNumberFormat="1" applyFont="1" applyFill="1" applyBorder="1" applyAlignment="1">
      <alignment horizontal="center"/>
    </xf>
    <xf numFmtId="177" fontId="1" fillId="6" borderId="13" xfId="12" applyNumberFormat="1" applyAlignment="1">
      <alignment horizontal="right" indent="1"/>
    </xf>
    <xf numFmtId="49" fontId="40" fillId="4" borderId="0" xfId="0" applyNumberFormat="1" applyFont="1" applyFill="1" applyAlignment="1">
      <alignment horizontal="left"/>
    </xf>
    <xf numFmtId="177" fontId="1" fillId="0" borderId="0" xfId="12" applyNumberFormat="1" applyFill="1" applyBorder="1"/>
    <xf numFmtId="176" fontId="1" fillId="6" borderId="3" xfId="9" applyNumberFormat="1" applyFill="1" applyBorder="1" applyProtection="1"/>
    <xf numFmtId="49" fontId="39" fillId="4" borderId="0" xfId="0" applyNumberFormat="1" applyFont="1" applyFill="1" applyAlignment="1">
      <alignment horizontal="left"/>
    </xf>
    <xf numFmtId="176" fontId="1" fillId="0" borderId="0" xfId="9" applyNumberFormat="1" applyFill="1" applyBorder="1" applyProtection="1"/>
    <xf numFmtId="0" fontId="1" fillId="0" borderId="0" xfId="9" applyNumberFormat="1" applyFill="1" applyBorder="1" applyAlignment="1" applyProtection="1">
      <alignment horizontal="right"/>
    </xf>
    <xf numFmtId="0" fontId="40" fillId="4" borderId="0" xfId="0" applyFont="1" applyFill="1" applyAlignment="1">
      <alignment horizontal="left" wrapText="1"/>
    </xf>
    <xf numFmtId="180" fontId="1" fillId="8" borderId="3" xfId="8" applyNumberFormat="1" applyFill="1" applyBorder="1" applyAlignment="1" applyProtection="1">
      <alignment horizontal="right"/>
      <protection locked="0"/>
    </xf>
    <xf numFmtId="0" fontId="39" fillId="4" borderId="6" xfId="0" applyFont="1" applyFill="1" applyBorder="1" applyAlignment="1">
      <alignment horizontal="left"/>
    </xf>
    <xf numFmtId="0" fontId="2" fillId="0" borderId="4" xfId="0" applyFont="1" applyBorder="1"/>
    <xf numFmtId="0" fontId="39" fillId="4" borderId="0" xfId="0" applyFont="1" applyFill="1" applyAlignment="1">
      <alignment horizontal="left" wrapText="1"/>
    </xf>
    <xf numFmtId="0" fontId="0" fillId="0" borderId="15" xfId="0" applyBorder="1"/>
    <xf numFmtId="0" fontId="48" fillId="4" borderId="0" xfId="0" applyFont="1" applyFill="1" applyAlignment="1">
      <alignment horizontal="left" vertical="top" wrapText="1"/>
    </xf>
    <xf numFmtId="0" fontId="5" fillId="4" borderId="0" xfId="3" applyNumberFormat="1" applyFont="1" applyFill="1">
      <alignment vertical="center"/>
    </xf>
    <xf numFmtId="0" fontId="13" fillId="0" borderId="0" xfId="0" applyFont="1" applyAlignment="1">
      <alignment vertical="top"/>
    </xf>
    <xf numFmtId="0" fontId="48" fillId="4" borderId="3" xfId="0" applyFont="1" applyFill="1" applyBorder="1" applyAlignment="1">
      <alignment wrapText="1"/>
    </xf>
    <xf numFmtId="0" fontId="6" fillId="0" borderId="0" xfId="3" applyNumberFormat="1" applyFill="1">
      <alignment vertical="center"/>
    </xf>
    <xf numFmtId="0" fontId="6" fillId="0" borderId="0" xfId="3" applyNumberFormat="1" applyFill="1" applyAlignment="1">
      <alignment horizontal="left" vertical="center"/>
    </xf>
    <xf numFmtId="0" fontId="5" fillId="0" borderId="0" xfId="3" applyNumberFormat="1" applyFont="1" applyFill="1">
      <alignment vertical="center"/>
    </xf>
    <xf numFmtId="0" fontId="5" fillId="4" borderId="0" xfId="0" applyFont="1" applyFill="1" applyAlignment="1">
      <alignment horizontal="left" wrapText="1"/>
    </xf>
    <xf numFmtId="0" fontId="24" fillId="4" borderId="0" xfId="0" applyFont="1" applyFill="1" applyAlignment="1">
      <alignment horizontal="left"/>
    </xf>
    <xf numFmtId="164" fontId="9" fillId="2" borderId="0" xfId="5" applyNumberFormat="1" applyFill="1" applyProtection="1"/>
    <xf numFmtId="0" fontId="49" fillId="4" borderId="0" xfId="0" applyFont="1" applyFill="1"/>
    <xf numFmtId="181" fontId="1" fillId="6" borderId="3" xfId="9" applyNumberFormat="1" applyFont="1" applyFill="1" applyBorder="1" applyProtection="1"/>
    <xf numFmtId="176" fontId="1" fillId="6" borderId="3" xfId="9" applyNumberFormat="1" applyFont="1" applyFill="1" applyBorder="1" applyProtection="1"/>
    <xf numFmtId="1" fontId="1" fillId="6" borderId="3" xfId="9" applyNumberFormat="1" applyFont="1" applyFill="1" applyBorder="1" applyProtection="1"/>
    <xf numFmtId="1" fontId="1" fillId="0" borderId="0" xfId="9" applyNumberFormat="1" applyFont="1" applyFill="1" applyBorder="1" applyProtection="1"/>
    <xf numFmtId="176" fontId="1" fillId="0" borderId="0" xfId="9" applyNumberFormat="1" applyFont="1" applyFill="1" applyBorder="1" applyProtection="1"/>
    <xf numFmtId="180" fontId="1" fillId="6" borderId="3" xfId="8" applyNumberFormat="1" applyFont="1" applyFill="1" applyBorder="1" applyProtection="1"/>
    <xf numFmtId="177" fontId="1" fillId="5" borderId="13" xfId="14" applyNumberFormat="1" applyFill="1" applyProtection="1"/>
    <xf numFmtId="182" fontId="0" fillId="0" borderId="0" xfId="0" applyNumberFormat="1"/>
    <xf numFmtId="166" fontId="9" fillId="9" borderId="0" xfId="5" applyNumberFormat="1" applyFill="1" applyAlignment="1" applyProtection="1">
      <alignment horizontal="center"/>
    </xf>
    <xf numFmtId="0" fontId="46" fillId="0" borderId="0" xfId="0" applyFont="1" applyAlignment="1">
      <alignment horizontal="left" vertical="top" wrapText="1"/>
    </xf>
    <xf numFmtId="164" fontId="0" fillId="8" borderId="13" xfId="14" applyFont="1" applyAlignment="1">
      <alignment vertical="center"/>
    </xf>
    <xf numFmtId="164" fontId="0" fillId="7" borderId="13" xfId="13" applyFont="1" applyAlignment="1">
      <alignment vertical="center"/>
    </xf>
    <xf numFmtId="164" fontId="0" fillId="6" borderId="13" xfId="12" applyFont="1" applyAlignment="1">
      <alignment vertical="center"/>
    </xf>
    <xf numFmtId="164" fontId="2" fillId="5" borderId="13" xfId="11" applyAlignment="1">
      <alignment vertical="center"/>
    </xf>
    <xf numFmtId="173" fontId="0" fillId="0" borderId="13" xfId="23" applyFont="1" applyAlignment="1">
      <alignment vertical="center"/>
    </xf>
    <xf numFmtId="170" fontId="16" fillId="4" borderId="0" xfId="0" quotePrefix="1" applyNumberFormat="1" applyFont="1" applyFill="1" applyAlignment="1">
      <alignment horizontal="left"/>
    </xf>
    <xf numFmtId="0" fontId="6" fillId="3" borderId="8" xfId="3" applyNumberFormat="1" applyBorder="1">
      <alignment vertical="center"/>
    </xf>
    <xf numFmtId="0" fontId="6" fillId="3" borderId="8" xfId="3" applyNumberFormat="1" applyBorder="1" applyAlignment="1">
      <alignment horizontal="left" vertical="center"/>
    </xf>
    <xf numFmtId="0" fontId="41" fillId="3" borderId="8" xfId="3" applyNumberFormat="1" applyFont="1" applyBorder="1">
      <alignment vertical="center"/>
    </xf>
    <xf numFmtId="6" fontId="39" fillId="4" borderId="10" xfId="0" quotePrefix="1" applyNumberFormat="1" applyFont="1" applyFill="1" applyBorder="1" applyAlignment="1">
      <alignment horizontal="center" wrapText="1"/>
    </xf>
    <xf numFmtId="0" fontId="39" fillId="4" borderId="10" xfId="0" applyFont="1" applyFill="1" applyBorder="1" applyAlignment="1">
      <alignment horizontal="center" wrapText="1"/>
    </xf>
    <xf numFmtId="6" fontId="16" fillId="4" borderId="10" xfId="0" quotePrefix="1" applyNumberFormat="1" applyFont="1" applyFill="1" applyBorder="1" applyAlignment="1">
      <alignment horizontal="center"/>
    </xf>
    <xf numFmtId="49" fontId="1" fillId="8" borderId="3" xfId="25" applyBorder="1" applyProtection="1">
      <protection locked="0"/>
    </xf>
    <xf numFmtId="49" fontId="14" fillId="4" borderId="4" xfId="0" applyNumberFormat="1" applyFont="1" applyFill="1" applyBorder="1" applyAlignment="1">
      <alignment horizontal="left"/>
    </xf>
    <xf numFmtId="0" fontId="0" fillId="0" borderId="0" xfId="0" applyAlignment="1">
      <alignment horizontal="justify" vertical="top" wrapText="1"/>
    </xf>
    <xf numFmtId="0" fontId="0" fillId="0" borderId="0" xfId="0" applyAlignment="1">
      <alignment horizontal="justify" wrapText="1"/>
    </xf>
    <xf numFmtId="0" fontId="2" fillId="0" borderId="0" xfId="0" applyFont="1" applyAlignment="1">
      <alignment vertical="top" wrapText="1"/>
    </xf>
    <xf numFmtId="0" fontId="0" fillId="0" borderId="0" xfId="0" applyAlignment="1">
      <alignment vertical="top"/>
    </xf>
    <xf numFmtId="0" fontId="2" fillId="0" borderId="0" xfId="0" applyFont="1" applyAlignment="1">
      <alignment vertical="top"/>
    </xf>
    <xf numFmtId="164" fontId="0" fillId="6" borderId="0" xfId="12" applyFont="1" applyBorder="1"/>
    <xf numFmtId="0" fontId="2" fillId="0" borderId="0" xfId="0" applyFont="1" applyAlignment="1">
      <alignment horizontal="left" vertical="top" wrapText="1"/>
    </xf>
    <xf numFmtId="0" fontId="1" fillId="8" borderId="3" xfId="9" applyNumberFormat="1" applyFill="1" applyBorder="1" applyAlignment="1" applyProtection="1">
      <alignment horizontal="right"/>
      <protection locked="0"/>
    </xf>
    <xf numFmtId="49" fontId="1" fillId="0" borderId="0" xfId="25" applyFill="1" applyBorder="1" applyProtection="1"/>
    <xf numFmtId="180" fontId="1" fillId="0" borderId="0" xfId="8" applyNumberFormat="1" applyFill="1" applyBorder="1" applyAlignment="1" applyProtection="1">
      <alignment horizontal="right"/>
    </xf>
    <xf numFmtId="1" fontId="1" fillId="8" borderId="13" xfId="25" applyNumberFormat="1" applyProtection="1">
      <protection locked="0"/>
    </xf>
    <xf numFmtId="183" fontId="4" fillId="2" borderId="0" xfId="2" applyNumberFormat="1"/>
    <xf numFmtId="184" fontId="4" fillId="2" borderId="0" xfId="2" applyNumberFormat="1"/>
    <xf numFmtId="0" fontId="39" fillId="4" borderId="3" xfId="0" applyFont="1" applyFill="1" applyBorder="1" applyAlignment="1">
      <alignment horizontal="center" vertical="center"/>
    </xf>
    <xf numFmtId="0" fontId="0" fillId="0" borderId="3" xfId="0" applyBorder="1" applyAlignment="1">
      <alignment wrapText="1"/>
    </xf>
    <xf numFmtId="37" fontId="0" fillId="0" borderId="0" xfId="0" applyNumberFormat="1"/>
    <xf numFmtId="37" fontId="0" fillId="0" borderId="0" xfId="0" applyNumberFormat="1" applyAlignment="1">
      <alignment wrapText="1"/>
    </xf>
    <xf numFmtId="37" fontId="2" fillId="0" borderId="0" xfId="0" applyNumberFormat="1" applyFont="1"/>
    <xf numFmtId="37" fontId="0" fillId="6" borderId="13" xfId="19" applyNumberFormat="1" applyFont="1"/>
    <xf numFmtId="37" fontId="0" fillId="6" borderId="13" xfId="12" applyNumberFormat="1" applyFont="1"/>
    <xf numFmtId="37" fontId="0" fillId="6" borderId="13" xfId="18" applyNumberFormat="1" applyFont="1"/>
    <xf numFmtId="37" fontId="0" fillId="6" borderId="13" xfId="12" applyNumberFormat="1" applyFont="1" applyAlignment="1">
      <alignment wrapText="1"/>
    </xf>
    <xf numFmtId="37" fontId="0" fillId="0" borderId="3" xfId="0" applyNumberFormat="1" applyBorder="1" applyAlignment="1">
      <alignment wrapText="1"/>
    </xf>
    <xf numFmtId="37" fontId="0" fillId="0" borderId="3" xfId="0" applyNumberFormat="1" applyBorder="1"/>
    <xf numFmtId="9" fontId="0" fillId="0" borderId="3" xfId="9" applyFont="1" applyBorder="1"/>
    <xf numFmtId="0" fontId="53" fillId="4" borderId="0" xfId="0" applyFont="1" applyFill="1"/>
    <xf numFmtId="185" fontId="1" fillId="8" borderId="3" xfId="8" applyNumberFormat="1" applyFill="1" applyBorder="1" applyAlignment="1" applyProtection="1">
      <alignment horizontal="right"/>
      <protection locked="0"/>
    </xf>
    <xf numFmtId="37" fontId="4" fillId="2" borderId="0" xfId="2" applyNumberFormat="1"/>
    <xf numFmtId="37" fontId="4" fillId="2" borderId="0" xfId="2" applyNumberFormat="1" applyAlignment="1">
      <alignment horizontal="left"/>
    </xf>
    <xf numFmtId="37" fontId="6" fillId="3" borderId="0" xfId="3" applyNumberFormat="1">
      <alignment vertical="center"/>
    </xf>
    <xf numFmtId="177" fontId="1" fillId="8" borderId="23" xfId="14" applyNumberFormat="1" applyBorder="1" applyProtection="1">
      <protection locked="0"/>
    </xf>
    <xf numFmtId="0" fontId="0" fillId="0" borderId="2" xfId="0" applyBorder="1"/>
    <xf numFmtId="0" fontId="21" fillId="0" borderId="0" xfId="0" applyFont="1" applyAlignment="1">
      <alignment wrapText="1"/>
    </xf>
    <xf numFmtId="0" fontId="5" fillId="0" borderId="0" xfId="0" applyFont="1" applyAlignment="1">
      <alignment wrapText="1"/>
    </xf>
    <xf numFmtId="0" fontId="21" fillId="4" borderId="0" xfId="10" applyFont="1" applyFill="1"/>
    <xf numFmtId="0" fontId="21" fillId="0" borderId="0" xfId="0" applyFont="1" applyAlignment="1">
      <alignment horizontal="left" wrapText="1"/>
    </xf>
    <xf numFmtId="0" fontId="0" fillId="0" borderId="0" xfId="0" applyAlignment="1">
      <alignment horizontal="left" wrapText="1"/>
    </xf>
    <xf numFmtId="0" fontId="0" fillId="0" borderId="21" xfId="0" applyBorder="1" applyAlignment="1">
      <alignment wrapText="1"/>
    </xf>
    <xf numFmtId="0" fontId="21" fillId="0" borderId="0" xfId="10" applyFont="1"/>
    <xf numFmtId="0" fontId="55" fillId="0" borderId="0" xfId="0" applyFont="1" applyAlignment="1">
      <alignment horizontal="center"/>
    </xf>
    <xf numFmtId="0" fontId="30" fillId="0" borderId="0" xfId="0" applyFont="1" applyAlignment="1">
      <alignment vertical="top"/>
    </xf>
    <xf numFmtId="49" fontId="1" fillId="8" borderId="13" xfId="25" applyAlignment="1" applyProtection="1">
      <alignment wrapText="1"/>
      <protection locked="0"/>
    </xf>
    <xf numFmtId="49" fontId="1" fillId="0" borderId="0" xfId="14" applyNumberFormat="1" applyFill="1" applyBorder="1" applyProtection="1"/>
    <xf numFmtId="0" fontId="10" fillId="4" borderId="0" xfId="0" applyFont="1" applyFill="1"/>
    <xf numFmtId="0" fontId="6" fillId="3" borderId="45" xfId="3" applyNumberFormat="1" applyBorder="1">
      <alignment vertical="center"/>
    </xf>
    <xf numFmtId="164" fontId="4" fillId="2" borderId="45" xfId="2" applyBorder="1"/>
    <xf numFmtId="164" fontId="4" fillId="2" borderId="45" xfId="2" applyBorder="1" applyAlignment="1">
      <alignment horizontal="center"/>
    </xf>
    <xf numFmtId="164" fontId="4" fillId="2" borderId="45" xfId="2" applyBorder="1" applyAlignment="1">
      <alignment vertical="center"/>
    </xf>
    <xf numFmtId="176" fontId="1" fillId="8" borderId="13" xfId="14" applyNumberFormat="1" applyProtection="1">
      <protection locked="0"/>
    </xf>
    <xf numFmtId="14" fontId="1" fillId="8" borderId="13" xfId="14" applyNumberFormat="1" applyProtection="1">
      <protection locked="0"/>
    </xf>
    <xf numFmtId="49" fontId="18" fillId="4" borderId="6" xfId="0" applyNumberFormat="1" applyFont="1" applyFill="1" applyBorder="1" applyAlignment="1">
      <alignment horizontal="left" vertical="center"/>
    </xf>
    <xf numFmtId="178" fontId="1" fillId="6" borderId="3" xfId="12" applyNumberFormat="1" applyBorder="1"/>
    <xf numFmtId="166" fontId="31" fillId="0" borderId="0" xfId="0" applyNumberFormat="1" applyFont="1" applyAlignment="1">
      <alignment horizontal="center" vertical="center"/>
    </xf>
    <xf numFmtId="172" fontId="1" fillId="8" borderId="13" xfId="20" applyNumberFormat="1" applyFill="1" applyAlignment="1" applyProtection="1">
      <alignment horizontal="right"/>
      <protection locked="0"/>
    </xf>
    <xf numFmtId="0" fontId="0" fillId="0" borderId="5" xfId="0" applyBorder="1" applyAlignment="1">
      <alignment horizontal="left" vertical="center" wrapText="1"/>
    </xf>
    <xf numFmtId="184" fontId="1" fillId="6" borderId="13" xfId="12" applyNumberFormat="1" applyAlignment="1">
      <alignment horizontal="left"/>
    </xf>
    <xf numFmtId="0" fontId="58" fillId="0" borderId="0" xfId="0" applyFont="1"/>
    <xf numFmtId="164" fontId="59" fillId="15" borderId="13" xfId="5" applyNumberFormat="1" applyFont="1" applyFill="1" applyBorder="1" applyAlignment="1" applyProtection="1">
      <alignment horizontal="center"/>
    </xf>
    <xf numFmtId="164" fontId="59" fillId="15" borderId="0" xfId="5" applyNumberFormat="1" applyFont="1" applyFill="1" applyAlignment="1" applyProtection="1">
      <alignment horizontal="center" vertical="center"/>
    </xf>
    <xf numFmtId="164" fontId="59" fillId="15" borderId="0" xfId="5" applyNumberFormat="1" applyFont="1" applyFill="1" applyAlignment="1" applyProtection="1">
      <alignment horizontal="center"/>
    </xf>
    <xf numFmtId="164" fontId="59" fillId="15" borderId="13" xfId="24" applyFont="1">
      <alignment horizontal="center"/>
    </xf>
    <xf numFmtId="176" fontId="1" fillId="8" borderId="16" xfId="14" applyNumberFormat="1" applyBorder="1" applyProtection="1">
      <protection locked="0"/>
    </xf>
    <xf numFmtId="49" fontId="1" fillId="8" borderId="46" xfId="25" applyBorder="1" applyAlignment="1" applyProtection="1">
      <alignment wrapText="1"/>
      <protection locked="0"/>
    </xf>
    <xf numFmtId="0" fontId="2" fillId="4" borderId="47" xfId="0" applyFont="1" applyFill="1" applyBorder="1" applyAlignment="1">
      <alignment horizontal="center"/>
    </xf>
    <xf numFmtId="0" fontId="2" fillId="4" borderId="47" xfId="0" applyFont="1" applyFill="1" applyBorder="1" applyAlignment="1">
      <alignment horizontal="center" wrapText="1"/>
    </xf>
    <xf numFmtId="1" fontId="1" fillId="8" borderId="13" xfId="14" applyNumberFormat="1" applyProtection="1">
      <protection locked="0"/>
    </xf>
    <xf numFmtId="0" fontId="9" fillId="0" borderId="0" xfId="5"/>
    <xf numFmtId="37" fontId="2" fillId="0" borderId="3" xfId="0" applyNumberFormat="1" applyFont="1" applyBorder="1" applyAlignment="1">
      <alignment wrapText="1"/>
    </xf>
    <xf numFmtId="37" fontId="2" fillId="0" borderId="3" xfId="0" applyNumberFormat="1" applyFont="1" applyBorder="1"/>
    <xf numFmtId="10" fontId="0" fillId="0" borderId="3" xfId="9" applyNumberFormat="1" applyFont="1" applyBorder="1"/>
    <xf numFmtId="10" fontId="1" fillId="8" borderId="13" xfId="14" applyNumberFormat="1" applyProtection="1">
      <protection locked="0"/>
    </xf>
    <xf numFmtId="0" fontId="2" fillId="0" borderId="0" xfId="0" applyFont="1" applyAlignment="1">
      <alignment horizontal="right" wrapText="1"/>
    </xf>
    <xf numFmtId="0" fontId="1" fillId="8" borderId="13" xfId="14" applyNumberFormat="1" applyProtection="1">
      <protection locked="0"/>
    </xf>
    <xf numFmtId="0" fontId="5" fillId="4" borderId="0" xfId="10" applyFont="1" applyFill="1" applyAlignment="1">
      <alignment wrapText="1"/>
    </xf>
    <xf numFmtId="0" fontId="0" fillId="0" borderId="0" xfId="0" quotePrefix="1" applyAlignment="1">
      <alignment wrapText="1"/>
    </xf>
    <xf numFmtId="164" fontId="9" fillId="15" borderId="0" xfId="5" applyNumberFormat="1" applyFill="1" applyAlignment="1" applyProtection="1">
      <alignment horizontal="center"/>
    </xf>
    <xf numFmtId="0" fontId="0" fillId="0" borderId="0" xfId="0" applyAlignment="1">
      <alignment vertical="top" wrapText="1"/>
    </xf>
    <xf numFmtId="0" fontId="17" fillId="0" borderId="3" xfId="0" applyFont="1" applyBorder="1"/>
    <xf numFmtId="0" fontId="17" fillId="0" borderId="3" xfId="0" applyFont="1" applyBorder="1" applyAlignment="1">
      <alignment horizontal="center"/>
    </xf>
    <xf numFmtId="0" fontId="18" fillId="0" borderId="3" xfId="0" applyFont="1" applyBorder="1" applyAlignment="1">
      <alignment vertical="top"/>
    </xf>
    <xf numFmtId="0" fontId="13" fillId="0" borderId="0" xfId="0" applyFont="1" applyAlignment="1">
      <alignment horizontal="left"/>
    </xf>
    <xf numFmtId="0" fontId="9" fillId="0" borderId="0" xfId="5" applyAlignment="1">
      <alignment horizontal="center" wrapText="1"/>
    </xf>
    <xf numFmtId="0" fontId="9" fillId="0" borderId="0" xfId="5" applyAlignment="1">
      <alignment horizontal="center"/>
    </xf>
    <xf numFmtId="49" fontId="1" fillId="8" borderId="13" xfId="25" applyProtection="1">
      <protection locked="0"/>
    </xf>
    <xf numFmtId="0" fontId="0" fillId="4" borderId="0" xfId="0" applyFill="1" applyAlignment="1">
      <alignment horizontal="left" vertical="center" wrapText="1"/>
    </xf>
    <xf numFmtId="0" fontId="0" fillId="4" borderId="0" xfId="0" applyFill="1" applyAlignment="1">
      <alignment horizontal="left" vertical="top" wrapText="1"/>
    </xf>
    <xf numFmtId="49" fontId="1" fillId="8" borderId="13" xfId="25" applyAlignment="1" applyProtection="1">
      <alignment vertical="top" wrapText="1"/>
      <protection locked="0"/>
    </xf>
    <xf numFmtId="14" fontId="21" fillId="8" borderId="13" xfId="21" applyNumberFormat="1" applyProtection="1">
      <protection locked="0"/>
    </xf>
    <xf numFmtId="49" fontId="9" fillId="8" borderId="13" xfId="5" applyNumberFormat="1" applyFill="1" applyBorder="1" applyAlignment="1" applyProtection="1">
      <protection locked="0"/>
    </xf>
    <xf numFmtId="0" fontId="2" fillId="0" borderId="24" xfId="0" applyFont="1" applyBorder="1" applyAlignment="1">
      <alignment horizontal="center"/>
    </xf>
    <xf numFmtId="0" fontId="0" fillId="0" borderId="0" xfId="0" applyAlignment="1">
      <alignment horizontal="justify" vertical="top" wrapText="1"/>
    </xf>
    <xf numFmtId="0" fontId="0" fillId="0" borderId="0" xfId="0" applyAlignment="1">
      <alignment horizontal="justify" wrapText="1"/>
    </xf>
    <xf numFmtId="0" fontId="0" fillId="0" borderId="0" xfId="0" applyAlignment="1">
      <alignment wrapText="1"/>
    </xf>
    <xf numFmtId="0" fontId="0" fillId="0" borderId="0" xfId="0" applyAlignment="1">
      <alignment vertical="top" wrapText="1"/>
    </xf>
    <xf numFmtId="0" fontId="6" fillId="3" borderId="0" xfId="3" applyNumberFormat="1" applyAlignment="1">
      <alignment horizontal="center" vertical="center"/>
    </xf>
    <xf numFmtId="0" fontId="0" fillId="0" borderId="0" xfId="0" applyAlignment="1">
      <alignment horizontal="left" vertical="top" wrapText="1"/>
    </xf>
    <xf numFmtId="0" fontId="56" fillId="3" borderId="0" xfId="3" applyNumberFormat="1" applyFont="1" applyAlignment="1">
      <alignment horizontal="center" vertical="center"/>
    </xf>
    <xf numFmtId="0" fontId="2" fillId="0" borderId="0" xfId="0" applyFont="1" applyAlignment="1">
      <alignment vertical="top" wrapText="1"/>
    </xf>
    <xf numFmtId="0" fontId="0" fillId="0" borderId="0" xfId="0"/>
    <xf numFmtId="0" fontId="0" fillId="0" borderId="0" xfId="0" applyAlignment="1">
      <alignment horizontal="left" vertical="center" wrapText="1"/>
    </xf>
    <xf numFmtId="0" fontId="46" fillId="0" borderId="0" xfId="0" applyFont="1" applyAlignment="1">
      <alignment horizontal="left" vertical="top" wrapText="1"/>
    </xf>
    <xf numFmtId="0" fontId="60" fillId="0" borderId="0" xfId="0" applyFont="1" applyAlignment="1">
      <alignment horizontal="left" vertical="top" wrapText="1"/>
    </xf>
    <xf numFmtId="0" fontId="40" fillId="4" borderId="6" xfId="0" applyFont="1" applyFill="1" applyBorder="1" applyAlignment="1">
      <alignment horizontal="left" wrapText="1"/>
    </xf>
    <xf numFmtId="0" fontId="40" fillId="4" borderId="4" xfId="0" applyFont="1" applyFill="1" applyBorder="1" applyAlignment="1">
      <alignment horizontal="left"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5" xfId="0" applyBorder="1" applyAlignment="1">
      <alignment horizontal="left"/>
    </xf>
    <xf numFmtId="0" fontId="0" fillId="0" borderId="6" xfId="0" applyBorder="1" applyAlignment="1">
      <alignment horizontal="left"/>
    </xf>
    <xf numFmtId="49" fontId="40" fillId="4" borderId="5" xfId="0" applyNumberFormat="1" applyFont="1" applyFill="1" applyBorder="1" applyAlignment="1">
      <alignment horizontal="left"/>
    </xf>
    <xf numFmtId="49" fontId="40" fillId="4" borderId="6" xfId="0" applyNumberFormat="1" applyFont="1" applyFill="1" applyBorder="1" applyAlignment="1">
      <alignment horizontal="left"/>
    </xf>
    <xf numFmtId="49" fontId="40" fillId="4" borderId="4" xfId="0" applyNumberFormat="1" applyFont="1" applyFill="1" applyBorder="1" applyAlignment="1">
      <alignment horizontal="left"/>
    </xf>
    <xf numFmtId="0" fontId="40" fillId="4" borderId="5" xfId="0" applyFont="1" applyFill="1" applyBorder="1" applyAlignment="1">
      <alignment horizontal="left" wrapText="1"/>
    </xf>
    <xf numFmtId="49" fontId="54" fillId="4" borderId="5" xfId="0" applyNumberFormat="1" applyFont="1" applyFill="1" applyBorder="1" applyAlignment="1">
      <alignment horizontal="left"/>
    </xf>
    <xf numFmtId="49" fontId="1" fillId="8" borderId="13" xfId="25" applyAlignment="1" applyProtection="1">
      <alignment wrapText="1"/>
      <protection locked="0"/>
    </xf>
    <xf numFmtId="0" fontId="27" fillId="14" borderId="17" xfId="0" applyFont="1" applyFill="1" applyBorder="1" applyAlignment="1">
      <alignment horizontal="center" vertical="center" wrapText="1" readingOrder="1"/>
    </xf>
    <xf numFmtId="0" fontId="27" fillId="14" borderId="18" xfId="0" applyFont="1" applyFill="1" applyBorder="1" applyAlignment="1">
      <alignment horizontal="center" vertical="center" wrapText="1" readingOrder="1"/>
    </xf>
    <xf numFmtId="0" fontId="0" fillId="0" borderId="7" xfId="0" applyBorder="1" applyAlignment="1">
      <alignment horizontal="center"/>
    </xf>
    <xf numFmtId="0" fontId="0" fillId="0" borderId="8" xfId="0" applyBorder="1" applyAlignment="1">
      <alignment horizontal="center"/>
    </xf>
    <xf numFmtId="164" fontId="4" fillId="2" borderId="0" xfId="2" applyAlignment="1">
      <alignment horizontal="left"/>
    </xf>
    <xf numFmtId="0" fontId="2" fillId="4" borderId="1" xfId="0" applyFont="1" applyFill="1" applyBorder="1" applyAlignment="1">
      <alignment horizontal="left" vertical="center" wrapText="1"/>
    </xf>
    <xf numFmtId="0" fontId="2" fillId="4" borderId="2" xfId="0" applyFont="1" applyFill="1" applyBorder="1" applyAlignment="1">
      <alignment horizontal="left" vertical="center" wrapText="1"/>
    </xf>
    <xf numFmtId="49" fontId="1" fillId="8" borderId="35" xfId="25" applyBorder="1" applyAlignment="1" applyProtection="1">
      <alignment wrapText="1"/>
      <protection locked="0"/>
    </xf>
    <xf numFmtId="49" fontId="1" fillId="8" borderId="36" xfId="25" applyBorder="1" applyAlignment="1" applyProtection="1">
      <alignment wrapText="1"/>
      <protection locked="0"/>
    </xf>
    <xf numFmtId="49" fontId="1" fillId="8" borderId="37" xfId="25" applyBorder="1" applyAlignment="1" applyProtection="1">
      <alignment wrapText="1"/>
      <protection locked="0"/>
    </xf>
    <xf numFmtId="49" fontId="1" fillId="8" borderId="34" xfId="25" applyBorder="1" applyAlignment="1" applyProtection="1">
      <alignment wrapText="1"/>
      <protection locked="0"/>
    </xf>
    <xf numFmtId="49" fontId="1" fillId="8" borderId="38" xfId="25" applyBorder="1" applyAlignment="1" applyProtection="1">
      <alignment wrapText="1"/>
      <protection locked="0"/>
    </xf>
    <xf numFmtId="49" fontId="1" fillId="8" borderId="39" xfId="25" applyBorder="1" applyAlignment="1" applyProtection="1">
      <alignment wrapText="1"/>
      <protection locked="0"/>
    </xf>
    <xf numFmtId="49" fontId="1" fillId="8" borderId="40" xfId="25" applyBorder="1" applyAlignment="1" applyProtection="1">
      <alignment wrapText="1"/>
      <protection locked="0"/>
    </xf>
    <xf numFmtId="49" fontId="1" fillId="8" borderId="41" xfId="25" applyBorder="1" applyAlignment="1" applyProtection="1">
      <alignment wrapText="1"/>
      <protection locked="0"/>
    </xf>
    <xf numFmtId="49" fontId="1" fillId="8" borderId="30" xfId="25" applyBorder="1" applyAlignment="1" applyProtection="1">
      <alignment vertical="top" wrapText="1"/>
      <protection locked="0"/>
    </xf>
    <xf numFmtId="49" fontId="1" fillId="8" borderId="31" xfId="25" applyBorder="1" applyAlignment="1" applyProtection="1">
      <alignment vertical="top" wrapText="1"/>
      <protection locked="0"/>
    </xf>
    <xf numFmtId="49" fontId="1" fillId="8" borderId="32" xfId="25" applyBorder="1" applyAlignment="1" applyProtection="1">
      <alignment vertical="top" wrapText="1"/>
      <protection locked="0"/>
    </xf>
    <xf numFmtId="49" fontId="1" fillId="8" borderId="20" xfId="25" applyBorder="1" applyAlignment="1" applyProtection="1">
      <alignment vertical="top" wrapText="1"/>
      <protection locked="0"/>
    </xf>
    <xf numFmtId="49" fontId="1" fillId="8" borderId="0" xfId="25" applyBorder="1" applyAlignment="1" applyProtection="1">
      <alignment vertical="top" wrapText="1"/>
      <protection locked="0"/>
    </xf>
    <xf numFmtId="49" fontId="1" fillId="8" borderId="21" xfId="25" applyBorder="1" applyAlignment="1" applyProtection="1">
      <alignment vertical="top" wrapText="1"/>
      <protection locked="0"/>
    </xf>
    <xf numFmtId="49" fontId="1" fillId="8" borderId="33" xfId="25" applyBorder="1" applyAlignment="1" applyProtection="1">
      <alignment vertical="top" wrapText="1"/>
      <protection locked="0"/>
    </xf>
    <xf numFmtId="49" fontId="1" fillId="8" borderId="24" xfId="25" applyBorder="1" applyAlignment="1" applyProtection="1">
      <alignment vertical="top" wrapText="1"/>
      <protection locked="0"/>
    </xf>
    <xf numFmtId="49" fontId="1" fillId="8" borderId="25" xfId="25" applyBorder="1" applyAlignment="1" applyProtection="1">
      <alignment vertical="top" wrapText="1"/>
      <protection locked="0"/>
    </xf>
    <xf numFmtId="49" fontId="0" fillId="8" borderId="30" xfId="25" applyFont="1" applyBorder="1" applyAlignment="1" applyProtection="1">
      <alignment horizontal="left" vertical="top" wrapText="1"/>
      <protection locked="0"/>
    </xf>
    <xf numFmtId="49" fontId="0" fillId="8" borderId="31" xfId="25" applyFont="1" applyBorder="1" applyAlignment="1" applyProtection="1">
      <alignment horizontal="left" vertical="top" wrapText="1"/>
      <protection locked="0"/>
    </xf>
    <xf numFmtId="49" fontId="0" fillId="8" borderId="32" xfId="25" applyFont="1" applyBorder="1" applyAlignment="1" applyProtection="1">
      <alignment horizontal="left" vertical="top" wrapText="1"/>
      <protection locked="0"/>
    </xf>
    <xf numFmtId="49" fontId="0" fillId="8" borderId="20" xfId="25" applyFont="1" applyBorder="1" applyAlignment="1" applyProtection="1">
      <alignment horizontal="left" vertical="top" wrapText="1"/>
      <protection locked="0"/>
    </xf>
    <xf numFmtId="49" fontId="0" fillId="8" borderId="0" xfId="25" applyFont="1" applyBorder="1" applyAlignment="1" applyProtection="1">
      <alignment horizontal="left" vertical="top" wrapText="1"/>
      <protection locked="0"/>
    </xf>
    <xf numFmtId="49" fontId="0" fillId="8" borderId="21" xfId="25" applyFont="1" applyBorder="1" applyAlignment="1" applyProtection="1">
      <alignment horizontal="left" vertical="top" wrapText="1"/>
      <protection locked="0"/>
    </xf>
    <xf numFmtId="49" fontId="0" fillId="8" borderId="33" xfId="25" applyFont="1" applyBorder="1" applyAlignment="1" applyProtection="1">
      <alignment horizontal="left" vertical="top" wrapText="1"/>
      <protection locked="0"/>
    </xf>
    <xf numFmtId="49" fontId="0" fillId="8" borderId="24" xfId="25" applyFont="1" applyBorder="1" applyAlignment="1" applyProtection="1">
      <alignment horizontal="left" vertical="top" wrapText="1"/>
      <protection locked="0"/>
    </xf>
    <xf numFmtId="49" fontId="0" fillId="8" borderId="25" xfId="25" applyFont="1" applyBorder="1" applyAlignment="1" applyProtection="1">
      <alignment horizontal="left" vertical="top" wrapText="1"/>
      <protection locked="0"/>
    </xf>
    <xf numFmtId="0" fontId="2" fillId="0" borderId="42" xfId="0" applyFont="1" applyBorder="1" applyAlignment="1">
      <alignment horizontal="center" wrapText="1"/>
    </xf>
    <xf numFmtId="0" fontId="0" fillId="0" borderId="44" xfId="0" applyBorder="1" applyAlignment="1">
      <alignment horizontal="center" wrapText="1"/>
    </xf>
    <xf numFmtId="0" fontId="2" fillId="0" borderId="42" xfId="0" applyFont="1" applyBorder="1" applyAlignment="1">
      <alignment horizontal="center" vertical="center" wrapText="1"/>
    </xf>
    <xf numFmtId="0" fontId="2" fillId="0" borderId="44" xfId="0" applyFont="1" applyBorder="1" applyAlignment="1">
      <alignment horizontal="center" vertical="center" wrapText="1"/>
    </xf>
    <xf numFmtId="0" fontId="0" fillId="4" borderId="0" xfId="0" applyFill="1" applyAlignment="1">
      <alignment wrapText="1"/>
    </xf>
    <xf numFmtId="176" fontId="1" fillId="8" borderId="33" xfId="14" applyNumberFormat="1" applyBorder="1" applyAlignment="1" applyProtection="1">
      <alignment wrapText="1"/>
      <protection locked="0"/>
    </xf>
    <xf numFmtId="176" fontId="1" fillId="8" borderId="24" xfId="14" applyNumberFormat="1" applyBorder="1" applyAlignment="1" applyProtection="1">
      <alignment wrapText="1"/>
      <protection locked="0"/>
    </xf>
    <xf numFmtId="49" fontId="0" fillId="8" borderId="1" xfId="25" applyFont="1" applyBorder="1" applyAlignment="1" applyProtection="1">
      <alignment horizontal="left" vertical="top" wrapText="1"/>
      <protection locked="0"/>
    </xf>
    <xf numFmtId="49" fontId="0" fillId="8" borderId="15" xfId="25" applyFont="1" applyBorder="1" applyAlignment="1" applyProtection="1">
      <alignment horizontal="left" vertical="top" wrapText="1"/>
      <protection locked="0"/>
    </xf>
    <xf numFmtId="49" fontId="0" fillId="8" borderId="2" xfId="25" applyFont="1" applyBorder="1" applyAlignment="1" applyProtection="1">
      <alignment horizontal="left" vertical="top" wrapText="1"/>
      <protection locked="0"/>
    </xf>
    <xf numFmtId="49" fontId="0" fillId="8" borderId="28" xfId="25" applyFont="1" applyBorder="1" applyAlignment="1" applyProtection="1">
      <alignment horizontal="left" vertical="top" wrapText="1"/>
      <protection locked="0"/>
    </xf>
    <xf numFmtId="49" fontId="0" fillId="8" borderId="29" xfId="25" applyFont="1" applyBorder="1" applyAlignment="1" applyProtection="1">
      <alignment horizontal="left" vertical="top" wrapText="1"/>
      <protection locked="0"/>
    </xf>
    <xf numFmtId="49" fontId="0" fillId="8" borderId="7" xfId="25" applyFont="1" applyBorder="1" applyAlignment="1" applyProtection="1">
      <alignment horizontal="left" vertical="top" wrapText="1"/>
      <protection locked="0"/>
    </xf>
    <xf numFmtId="49" fontId="0" fillId="8" borderId="8" xfId="25" applyFont="1" applyBorder="1" applyAlignment="1" applyProtection="1">
      <alignment horizontal="left" vertical="top" wrapText="1"/>
      <protection locked="0"/>
    </xf>
    <xf numFmtId="49" fontId="0" fillId="8" borderId="9" xfId="25" applyFont="1" applyBorder="1" applyAlignment="1" applyProtection="1">
      <alignment horizontal="left" vertical="top" wrapText="1"/>
      <protection locked="0"/>
    </xf>
    <xf numFmtId="0" fontId="21" fillId="0" borderId="0" xfId="0" applyFont="1" applyAlignment="1">
      <alignment wrapText="1"/>
    </xf>
    <xf numFmtId="0" fontId="21" fillId="0" borderId="0" xfId="0" applyFont="1" applyAlignment="1">
      <alignment horizontal="left" wrapText="1"/>
    </xf>
    <xf numFmtId="0" fontId="0" fillId="0" borderId="0" xfId="0" applyAlignment="1">
      <alignment horizontal="left" wrapText="1"/>
    </xf>
    <xf numFmtId="0" fontId="6" fillId="3" borderId="42" xfId="3" applyNumberFormat="1" applyBorder="1" applyAlignment="1">
      <alignment horizontal="center" vertical="center"/>
    </xf>
    <xf numFmtId="0" fontId="6" fillId="3" borderId="43" xfId="3" applyNumberFormat="1" applyBorder="1" applyAlignment="1">
      <alignment horizontal="center" vertical="center"/>
    </xf>
    <xf numFmtId="0" fontId="6" fillId="3" borderId="44" xfId="3" applyNumberFormat="1" applyBorder="1" applyAlignment="1">
      <alignment horizontal="center" vertical="center"/>
    </xf>
    <xf numFmtId="164" fontId="0" fillId="6" borderId="26" xfId="12" applyFont="1" applyBorder="1" applyAlignment="1">
      <alignment horizontal="center"/>
    </xf>
    <xf numFmtId="164" fontId="0" fillId="6" borderId="27" xfId="12" applyFont="1" applyBorder="1" applyAlignment="1">
      <alignment horizontal="center"/>
    </xf>
    <xf numFmtId="164" fontId="0" fillId="6" borderId="23" xfId="12" applyFont="1" applyBorder="1" applyAlignment="1">
      <alignment horizontal="center"/>
    </xf>
    <xf numFmtId="164" fontId="4" fillId="2" borderId="0" xfId="2" applyAlignment="1">
      <alignment horizontal="center" wrapText="1"/>
    </xf>
    <xf numFmtId="164" fontId="4" fillId="2" borderId="24" xfId="2" applyBorder="1" applyAlignment="1">
      <alignment horizontal="center" wrapText="1"/>
    </xf>
    <xf numFmtId="0" fontId="13" fillId="0" borderId="0" xfId="0" applyFont="1" applyAlignment="1">
      <alignment horizontal="left" vertical="center"/>
    </xf>
    <xf numFmtId="0" fontId="30" fillId="0" borderId="0" xfId="0" applyFont="1" applyAlignment="1">
      <alignment horizontal="left" vertical="center"/>
    </xf>
    <xf numFmtId="0" fontId="2" fillId="4" borderId="0" xfId="0" applyFont="1" applyFill="1" applyAlignment="1">
      <alignment horizontal="left" vertical="center"/>
    </xf>
  </cellXfs>
  <cellStyles count="33">
    <cellStyle name="% Input" xfId="26" xr:uid="{015A6AED-E248-4CD2-B455-6F75FA829AC9}"/>
    <cellStyle name="£calculation" xfId="12" xr:uid="{70D40DEA-8A24-433A-A77A-EE34CC5D932C}"/>
    <cellStyle name="£calculation total" xfId="11" xr:uid="{8073CB66-8111-478C-B808-BF79EB124FF8}"/>
    <cellStyle name="Actual_vs_Forecast" xfId="16" xr:uid="{1570ACF7-E296-44FD-80A9-D9B7F131CB24}"/>
    <cellStyle name="Calc_%" xfId="19" xr:uid="{187F7AB5-BB91-464B-B28E-3E6598859B19}"/>
    <cellStyle name="Comma" xfId="8" builtinId="3"/>
    <cellStyle name="Date Input" xfId="21" xr:uid="{E643A5CB-2BAA-4957-8CD6-A15E1DAEE4F0}"/>
    <cellStyle name="date_calc" xfId="22" xr:uid="{470D2ED9-20B0-4C09-A05B-76F44163931F}"/>
    <cellStyle name="Description" xfId="6" xr:uid="{F08608C3-4AD5-4D27-B8F7-625F1B184968}"/>
    <cellStyle name="Dev_Year_Set" xfId="30" xr:uid="{F4BAE7EB-A06F-4A9B-8A19-41E3599F67E6}"/>
    <cellStyle name="Flag" xfId="15" xr:uid="{EE701BBF-3301-4EA8-97C7-A567E329C74C}"/>
    <cellStyle name="Forecast Input" xfId="14" xr:uid="{DF186582-5916-4799-8831-67D4D992CCAA}"/>
    <cellStyle name="General Number Input" xfId="28" xr:uid="{2546A54E-C6A6-40A3-B1B2-7FDA5DB36730}"/>
    <cellStyle name="Hyperlink" xfId="5" builtinId="8"/>
    <cellStyle name="hyperlink_header" xfId="1" xr:uid="{42AC46F5-5AF3-4C21-85C8-A594411880F8}"/>
    <cellStyle name="Hyperlink_shortcut" xfId="24" xr:uid="{C4BCDEB3-27EF-437D-B7D2-66B3364768D1}"/>
    <cellStyle name="Modelheader" xfId="2" xr:uid="{1F0A6831-7132-46E5-A9F3-569493B1E638}"/>
    <cellStyle name="Moderation" xfId="32" xr:uid="{83CD588C-2B4F-466D-86A7-2CD63399D749}"/>
    <cellStyle name="Normal" xfId="0" builtinId="0"/>
    <cellStyle name="Normal 2" xfId="10" xr:uid="{D399DDD9-F8DE-461C-ACDA-8015EF376716}"/>
    <cellStyle name="Normal 3" xfId="7" xr:uid="{2B39C8B3-5C69-4025-82D8-D9A1357F8CD6}"/>
    <cellStyle name="Normal 4 2" xfId="17" xr:uid="{317D1A4E-8E25-42E2-A0CE-D82743A2DD0B}"/>
    <cellStyle name="Optional input" xfId="13" xr:uid="{38DFA953-253E-4330-BB23-D4D3B769E09B}"/>
    <cellStyle name="Per cent" xfId="9" builtinId="5"/>
    <cellStyle name="Ratio_calc" xfId="18" xr:uid="{8907D4E7-9383-404C-AA2D-7AD4E2879551}"/>
    <cellStyle name="Ref" xfId="4" xr:uid="{5596D817-296F-471F-98EB-D9AC3298729F}"/>
    <cellStyle name="Ruleout" xfId="31" xr:uid="{8AD59412-19B9-40C6-9564-5BD0EA09D76C}"/>
    <cellStyle name="Text Input" xfId="25" xr:uid="{CDCB1217-466B-4EDD-B111-E7262E10F752}"/>
    <cellStyle name="Text Output" xfId="27" xr:uid="{72BBA9CD-C85A-45D4-B9B1-C8B48606DFEA}"/>
    <cellStyle name="Text Output 2" xfId="29" xr:uid="{DB566973-CF42-43E0-910C-A1E7CB502FAD}"/>
    <cellStyle name="Text_input" xfId="20" xr:uid="{AEAD1D0C-F0C9-4C31-93FD-AE6952ED15CD}"/>
    <cellStyle name="Title 2" xfId="3" xr:uid="{07E3454A-1432-4163-AA11-9AE0ECE3E8C4}"/>
    <cellStyle name="Unassigned" xfId="23" xr:uid="{65AFAB56-84D6-4643-B27F-7B5C304FB98F}"/>
  </cellStyles>
  <dxfs count="249">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theme="7" tint="0.79998168889431442"/>
      </font>
    </dxf>
    <dxf>
      <font>
        <color theme="0" tint="-0.34998626667073579"/>
      </font>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447675</xdr:colOff>
      <xdr:row>0</xdr:row>
      <xdr:rowOff>28575</xdr:rowOff>
    </xdr:from>
    <xdr:to>
      <xdr:col>7</xdr:col>
      <xdr:colOff>1619250</xdr:colOff>
      <xdr:row>4</xdr:row>
      <xdr:rowOff>171449</xdr:rowOff>
    </xdr:to>
    <xdr:pic>
      <xdr:nvPicPr>
        <xdr:cNvPr id="2" name="Picture 1" descr="Department for Educaction crest">
          <a:extLst>
            <a:ext uri="{FF2B5EF4-FFF2-40B4-BE49-F238E27FC236}">
              <a16:creationId xmlns:a16="http://schemas.microsoft.com/office/drawing/2014/main" id="{24DCCDDA-E2D5-4ED4-9B65-8D482E9B2CC1}"/>
            </a:ext>
          </a:extLst>
        </xdr:cNvPr>
        <xdr:cNvPicPr>
          <a:picLocks noChangeAspect="1" noChangeArrowheads="1"/>
        </xdr:cNvPicPr>
      </xdr:nvPicPr>
      <xdr:blipFill>
        <a:blip xmlns:r="http://schemas.openxmlformats.org/officeDocument/2006/relationships" r:embed="rId1" cstate="print">
          <a:alphaModFix/>
          <a:extLst>
            <a:ext uri="{28A0092B-C50C-407E-A947-70E740481C1C}">
              <a14:useLocalDpi xmlns:a14="http://schemas.microsoft.com/office/drawing/2010/main" val="0"/>
            </a:ext>
          </a:extLst>
        </a:blip>
        <a:srcRect/>
        <a:stretch>
          <a:fillRect/>
        </a:stretch>
      </xdr:blipFill>
      <xdr:spPr bwMode="auto">
        <a:xfrm>
          <a:off x="13401675" y="28575"/>
          <a:ext cx="1171575" cy="914399"/>
        </a:xfrm>
        <a:prstGeom prst="rect">
          <a:avLst/>
        </a:prstGeom>
        <a:solidFill>
          <a:schemeClr val="bg1"/>
        </a:solid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43</xdr:row>
      <xdr:rowOff>0</xdr:rowOff>
    </xdr:from>
    <xdr:to>
      <xdr:col>9</xdr:col>
      <xdr:colOff>247937</xdr:colOff>
      <xdr:row>43</xdr:row>
      <xdr:rowOff>3419475</xdr:rowOff>
    </xdr:to>
    <xdr:pic>
      <xdr:nvPicPr>
        <xdr:cNvPr id="5" name="Picture 4">
          <a:extLst>
            <a:ext uri="{FF2B5EF4-FFF2-40B4-BE49-F238E27FC236}">
              <a16:creationId xmlns:a16="http://schemas.microsoft.com/office/drawing/2014/main" id="{0ADB7866-E2C4-BEC3-A752-494BF537CD3B}"/>
            </a:ext>
          </a:extLst>
        </xdr:cNvPr>
        <xdr:cNvPicPr>
          <a:picLocks noChangeAspect="1"/>
        </xdr:cNvPicPr>
      </xdr:nvPicPr>
      <xdr:blipFill>
        <a:blip xmlns:r="http://schemas.openxmlformats.org/officeDocument/2006/relationships" r:embed="rId1"/>
        <a:stretch>
          <a:fillRect/>
        </a:stretch>
      </xdr:blipFill>
      <xdr:spPr>
        <a:xfrm>
          <a:off x="1333500" y="19478625"/>
          <a:ext cx="10001537" cy="3419475"/>
        </a:xfrm>
        <a:prstGeom prst="rect">
          <a:avLst/>
        </a:prstGeom>
      </xdr:spPr>
    </xdr:pic>
    <xdr:clientData/>
  </xdr:twoCellAnchor>
  <xdr:twoCellAnchor editAs="oneCell">
    <xdr:from>
      <xdr:col>1</xdr:col>
      <xdr:colOff>47625</xdr:colOff>
      <xdr:row>46</xdr:row>
      <xdr:rowOff>180975</xdr:rowOff>
    </xdr:from>
    <xdr:to>
      <xdr:col>6</xdr:col>
      <xdr:colOff>38100</xdr:colOff>
      <xdr:row>60</xdr:row>
      <xdr:rowOff>203032</xdr:rowOff>
    </xdr:to>
    <xdr:pic>
      <xdr:nvPicPr>
        <xdr:cNvPr id="8" name="Picture 7">
          <a:extLst>
            <a:ext uri="{FF2B5EF4-FFF2-40B4-BE49-F238E27FC236}">
              <a16:creationId xmlns:a16="http://schemas.microsoft.com/office/drawing/2014/main" id="{42204362-B870-D957-8B88-D227F812BBC7}"/>
            </a:ext>
          </a:extLst>
        </xdr:cNvPr>
        <xdr:cNvPicPr>
          <a:picLocks noChangeAspect="1"/>
        </xdr:cNvPicPr>
      </xdr:nvPicPr>
      <xdr:blipFill>
        <a:blip xmlns:r="http://schemas.openxmlformats.org/officeDocument/2006/relationships" r:embed="rId2"/>
        <a:stretch>
          <a:fillRect/>
        </a:stretch>
      </xdr:blipFill>
      <xdr:spPr>
        <a:xfrm>
          <a:off x="1381125" y="24164925"/>
          <a:ext cx="7915275" cy="3336757"/>
        </a:xfrm>
        <a:prstGeom prst="rect">
          <a:avLst/>
        </a:prstGeom>
      </xdr:spPr>
    </xdr:pic>
    <xdr:clientData/>
  </xdr:twoCellAnchor>
  <xdr:twoCellAnchor editAs="oneCell">
    <xdr:from>
      <xdr:col>1</xdr:col>
      <xdr:colOff>0</xdr:colOff>
      <xdr:row>61</xdr:row>
      <xdr:rowOff>180976</xdr:rowOff>
    </xdr:from>
    <xdr:to>
      <xdr:col>6</xdr:col>
      <xdr:colOff>171450</xdr:colOff>
      <xdr:row>77</xdr:row>
      <xdr:rowOff>662181</xdr:rowOff>
    </xdr:to>
    <xdr:pic>
      <xdr:nvPicPr>
        <xdr:cNvPr id="11" name="Picture 10">
          <a:extLst>
            <a:ext uri="{FF2B5EF4-FFF2-40B4-BE49-F238E27FC236}">
              <a16:creationId xmlns:a16="http://schemas.microsoft.com/office/drawing/2014/main" id="{DF0DBA82-8E1C-D626-CE93-FAD54BA62D8B}"/>
            </a:ext>
          </a:extLst>
        </xdr:cNvPr>
        <xdr:cNvPicPr>
          <a:picLocks noChangeAspect="1"/>
        </xdr:cNvPicPr>
      </xdr:nvPicPr>
      <xdr:blipFill>
        <a:blip xmlns:r="http://schemas.openxmlformats.org/officeDocument/2006/relationships" r:embed="rId3"/>
        <a:stretch>
          <a:fillRect/>
        </a:stretch>
      </xdr:blipFill>
      <xdr:spPr>
        <a:xfrm>
          <a:off x="1333500" y="28127326"/>
          <a:ext cx="8096250" cy="376733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13</xdr:col>
      <xdr:colOff>0</xdr:colOff>
      <xdr:row>13</xdr:row>
      <xdr:rowOff>40784</xdr:rowOff>
    </xdr:from>
    <xdr:to>
      <xdr:col>13</xdr:col>
      <xdr:colOff>0</xdr:colOff>
      <xdr:row>14</xdr:row>
      <xdr:rowOff>141749</xdr:rowOff>
    </xdr:to>
    <xdr:sp macro="" textlink="">
      <xdr:nvSpPr>
        <xdr:cNvPr id="8" name="Rectangle: Rounded Corners 7">
          <a:extLst>
            <a:ext uri="{FF2B5EF4-FFF2-40B4-BE49-F238E27FC236}">
              <a16:creationId xmlns:a16="http://schemas.microsoft.com/office/drawing/2014/main" id="{AEA4C70C-A0B3-44ED-917C-A284092AE2D7}"/>
            </a:ext>
          </a:extLst>
        </xdr:cNvPr>
        <xdr:cNvSpPr/>
      </xdr:nvSpPr>
      <xdr:spPr>
        <a:xfrm>
          <a:off x="14784405" y="3088784"/>
          <a:ext cx="1476634" cy="281940"/>
        </a:xfrm>
        <a:prstGeom prst="round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050">
              <a:solidFill>
                <a:sysClr val="windowText" lastClr="000000"/>
              </a:solidFill>
            </a:rPr>
            <a:t>Good</a:t>
          </a:r>
        </a:p>
      </xdr:txBody>
    </xdr:sp>
    <xdr:clientData/>
  </xdr:twoCellAnchor>
  <xdr:twoCellAnchor>
    <xdr:from>
      <xdr:col>14</xdr:col>
      <xdr:colOff>30179</xdr:colOff>
      <xdr:row>15</xdr:row>
      <xdr:rowOff>45439</xdr:rowOff>
    </xdr:from>
    <xdr:to>
      <xdr:col>14</xdr:col>
      <xdr:colOff>1507992</xdr:colOff>
      <xdr:row>16</xdr:row>
      <xdr:rowOff>154024</xdr:rowOff>
    </xdr:to>
    <xdr:sp macro="" textlink="">
      <xdr:nvSpPr>
        <xdr:cNvPr id="25" name="Rectangle: Rounded Corners 24">
          <a:extLst>
            <a:ext uri="{FF2B5EF4-FFF2-40B4-BE49-F238E27FC236}">
              <a16:creationId xmlns:a16="http://schemas.microsoft.com/office/drawing/2014/main" id="{6374496E-5594-4BED-B200-5B28EEB80BD0}"/>
            </a:ext>
          </a:extLst>
        </xdr:cNvPr>
        <xdr:cNvSpPr/>
      </xdr:nvSpPr>
      <xdr:spPr>
        <a:xfrm>
          <a:off x="14860604" y="3455389"/>
          <a:ext cx="1477813" cy="289560"/>
        </a:xfrm>
        <a:prstGeom prst="roundRect">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050">
              <a:solidFill>
                <a:sysClr val="windowText" lastClr="000000"/>
              </a:solidFill>
            </a:rPr>
            <a:t>Requires improvement</a:t>
          </a:r>
        </a:p>
      </xdr:txBody>
    </xdr:sp>
    <xdr:clientData/>
  </xdr:twoCellAnchor>
  <xdr:twoCellAnchor>
    <xdr:from>
      <xdr:col>14</xdr:col>
      <xdr:colOff>30180</xdr:colOff>
      <xdr:row>13</xdr:row>
      <xdr:rowOff>45546</xdr:rowOff>
    </xdr:from>
    <xdr:to>
      <xdr:col>14</xdr:col>
      <xdr:colOff>1506814</xdr:colOff>
      <xdr:row>14</xdr:row>
      <xdr:rowOff>141749</xdr:rowOff>
    </xdr:to>
    <xdr:sp macro="" textlink="">
      <xdr:nvSpPr>
        <xdr:cNvPr id="26" name="Rectangle: Rounded Corners 25">
          <a:extLst>
            <a:ext uri="{FF2B5EF4-FFF2-40B4-BE49-F238E27FC236}">
              <a16:creationId xmlns:a16="http://schemas.microsoft.com/office/drawing/2014/main" id="{E7032777-4E68-424D-8AE7-046DCF8F7CBA}"/>
            </a:ext>
          </a:extLst>
        </xdr:cNvPr>
        <xdr:cNvSpPr/>
      </xdr:nvSpPr>
      <xdr:spPr>
        <a:xfrm>
          <a:off x="16584630" y="2588721"/>
          <a:ext cx="1476634" cy="277178"/>
        </a:xfrm>
        <a:prstGeom prst="round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050">
              <a:solidFill>
                <a:sysClr val="windowText" lastClr="000000"/>
              </a:solidFill>
            </a:rPr>
            <a:t>Good</a:t>
          </a:r>
        </a:p>
      </xdr:txBody>
    </xdr:sp>
    <xdr:clientData/>
  </xdr:twoCellAnchor>
  <xdr:twoCellAnchor>
    <xdr:from>
      <xdr:col>14</xdr:col>
      <xdr:colOff>30179</xdr:colOff>
      <xdr:row>10</xdr:row>
      <xdr:rowOff>136072</xdr:rowOff>
    </xdr:from>
    <xdr:to>
      <xdr:col>14</xdr:col>
      <xdr:colOff>1504950</xdr:colOff>
      <xdr:row>12</xdr:row>
      <xdr:rowOff>56179</xdr:rowOff>
    </xdr:to>
    <xdr:sp macro="" textlink="">
      <xdr:nvSpPr>
        <xdr:cNvPr id="27" name="Rectangle: Rounded Corners 26">
          <a:extLst>
            <a:ext uri="{FF2B5EF4-FFF2-40B4-BE49-F238E27FC236}">
              <a16:creationId xmlns:a16="http://schemas.microsoft.com/office/drawing/2014/main" id="{85716488-724D-49EA-ACE6-1A719AEA8ABA}"/>
            </a:ext>
          </a:extLst>
        </xdr:cNvPr>
        <xdr:cNvSpPr/>
      </xdr:nvSpPr>
      <xdr:spPr>
        <a:xfrm>
          <a:off x="14860604" y="2641147"/>
          <a:ext cx="1474771" cy="282057"/>
        </a:xfrm>
        <a:prstGeom prst="roundRect">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050">
              <a:solidFill>
                <a:sysClr val="windowText" lastClr="000000"/>
              </a:solidFill>
            </a:rPr>
            <a:t>Outstanding</a:t>
          </a:r>
        </a:p>
      </xdr:txBody>
    </xdr:sp>
    <xdr:clientData/>
  </xdr:twoCellAnchor>
  <xdr:twoCellAnchor>
    <xdr:from>
      <xdr:col>14</xdr:col>
      <xdr:colOff>30179</xdr:colOff>
      <xdr:row>17</xdr:row>
      <xdr:rowOff>126352</xdr:rowOff>
    </xdr:from>
    <xdr:to>
      <xdr:col>14</xdr:col>
      <xdr:colOff>1504950</xdr:colOff>
      <xdr:row>19</xdr:row>
      <xdr:rowOff>46459</xdr:rowOff>
    </xdr:to>
    <xdr:sp macro="" textlink="">
      <xdr:nvSpPr>
        <xdr:cNvPr id="28" name="Rectangle: Rounded Corners 27">
          <a:extLst>
            <a:ext uri="{FF2B5EF4-FFF2-40B4-BE49-F238E27FC236}">
              <a16:creationId xmlns:a16="http://schemas.microsoft.com/office/drawing/2014/main" id="{2AE95498-F44D-4098-8625-04E68942DD4D}"/>
            </a:ext>
          </a:extLst>
        </xdr:cNvPr>
        <xdr:cNvSpPr/>
      </xdr:nvSpPr>
      <xdr:spPr>
        <a:xfrm>
          <a:off x="14860604" y="3898252"/>
          <a:ext cx="1474771" cy="282057"/>
        </a:xfrm>
        <a:prstGeom prst="round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050">
              <a:solidFill>
                <a:sysClr val="windowText" lastClr="000000"/>
              </a:solidFill>
            </a:rPr>
            <a:t>Inadequate</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onlinecollections.des.fasst.org.uk/fastform/college-financial-data"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5F5CF-CA28-40CF-BD27-D92E318DFCF1}">
  <sheetPr codeName="Sheet2">
    <tabColor rgb="FF00B050"/>
    <pageSetUpPr fitToPage="1"/>
  </sheetPr>
  <dimension ref="A1:J34"/>
  <sheetViews>
    <sheetView showGridLines="0" tabSelected="1" zoomScaleNormal="100" workbookViewId="0"/>
  </sheetViews>
  <sheetFormatPr defaultColWidth="0" defaultRowHeight="14.5" x14ac:dyDescent="0.35"/>
  <cols>
    <col min="1" max="1" width="15.54296875" customWidth="1"/>
    <col min="2" max="2" width="18.1796875" customWidth="1"/>
    <col min="3" max="3" width="16.453125" bestFit="1" customWidth="1"/>
    <col min="4" max="10" width="9" customWidth="1"/>
    <col min="11" max="16384" width="9" hidden="1"/>
  </cols>
  <sheetData>
    <row r="1" spans="1:8" x14ac:dyDescent="0.35">
      <c r="A1" s="147">
        <f ca="1">IF(SUM(A9:A19)=0, 0, 1)</f>
        <v>0</v>
      </c>
      <c r="B1" s="78">
        <f ca="1">SUM(B9:B19)</f>
        <v>41</v>
      </c>
      <c r="C1" s="2" t="s">
        <v>0</v>
      </c>
      <c r="D1" s="2"/>
      <c r="E1" s="2"/>
      <c r="F1" s="2"/>
      <c r="G1" s="2" t="s">
        <v>1</v>
      </c>
      <c r="H1" s="142" t="s">
        <v>2038</v>
      </c>
    </row>
    <row r="2" spans="1:8" x14ac:dyDescent="0.35">
      <c r="A2" s="2"/>
      <c r="B2" s="2"/>
      <c r="C2" s="2"/>
      <c r="D2" s="2"/>
      <c r="E2" s="2"/>
      <c r="F2" s="2"/>
      <c r="G2" s="2"/>
      <c r="H2" s="2"/>
    </row>
    <row r="3" spans="1:8" x14ac:dyDescent="0.35">
      <c r="A3" s="2"/>
      <c r="B3" s="2"/>
      <c r="C3" s="146" t="str">
        <f>"Welcome to the "&amp;Parameters!E3&amp;" Finance Record"</f>
        <v>Welcome to the FY2025 Finance Record</v>
      </c>
      <c r="D3" s="2"/>
      <c r="E3" s="2"/>
      <c r="F3" s="2"/>
      <c r="G3" s="2"/>
      <c r="H3" s="2"/>
    </row>
    <row r="4" spans="1:8" x14ac:dyDescent="0.35">
      <c r="A4" s="2"/>
      <c r="B4" s="2"/>
      <c r="C4" s="2"/>
      <c r="D4" s="2"/>
      <c r="E4" s="2"/>
      <c r="F4" s="2"/>
      <c r="G4" s="2"/>
      <c r="H4" s="2"/>
    </row>
    <row r="5" spans="1:8" x14ac:dyDescent="0.35">
      <c r="A5" s="2" t="s">
        <v>2</v>
      </c>
      <c r="B5" s="2" t="s">
        <v>3</v>
      </c>
      <c r="C5" s="2"/>
      <c r="D5" s="2"/>
      <c r="E5" s="2"/>
      <c r="F5" s="2"/>
      <c r="G5" s="2"/>
      <c r="H5" s="2"/>
    </row>
    <row r="6" spans="1:8" x14ac:dyDescent="0.35">
      <c r="A6" s="3"/>
      <c r="B6" s="3"/>
      <c r="C6" s="4"/>
    </row>
    <row r="7" spans="1:8" x14ac:dyDescent="0.35">
      <c r="A7" s="5"/>
      <c r="B7" s="5"/>
      <c r="C7" s="5" t="s">
        <v>4</v>
      </c>
      <c r="D7" s="5"/>
      <c r="E7" s="5"/>
      <c r="F7" s="5"/>
      <c r="G7" s="5"/>
      <c r="H7" s="5"/>
    </row>
    <row r="8" spans="1:8" x14ac:dyDescent="0.35">
      <c r="A8" s="3"/>
      <c r="B8" s="3"/>
      <c r="C8" s="4"/>
    </row>
    <row r="9" spans="1:8" x14ac:dyDescent="0.35">
      <c r="A9" s="8"/>
      <c r="B9" s="7" cm="1">
        <f t="array" aca="1" ref="B9" ca="1">HYPERLINK(CONCATENATE("#",CELL("address",'Cover sheet'!$N$3)),'Cover sheet'!$N$3)</f>
        <v>15</v>
      </c>
      <c r="C9" s="118" t="str" cm="1">
        <f t="array" aca="1" ref="C9" ca="1">HYPERLINK(CONCATENATE("#",CELL("address",'Cover sheet'!$A$2)), 'Cover sheet'!B1)</f>
        <v>Cover Sheet</v>
      </c>
    </row>
    <row r="10" spans="1:8" x14ac:dyDescent="0.35">
      <c r="A10" s="8"/>
      <c r="B10" s="8"/>
      <c r="C10" s="118" t="str" cm="1">
        <f t="array" aca="1" ref="C10" ca="1">HYPERLINK(CONCATENATE("#",CELL("address", Guide!$A$1)), "Guide")</f>
        <v>Guide</v>
      </c>
    </row>
    <row r="11" spans="1:8" x14ac:dyDescent="0.35">
      <c r="A11" s="8"/>
      <c r="B11" s="8"/>
      <c r="C11" s="118" t="str" cm="1">
        <f t="array" aca="1" ref="C11" ca="1">HYPERLINK(CONCATENATE("#",CELL("address", Benchmarking!$A$2)), Benchmarking!B1)</f>
        <v>Benchmarking</v>
      </c>
    </row>
    <row r="12" spans="1:8" x14ac:dyDescent="0.35">
      <c r="A12" s="8"/>
      <c r="B12" s="8"/>
      <c r="C12" s="118" t="str" cm="1">
        <f t="array" aca="1" ref="C12" ca="1">HYPERLINK(CONCATENATE("#",CELL("address",Ratios!$A$2)), Ratios!B1)</f>
        <v>Ratios</v>
      </c>
    </row>
    <row r="13" spans="1:8" x14ac:dyDescent="0.35">
      <c r="A13" s="9" cm="1">
        <f t="array" aca="1" ref="A13" ca="1">HYPERLINK(CONCATENATE("#",CELL("address",'Financial health'!$A$2)),'Financial health'!$A$2)</f>
        <v>0</v>
      </c>
      <c r="B13" s="10" cm="1">
        <f t="array" aca="1" ref="B13" ca="1">HYPERLINK(CONCATENATE("#",CELL("address",'Financial health'!$H$3)),'Financial health'!$H$3)</f>
        <v>0</v>
      </c>
      <c r="C13" s="118" t="str" cm="1">
        <f t="array" aca="1" ref="C13" ca="1">HYPERLINK(CONCATENATE("#",CELL("address",'Financial health'!$A$2)), 'Financial health'!B1)</f>
        <v>Financial health</v>
      </c>
    </row>
    <row r="14" spans="1:8" x14ac:dyDescent="0.35">
      <c r="A14" s="9" cm="1">
        <f t="array" aca="1" ref="A14" ca="1">HYPERLINK(CONCATENATE("#",CELL("address",'I&amp;E'!$A$2)),'I&amp;E'!$A$2)</f>
        <v>0</v>
      </c>
      <c r="B14" s="10" cm="1">
        <f t="array" aca="1" ref="B14" ca="1">HYPERLINK(CONCATENATE("#",CELL("address",'I&amp;E'!$N$3)),'I&amp;E'!$N$3)</f>
        <v>0</v>
      </c>
      <c r="C14" s="118" t="str" cm="1">
        <f t="array" aca="1" ref="C14" ca="1">HYPERLINK(CONCATENATE("#",CELL("address",'I&amp;E'!$A$2)), 'I&amp;E'!B1)</f>
        <v>I&amp;E Inputs</v>
      </c>
    </row>
    <row r="15" spans="1:8" x14ac:dyDescent="0.35">
      <c r="A15" s="9" cm="1">
        <f t="array" aca="1" ref="A15" ca="1">HYPERLINK(CONCATENATE("#",CELL("address",SOCI!$A$2)),SOCI!$A$2)</f>
        <v>0</v>
      </c>
      <c r="B15" s="8"/>
      <c r="C15" s="118" t="str" cm="1">
        <f t="array" aca="1" ref="C15" ca="1">HYPERLINK(CONCATENATE("#",CELL("address",SOCI!$A$2)), SOCI!B1)</f>
        <v>SOCI</v>
      </c>
    </row>
    <row r="16" spans="1:8" x14ac:dyDescent="0.35">
      <c r="A16" s="9" cm="1">
        <f t="array" aca="1" ref="A16" ca="1">HYPERLINK(CONCATENATE("#",CELL("address",'CFFR SOCI'!$A$2)),'CFFR SOCI'!$A$2)</f>
        <v>0</v>
      </c>
      <c r="B16" s="8"/>
      <c r="C16" s="118" t="str" cm="1">
        <f t="array" aca="1" ref="C16" ca="1">HYPERLINK(CONCATENATE("#",CELL("address",'CFFR SOCI'!$A$2)), 'CFFR SOCI'!B1)</f>
        <v>CFFR SOCI</v>
      </c>
    </row>
    <row r="17" spans="1:3" x14ac:dyDescent="0.35">
      <c r="A17" s="9" cm="1">
        <f t="array" aca="1" ref="A17" ca="1">HYPERLINK(CONCATENATE("#",CELL("address",BS!$A$2)),BS!$A$2)</f>
        <v>0</v>
      </c>
      <c r="B17" s="10" cm="1">
        <f t="array" aca="1" ref="B17" ca="1">HYPERLINK(CONCATENATE("#",CELL("address",BS!$N$3)),BS!$N$3)</f>
        <v>0</v>
      </c>
      <c r="C17" s="118" t="str" cm="1">
        <f t="array" aca="1" ref="C17" ca="1">HYPERLINK(CONCATENATE("#",CELL("address",BS!$A$2)), BS!B1)</f>
        <v>Balance Sheet</v>
      </c>
    </row>
    <row r="18" spans="1:3" x14ac:dyDescent="0.35">
      <c r="A18" s="9" cm="1">
        <f t="array" aca="1" ref="A18" ca="1">HYPERLINK(CONCATENATE("#",CELL("address",Cashflow!$A$2)),Cashflow!$A$2)</f>
        <v>0</v>
      </c>
      <c r="B18" s="8"/>
      <c r="C18" s="118" t="str" cm="1">
        <f t="array" aca="1" ref="C18" ca="1">HYPERLINK(CONCATENATE("#",CELL("address",Cashflow!$A$2)), Cashflow!B1)</f>
        <v>Cashflow</v>
      </c>
    </row>
    <row r="19" spans="1:3" x14ac:dyDescent="0.35">
      <c r="A19" s="9" cm="1">
        <f t="array" aca="1" ref="A19" ca="1">HYPERLINK(CONCATENATE("#",CELL("address",Miscellaneous!$A$2)),Miscellaneous!$A$2)</f>
        <v>0</v>
      </c>
      <c r="B19" s="7" cm="1">
        <f t="array" aca="1" ref="B19" ca="1">HYPERLINK(CONCATENATE("#",CELL("address",Miscellaneous!$N$3)),Miscellaneous!$N$3)</f>
        <v>26</v>
      </c>
      <c r="C19" s="118" t="str" cm="1">
        <f t="array" aca="1" ref="C19" ca="1">HYPERLINK(CONCATENATE("#",CELL("address",Miscellaneous!$A$2)), Miscellaneous!B1)</f>
        <v>Miscellaneous</v>
      </c>
    </row>
    <row r="20" spans="1:3" x14ac:dyDescent="0.35">
      <c r="A20" s="8"/>
      <c r="B20" s="8"/>
      <c r="C20" s="118" t="str" cm="1">
        <f t="array" aca="1" ref="C20" ca="1">HYPERLINK(CONCATENATE("#",CELL("address",Parameters!$A$2)), Parameters!B1)</f>
        <v>Parameters</v>
      </c>
    </row>
    <row r="21" spans="1:3" x14ac:dyDescent="0.35">
      <c r="A21" s="8"/>
      <c r="B21" s="8"/>
      <c r="C21" s="118" t="str" cm="1">
        <f t="array" aca="1" ref="C21" ca="1">HYPERLINK(CONCATENATE("#",CELL("address", 'List of colleges'!$A$2)), 'List of colleges'!A1)</f>
        <v>List of Colleges</v>
      </c>
    </row>
    <row r="22" spans="1:3" x14ac:dyDescent="0.35">
      <c r="B22" s="81" t="s">
        <v>5</v>
      </c>
      <c r="C22" s="118" t="str" cm="1">
        <f t="array" aca="1" ref="C22" ca="1">HYPERLINK(CONCATENATE("#",CELL("address", Template!$A$2)), Template!B1)</f>
        <v>Template</v>
      </c>
    </row>
    <row r="25" spans="1:3" x14ac:dyDescent="0.35">
      <c r="A25" s="8"/>
      <c r="B25" s="8"/>
      <c r="C25" s="11"/>
    </row>
    <row r="26" spans="1:3" x14ac:dyDescent="0.35">
      <c r="B26" s="8"/>
      <c r="C26" s="12"/>
    </row>
    <row r="27" spans="1:3" x14ac:dyDescent="0.35">
      <c r="B27" s="8"/>
      <c r="C27" s="11"/>
    </row>
    <row r="28" spans="1:3" x14ac:dyDescent="0.35">
      <c r="A28" s="8"/>
      <c r="B28" s="8"/>
      <c r="C28" s="11"/>
    </row>
    <row r="29" spans="1:3" x14ac:dyDescent="0.35">
      <c r="A29" s="3"/>
      <c r="B29" s="8"/>
      <c r="C29" s="4"/>
    </row>
    <row r="30" spans="1:3" x14ac:dyDescent="0.35">
      <c r="A30" s="3"/>
      <c r="B30" s="8"/>
      <c r="C30" s="11"/>
    </row>
    <row r="31" spans="1:3" x14ac:dyDescent="0.35">
      <c r="A31" s="3"/>
      <c r="B31" s="8"/>
      <c r="C31" s="11"/>
    </row>
    <row r="32" spans="1:3" x14ac:dyDescent="0.35">
      <c r="A32" s="3"/>
      <c r="B32" s="8"/>
      <c r="C32" s="11"/>
    </row>
    <row r="33" spans="1:3" x14ac:dyDescent="0.35">
      <c r="A33" s="3"/>
      <c r="B33" s="8"/>
      <c r="C33" s="11"/>
    </row>
    <row r="34" spans="1:3" x14ac:dyDescent="0.35">
      <c r="A34" s="3"/>
      <c r="B34" s="8"/>
      <c r="C34" s="11"/>
    </row>
  </sheetData>
  <sheetProtection algorithmName="SHA-512" hashValue="zX0iyL4Ub/jfT1OFsfQLCtmcZGDdDmJg1DcWj0OyGGLAADURwj1xR/FagMkKGprp7Slzsv01p3RyrRtI/z3tnQ==" saltValue="eQdMW2EUyjcDqXrO1WeDyA==" spinCount="100000" sheet="1" objects="1" scenarios="1"/>
  <conditionalFormatting sqref="A1">
    <cfRule type="cellIs" dxfId="248" priority="10" operator="greaterThan">
      <formula>0</formula>
    </cfRule>
  </conditionalFormatting>
  <conditionalFormatting sqref="A13:A19">
    <cfRule type="cellIs" dxfId="247" priority="77" operator="equal">
      <formula>0</formula>
    </cfRule>
    <cfRule type="cellIs" dxfId="246" priority="78" operator="greaterThan">
      <formula>0</formula>
    </cfRule>
    <cfRule type="cellIs" dxfId="245" priority="80" operator="equal">
      <formula>1</formula>
    </cfRule>
  </conditionalFormatting>
  <conditionalFormatting sqref="A1:B1">
    <cfRule type="cellIs" dxfId="244" priority="8" operator="equal">
      <formula>0</formula>
    </cfRule>
  </conditionalFormatting>
  <conditionalFormatting sqref="B1">
    <cfRule type="cellIs" dxfId="243" priority="7" operator="greaterThan">
      <formula>0</formula>
    </cfRule>
  </conditionalFormatting>
  <conditionalFormatting sqref="B9">
    <cfRule type="cellIs" dxfId="242" priority="23" operator="greaterThan">
      <formula>0</formula>
    </cfRule>
    <cfRule type="cellIs" dxfId="241" priority="24" operator="equal">
      <formula>0</formula>
    </cfRule>
  </conditionalFormatting>
  <conditionalFormatting sqref="B13:B14 B17">
    <cfRule type="cellIs" dxfId="240" priority="21" operator="greaterThan">
      <formula>0</formula>
    </cfRule>
    <cfRule type="cellIs" dxfId="239" priority="22" operator="equal">
      <formula>0</formula>
    </cfRule>
  </conditionalFormatting>
  <conditionalFormatting sqref="B19">
    <cfRule type="cellIs" dxfId="238" priority="1" operator="greaterThan">
      <formula>0</formula>
    </cfRule>
    <cfRule type="cellIs" dxfId="237" priority="2" operator="equal">
      <formula>0</formula>
    </cfRule>
  </conditionalFormatting>
  <dataValidations count="1">
    <dataValidation allowBlank="1" showInputMessage="1" promptTitle="Add Sheet" prompt="Colleges can add their own sheets into the Finance Record, however, any structural changes, e.g. to names of existing tabs, will result in a rejection of the entire FR submission." sqref="B22" xr:uid="{7C917F7E-9E5F-4B6B-88A9-64A6232C1EEA}"/>
  </dataValidations>
  <pageMargins left="0.70866141732283472" right="0.70866141732283472" top="0.74803149606299213" bottom="0.74803149606299213" header="0.31496062992125984" footer="0.31496062992125984"/>
  <pageSetup paperSize="9" scale="91"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C04C3-C962-449D-8ACF-C7795D6BC393}">
  <sheetPr codeName="Sheet10">
    <tabColor rgb="FFFFFF00"/>
  </sheetPr>
  <dimension ref="A1:P92"/>
  <sheetViews>
    <sheetView showGridLines="0" zoomScaleNormal="100" workbookViewId="0">
      <pane ySplit="6" topLeftCell="A7" activePane="bottomLeft" state="frozen"/>
      <selection activeCell="B29" sqref="B29"/>
      <selection pane="bottomLeft"/>
    </sheetView>
  </sheetViews>
  <sheetFormatPr defaultColWidth="9" defaultRowHeight="14.5" x14ac:dyDescent="0.35"/>
  <cols>
    <col min="1" max="1" width="9.1796875" style="14" customWidth="1"/>
    <col min="2" max="3" width="9" style="14"/>
    <col min="4" max="4" width="60" style="14" bestFit="1" customWidth="1"/>
    <col min="5" max="5" width="10.453125" style="14" customWidth="1"/>
    <col min="6" max="6" width="3.54296875" style="14" customWidth="1"/>
    <col min="7" max="7" width="10.26953125" bestFit="1" customWidth="1"/>
    <col min="8" max="8" width="2.54296875" style="14" customWidth="1"/>
    <col min="9" max="9" width="4" style="14" customWidth="1"/>
    <col min="10" max="10" width="1.26953125" style="14" customWidth="1"/>
    <col min="11" max="11" width="2" style="14" customWidth="1"/>
    <col min="12" max="12" width="2.1796875" style="14" customWidth="1"/>
    <col min="13" max="13" width="1.81640625" style="14" customWidth="1"/>
    <col min="14" max="14" width="12.453125" customWidth="1"/>
    <col min="15" max="15" width="19.26953125" style="58" bestFit="1" customWidth="1"/>
    <col min="16" max="16" width="18.26953125" style="14" customWidth="1"/>
    <col min="17" max="16384" width="9" style="14"/>
  </cols>
  <sheetData>
    <row r="1" spans="1:16" ht="29" x14ac:dyDescent="0.35">
      <c r="A1" s="147">
        <f ca="1">ToC!A1</f>
        <v>0</v>
      </c>
      <c r="B1" s="2" t="s">
        <v>792</v>
      </c>
      <c r="C1" s="2"/>
      <c r="D1" s="2">
        <f>'Cover sheet'!E8</f>
        <v>0</v>
      </c>
      <c r="E1" s="2"/>
      <c r="F1" s="2"/>
      <c r="G1" s="2"/>
      <c r="N1" s="200" t="s">
        <v>465</v>
      </c>
      <c r="O1" s="14" t="s">
        <v>466</v>
      </c>
      <c r="P1" s="58" t="s">
        <v>714</v>
      </c>
    </row>
    <row r="2" spans="1:16" x14ac:dyDescent="0.35">
      <c r="A2" s="72" cm="1">
        <f t="array" aca="1" ref="A2" ca="1">HYPERLINK(CONCATENATE("#",CELL("address",IF(SUM(A$6:A$200)=0,$A$2,INDEX(A$6:A$200,MATCH(1,A$6:A$200,0))))),SUM(A$6:A$200))</f>
        <v>0</v>
      </c>
      <c r="B2" s="2"/>
      <c r="C2" s="2"/>
      <c r="D2" s="2"/>
      <c r="E2" s="2"/>
      <c r="F2" s="2"/>
      <c r="G2" s="2"/>
      <c r="N2" s="81" t="s">
        <v>5</v>
      </c>
      <c r="O2" s="81" t="s">
        <v>5</v>
      </c>
      <c r="P2" s="81" t="s">
        <v>5</v>
      </c>
    </row>
    <row r="3" spans="1:16" x14ac:dyDescent="0.35">
      <c r="A3" s="111" t="str" cm="1">
        <f t="array" aca="1" ref="A3" ca="1">HYPERLINK(CONCATENATE("#",CELL("address",ToC!$A$1)),ToC!$C$1)</f>
        <v>TOC</v>
      </c>
      <c r="B3" s="111"/>
      <c r="C3" s="2"/>
      <c r="D3" s="2"/>
      <c r="E3" s="2"/>
      <c r="F3" s="2"/>
      <c r="G3" s="2"/>
      <c r="N3" s="10" cm="1">
        <f t="array" aca="1" ref="N3" ca="1">HYPERLINK(CONCATENATE("#",CELL("address",IF(SUM(N$7:N$204)=0,$N$2,INDEX(N$7:N$204,MATCH(1,N$7:N$204,0))))),SUM(N$7:N$204))</f>
        <v>0</v>
      </c>
      <c r="O3" s="76"/>
    </row>
    <row r="4" spans="1:16" x14ac:dyDescent="0.35">
      <c r="A4" s="2"/>
      <c r="B4" s="2"/>
      <c r="C4" s="2"/>
      <c r="D4" s="2"/>
      <c r="E4" s="2"/>
      <c r="F4" s="2"/>
      <c r="G4" s="37" t="str">
        <f>'Cover sheet'!E17</f>
        <v>FY2025</v>
      </c>
    </row>
    <row r="5" spans="1:16" x14ac:dyDescent="0.35">
      <c r="A5" s="2" t="s">
        <v>7</v>
      </c>
      <c r="B5" s="2"/>
      <c r="C5" s="2" t="s">
        <v>8</v>
      </c>
      <c r="D5" s="2" t="s">
        <v>9</v>
      </c>
      <c r="E5" s="411" t="s">
        <v>793</v>
      </c>
      <c r="F5" s="2"/>
      <c r="G5" s="37" t="s">
        <v>134</v>
      </c>
      <c r="M5" s="58"/>
      <c r="N5" s="71"/>
      <c r="P5" s="58"/>
    </row>
    <row r="6" spans="1:16" x14ac:dyDescent="0.35">
      <c r="A6" s="58"/>
      <c r="B6" s="73" t="s">
        <v>469</v>
      </c>
      <c r="C6" s="83"/>
      <c r="E6"/>
      <c r="G6" s="14"/>
      <c r="M6" s="58"/>
      <c r="P6" s="58"/>
    </row>
    <row r="7" spans="1:16" x14ac:dyDescent="0.35">
      <c r="A7" s="5"/>
      <c r="B7" s="5"/>
      <c r="C7" s="201"/>
      <c r="D7" s="5" t="s">
        <v>792</v>
      </c>
      <c r="E7" s="5"/>
      <c r="F7" s="5"/>
      <c r="G7" s="408"/>
      <c r="M7" s="58"/>
      <c r="P7" s="58"/>
    </row>
    <row r="8" spans="1:16" x14ac:dyDescent="0.35">
      <c r="A8" s="101"/>
      <c r="B8" s="102"/>
      <c r="C8" s="102"/>
      <c r="D8" s="103"/>
      <c r="G8" s="104"/>
      <c r="M8" s="58"/>
      <c r="P8" s="58"/>
    </row>
    <row r="9" spans="1:16" x14ac:dyDescent="0.35">
      <c r="B9" s="16"/>
      <c r="C9" s="16"/>
      <c r="D9" s="26" t="s">
        <v>794</v>
      </c>
      <c r="G9" s="14"/>
    </row>
    <row r="10" spans="1:16" x14ac:dyDescent="0.35">
      <c r="A10" s="72" cm="1">
        <f t="array" aca="1" ref="A10" ca="1">HYPERLINK(CONCATENATE("#",CELL("address",IF(SUM($O10:$O10)=0,A10,INDEX($O10:$O10,MATCH(1,$O10:$O10,0))))),SUM($O10:$O10))</f>
        <v>0</v>
      </c>
      <c r="B10" s="16"/>
      <c r="C10" s="16" t="s">
        <v>795</v>
      </c>
      <c r="D10" s="105" t="s">
        <v>796</v>
      </c>
      <c r="G10" s="272"/>
      <c r="N10" s="117">
        <f t="shared" ref="N10:N17" si="0">IF(G10&lt;0, 1, 0)</f>
        <v>0</v>
      </c>
      <c r="O10" s="72">
        <f t="shared" ref="O10:O17" si="1">IF(OR(ISNUMBER(G10),ISBLANK(G10)),0,1)</f>
        <v>0</v>
      </c>
    </row>
    <row r="11" spans="1:16" x14ac:dyDescent="0.35">
      <c r="A11" s="72" cm="1">
        <f t="array" aca="1" ref="A11" ca="1">HYPERLINK(CONCATENATE("#",CELL("address",IF(SUM($O11:$O11)=0,A11,INDEX($O11:$O11,MATCH(1,$O11:$O11,0))))),SUM($O11:$O11))</f>
        <v>0</v>
      </c>
      <c r="B11" s="16"/>
      <c r="C11" s="16" t="s">
        <v>797</v>
      </c>
      <c r="D11" s="105" t="s">
        <v>798</v>
      </c>
      <c r="G11" s="272"/>
      <c r="N11" s="117">
        <f t="shared" si="0"/>
        <v>0</v>
      </c>
      <c r="O11" s="72">
        <f t="shared" si="1"/>
        <v>0</v>
      </c>
    </row>
    <row r="12" spans="1:16" x14ac:dyDescent="0.35">
      <c r="A12" s="72" cm="1">
        <f t="array" aca="1" ref="A12" ca="1">HYPERLINK(CONCATENATE("#",CELL("address",IF(SUM($O12:$O12)=0,A12,INDEX($O12:$O12,MATCH(1,$O12:$O12,0))))),SUM($O12:$O12))</f>
        <v>0</v>
      </c>
      <c r="B12" s="16"/>
      <c r="C12" s="16" t="s">
        <v>799</v>
      </c>
      <c r="D12" s="105" t="s">
        <v>800</v>
      </c>
      <c r="G12" s="272"/>
      <c r="N12" s="117">
        <f t="shared" si="0"/>
        <v>0</v>
      </c>
      <c r="O12" s="72">
        <f t="shared" si="1"/>
        <v>0</v>
      </c>
    </row>
    <row r="13" spans="1:16" x14ac:dyDescent="0.35">
      <c r="A13" s="72" cm="1">
        <f t="array" aca="1" ref="A13" ca="1">HYPERLINK(CONCATENATE("#",CELL("address",IF(SUM($O13:$O13)=0,A13,INDEX($O13:$O13,MATCH(1,$O13:$O13,0))))),SUM($O13:$O13))</f>
        <v>0</v>
      </c>
      <c r="B13" s="16"/>
      <c r="C13" s="16" t="s">
        <v>801</v>
      </c>
      <c r="D13" s="105" t="s">
        <v>802</v>
      </c>
      <c r="G13" s="272"/>
      <c r="N13" s="117">
        <f t="shared" si="0"/>
        <v>0</v>
      </c>
      <c r="O13" s="72">
        <f t="shared" si="1"/>
        <v>0</v>
      </c>
    </row>
    <row r="14" spans="1:16" x14ac:dyDescent="0.35">
      <c r="A14" s="72" cm="1">
        <f t="array" aca="1" ref="A14" ca="1">HYPERLINK(CONCATENATE("#",CELL("address",IF(SUM($O14:$O14)=0,A14,INDEX($O14:$O14,MATCH(1,$O14:$O14,0))))),SUM($O14:$O14))</f>
        <v>0</v>
      </c>
      <c r="B14" s="16"/>
      <c r="C14" s="16" t="s">
        <v>803</v>
      </c>
      <c r="D14" s="105" t="s">
        <v>804</v>
      </c>
      <c r="G14" s="272"/>
      <c r="N14" s="117">
        <f t="shared" si="0"/>
        <v>0</v>
      </c>
      <c r="O14" s="72">
        <f t="shared" si="1"/>
        <v>0</v>
      </c>
    </row>
    <row r="15" spans="1:16" x14ac:dyDescent="0.35">
      <c r="A15" s="72" cm="1">
        <f t="array" aca="1" ref="A15" ca="1">HYPERLINK(CONCATENATE("#",CELL("address",IF(SUM($O15:$O15)=0,A15,INDEX($O15:$O15,MATCH(1,$O15:$O15,0))))),SUM($O15:$O15))</f>
        <v>0</v>
      </c>
      <c r="B15" s="16"/>
      <c r="C15" s="16" t="s">
        <v>805</v>
      </c>
      <c r="D15" s="105" t="s">
        <v>806</v>
      </c>
      <c r="G15" s="272"/>
      <c r="N15" s="117">
        <f t="shared" si="0"/>
        <v>0</v>
      </c>
      <c r="O15" s="72">
        <f t="shared" si="1"/>
        <v>0</v>
      </c>
    </row>
    <row r="16" spans="1:16" x14ac:dyDescent="0.35">
      <c r="A16" s="72" cm="1">
        <f t="array" aca="1" ref="A16" ca="1">HYPERLINK(CONCATENATE("#",CELL("address",IF(SUM($O16:$O16)=0,A16,INDEX($O16:$O16,MATCH(1,$O16:$O16,0))))),SUM($O16:$O16))</f>
        <v>0</v>
      </c>
      <c r="B16" s="16"/>
      <c r="C16" s="16" t="s">
        <v>807</v>
      </c>
      <c r="D16" s="105" t="s">
        <v>808</v>
      </c>
      <c r="G16" s="272"/>
      <c r="N16" s="117">
        <f t="shared" si="0"/>
        <v>0</v>
      </c>
      <c r="O16" s="72">
        <f t="shared" si="1"/>
        <v>0</v>
      </c>
    </row>
    <row r="17" spans="1:15" x14ac:dyDescent="0.35">
      <c r="A17" s="72" cm="1">
        <f t="array" aca="1" ref="A17" ca="1">HYPERLINK(CONCATENATE("#",CELL("address",IF(SUM($O17:$O17)=0,A17,INDEX($O17:$O17,MATCH(1,$O17:$O17,0))))),SUM($O17:$O17))</f>
        <v>0</v>
      </c>
      <c r="B17" s="16"/>
      <c r="C17" s="16" t="s">
        <v>809</v>
      </c>
      <c r="D17" s="26" t="s">
        <v>810</v>
      </c>
      <c r="G17" s="269">
        <f>SUM(G10:G16)</f>
        <v>0</v>
      </c>
      <c r="N17" s="117">
        <f t="shared" si="0"/>
        <v>0</v>
      </c>
      <c r="O17" s="72">
        <f t="shared" si="1"/>
        <v>0</v>
      </c>
    </row>
    <row r="18" spans="1:15" x14ac:dyDescent="0.35">
      <c r="B18" s="16"/>
      <c r="C18" s="16"/>
      <c r="D18" s="22"/>
      <c r="G18" s="14"/>
      <c r="O18" s="106"/>
    </row>
    <row r="19" spans="1:15" x14ac:dyDescent="0.35">
      <c r="A19" s="72" cm="1">
        <f t="array" aca="1" ref="A19" ca="1">HYPERLINK(CONCATENATE("#",CELL("address",IF(SUM($O19:$O19)=0,A19,INDEX($O19:$O19,MATCH(1,$O19:$O19,0))))),SUM($O19:$O19))</f>
        <v>0</v>
      </c>
      <c r="B19" s="16"/>
      <c r="C19" s="16"/>
      <c r="D19" s="26" t="s">
        <v>811</v>
      </c>
      <c r="G19" s="14"/>
      <c r="O19" s="106"/>
    </row>
    <row r="20" spans="1:15" x14ac:dyDescent="0.35">
      <c r="A20" s="72" cm="1">
        <f t="array" aca="1" ref="A20" ca="1">HYPERLINK(CONCATENATE("#",CELL("address",IF(SUM($O20:$O20)=0,A20,INDEX($O20:$O20,MATCH(1,$O20:$O20,0))))),SUM($O20:$O20))</f>
        <v>0</v>
      </c>
      <c r="B20" s="16"/>
      <c r="C20" s="16" t="s">
        <v>812</v>
      </c>
      <c r="D20" s="105" t="s">
        <v>813</v>
      </c>
      <c r="G20" s="272"/>
      <c r="N20" s="117">
        <f t="shared" ref="N20:N30" si="2">IF(G20&lt;0, 1, 0)</f>
        <v>0</v>
      </c>
      <c r="O20" s="72">
        <f t="shared" ref="O20:O30" si="3">IF(OR(ISNUMBER(G20),ISBLANK(G20)),0,1)</f>
        <v>0</v>
      </c>
    </row>
    <row r="21" spans="1:15" x14ac:dyDescent="0.35">
      <c r="A21" s="72" cm="1">
        <f t="array" aca="1" ref="A21" ca="1">HYPERLINK(CONCATENATE("#",CELL("address",IF(SUM($O21:$O21)=0,A21,INDEX($O21:$O21,MATCH(1,$O21:$O21,0))))),SUM($O21:$O21))</f>
        <v>0</v>
      </c>
      <c r="B21" s="16"/>
      <c r="C21" s="16" t="s">
        <v>814</v>
      </c>
      <c r="D21" s="105" t="s">
        <v>815</v>
      </c>
      <c r="G21" s="272"/>
      <c r="N21" s="117">
        <f t="shared" si="2"/>
        <v>0</v>
      </c>
      <c r="O21" s="72">
        <f t="shared" si="3"/>
        <v>0</v>
      </c>
    </row>
    <row r="22" spans="1:15" x14ac:dyDescent="0.35">
      <c r="A22" s="72" cm="1">
        <f t="array" aca="1" ref="A22" ca="1">HYPERLINK(CONCATENATE("#",CELL("address",IF(SUM($O22:$O22)=0,A22,INDEX($O22:$O22,MATCH(1,$O22:$O22,0))))),SUM($O22:$O22))</f>
        <v>0</v>
      </c>
      <c r="B22" s="16"/>
      <c r="C22" s="16" t="s">
        <v>816</v>
      </c>
      <c r="D22" s="105" t="s">
        <v>817</v>
      </c>
      <c r="G22" s="272"/>
      <c r="N22" s="117">
        <f t="shared" si="2"/>
        <v>0</v>
      </c>
      <c r="O22" s="72">
        <f t="shared" si="3"/>
        <v>0</v>
      </c>
    </row>
    <row r="23" spans="1:15" x14ac:dyDescent="0.35">
      <c r="A23" s="72" cm="1">
        <f t="array" aca="1" ref="A23" ca="1">HYPERLINK(CONCATENATE("#",CELL("address",IF(SUM($O23:$O23)=0,A23,INDEX($O23:$O23,MATCH(1,$O23:$O23,0))))),SUM($O23:$O23))</f>
        <v>0</v>
      </c>
      <c r="B23" s="16"/>
      <c r="C23" s="16" t="s">
        <v>818</v>
      </c>
      <c r="D23" s="105" t="s">
        <v>819</v>
      </c>
      <c r="G23" s="272"/>
      <c r="N23" s="117">
        <f t="shared" si="2"/>
        <v>0</v>
      </c>
      <c r="O23" s="72">
        <f t="shared" si="3"/>
        <v>0</v>
      </c>
    </row>
    <row r="24" spans="1:15" x14ac:dyDescent="0.35">
      <c r="A24" s="72" cm="1">
        <f t="array" aca="1" ref="A24" ca="1">HYPERLINK(CONCATENATE("#",CELL("address",IF(SUM($O24:$O24)=0,A24,INDEX($O24:$O24,MATCH(1,$O24:$O24,0))))),SUM($O24:$O24))</f>
        <v>0</v>
      </c>
      <c r="B24" s="16"/>
      <c r="C24" s="16" t="s">
        <v>820</v>
      </c>
      <c r="D24" s="105" t="s">
        <v>821</v>
      </c>
      <c r="F24" s="86" t="s">
        <v>822</v>
      </c>
      <c r="G24" s="272"/>
      <c r="N24" s="117">
        <f>IF(G24&gt;0, 1, 0)</f>
        <v>0</v>
      </c>
      <c r="O24" s="72">
        <f t="shared" si="3"/>
        <v>0</v>
      </c>
    </row>
    <row r="25" spans="1:15" x14ac:dyDescent="0.35">
      <c r="A25" s="72" cm="1">
        <f t="array" aca="1" ref="A25" ca="1">HYPERLINK(CONCATENATE("#",CELL("address",IF(SUM($O25:$O25)=0,A25,INDEX($O25:$O25,MATCH(1,$O25:$O25,0))))),SUM($O25:$O25))</f>
        <v>0</v>
      </c>
      <c r="B25" s="16"/>
      <c r="C25" s="16" t="s">
        <v>823</v>
      </c>
      <c r="D25" s="105" t="s">
        <v>824</v>
      </c>
      <c r="G25" s="272"/>
      <c r="N25" s="117">
        <f t="shared" si="2"/>
        <v>0</v>
      </c>
      <c r="O25" s="72">
        <f t="shared" si="3"/>
        <v>0</v>
      </c>
    </row>
    <row r="26" spans="1:15" x14ac:dyDescent="0.35">
      <c r="A26" s="72" cm="1">
        <f t="array" aca="1" ref="A26" ca="1">HYPERLINK(CONCATENATE("#",CELL("address",IF(SUM($O26:$O26)=0,A26,INDEX($O26:$O26,MATCH(1,$O26:$O26,0))))),SUM($O26:$O26))</f>
        <v>0</v>
      </c>
      <c r="B26" s="16"/>
      <c r="C26" s="16" t="s">
        <v>825</v>
      </c>
      <c r="D26" s="105" t="s">
        <v>826</v>
      </c>
      <c r="G26" s="272"/>
      <c r="N26" s="117">
        <f t="shared" si="2"/>
        <v>0</v>
      </c>
      <c r="O26" s="72">
        <f t="shared" si="3"/>
        <v>0</v>
      </c>
    </row>
    <row r="27" spans="1:15" x14ac:dyDescent="0.35">
      <c r="A27" s="72" cm="1">
        <f t="array" aca="1" ref="A27" ca="1">HYPERLINK(CONCATENATE("#",CELL("address",IF(SUM($O27:$O27)=0,A27,INDEX($O27:$O27,MATCH(1,$O27:$O27,0))))),SUM($O27:$O27))</f>
        <v>0</v>
      </c>
      <c r="B27" s="16"/>
      <c r="C27" s="16" t="s">
        <v>827</v>
      </c>
      <c r="D27" s="105" t="s">
        <v>828</v>
      </c>
      <c r="G27" s="272"/>
      <c r="N27" s="117">
        <f t="shared" si="2"/>
        <v>0</v>
      </c>
      <c r="O27" s="72">
        <f t="shared" si="3"/>
        <v>0</v>
      </c>
    </row>
    <row r="28" spans="1:15" x14ac:dyDescent="0.35">
      <c r="A28" s="72" cm="1">
        <f t="array" aca="1" ref="A28" ca="1">HYPERLINK(CONCATENATE("#",CELL("address",IF(SUM($O28:$O28)=0,A28,INDEX($O28:$O28,MATCH(1,$O28:$O28,0))))),SUM($O28:$O28))</f>
        <v>0</v>
      </c>
      <c r="B28" s="16"/>
      <c r="C28" s="16" t="s">
        <v>829</v>
      </c>
      <c r="D28" s="105" t="s">
        <v>830</v>
      </c>
      <c r="G28" s="272"/>
      <c r="N28" s="117">
        <f t="shared" si="2"/>
        <v>0</v>
      </c>
      <c r="O28" s="72">
        <f t="shared" si="3"/>
        <v>0</v>
      </c>
    </row>
    <row r="29" spans="1:15" x14ac:dyDescent="0.35">
      <c r="A29" s="72" cm="1">
        <f t="array" aca="1" ref="A29" ca="1">HYPERLINK(CONCATENATE("#",CELL("address",IF(SUM($O29:$O29)=0,A29,INDEX($O29:$O29,MATCH(1,$O29:$O29,0))))),SUM($O29:$O29))</f>
        <v>0</v>
      </c>
      <c r="B29" s="16"/>
      <c r="C29" s="16" t="s">
        <v>831</v>
      </c>
      <c r="D29" s="105" t="s">
        <v>832</v>
      </c>
      <c r="G29" s="272"/>
      <c r="N29" s="117">
        <f t="shared" si="2"/>
        <v>0</v>
      </c>
      <c r="O29" s="72">
        <f t="shared" si="3"/>
        <v>0</v>
      </c>
    </row>
    <row r="30" spans="1:15" x14ac:dyDescent="0.35">
      <c r="A30" s="72" cm="1">
        <f t="array" aca="1" ref="A30" ca="1">HYPERLINK(CONCATENATE("#",CELL("address",IF(SUM($O30:$O30)=0,A30,INDEX($O30:$O30,MATCH(1,$O30:$O30,0))))),SUM($O30:$O30))</f>
        <v>0</v>
      </c>
      <c r="B30" s="16"/>
      <c r="C30" s="16" t="s">
        <v>833</v>
      </c>
      <c r="D30" s="26" t="s">
        <v>834</v>
      </c>
      <c r="G30" s="269">
        <f>SUM(G20:G29)</f>
        <v>0</v>
      </c>
      <c r="N30" s="117">
        <f t="shared" si="2"/>
        <v>0</v>
      </c>
      <c r="O30" s="72">
        <f t="shared" si="3"/>
        <v>0</v>
      </c>
    </row>
    <row r="31" spans="1:15" x14ac:dyDescent="0.35">
      <c r="B31" s="16"/>
      <c r="C31" s="16"/>
      <c r="D31" s="22"/>
      <c r="G31" s="14"/>
      <c r="O31" s="106"/>
    </row>
    <row r="32" spans="1:15" x14ac:dyDescent="0.35">
      <c r="A32" s="72" cm="1">
        <f t="array" aca="1" ref="A32" ca="1">HYPERLINK(CONCATENATE("#",CELL("address",IF(SUM($O32:$O32)=0,A32,INDEX($O32:$O32,MATCH(1,$O32:$O32,0))))),SUM($O32:$O32))</f>
        <v>0</v>
      </c>
      <c r="B32" s="16"/>
      <c r="C32" s="16"/>
      <c r="D32" s="26" t="s">
        <v>835</v>
      </c>
      <c r="G32" s="14"/>
      <c r="O32" s="106"/>
    </row>
    <row r="33" spans="1:15" x14ac:dyDescent="0.35">
      <c r="A33" s="72" cm="1">
        <f t="array" aca="1" ref="A33" ca="1">HYPERLINK(CONCATENATE("#",CELL("address",IF(SUM($O33:$O33)=0,A33,INDEX($O33:$O33,MATCH(1,$O33:$O33,0))))),SUM($O33:$O33))</f>
        <v>0</v>
      </c>
      <c r="B33" s="16"/>
      <c r="C33" s="16" t="s">
        <v>836</v>
      </c>
      <c r="D33" s="398" t="s">
        <v>837</v>
      </c>
      <c r="G33" s="272"/>
      <c r="N33" s="117">
        <f t="shared" ref="N33:N51" si="4">IF(G33&lt;0, 1, 0)</f>
        <v>0</v>
      </c>
      <c r="O33" s="72">
        <f t="shared" ref="O33:O51" si="5">IF(OR(ISNUMBER(G33),ISBLANK(G33)),0,1)</f>
        <v>0</v>
      </c>
    </row>
    <row r="34" spans="1:15" x14ac:dyDescent="0.35">
      <c r="A34" s="72" cm="1">
        <f t="array" aca="1" ref="A34" ca="1">HYPERLINK(CONCATENATE("#",CELL("address",IF(SUM($O34:$O34)=0,A34,INDEX($O34:$O34,MATCH(1,$O34:$O34,0))))),SUM($O34:$O34))</f>
        <v>0</v>
      </c>
      <c r="B34" s="16"/>
      <c r="C34" s="16" t="s">
        <v>838</v>
      </c>
      <c r="D34" s="398" t="s">
        <v>839</v>
      </c>
      <c r="E34" s="423" t="str">
        <f>HYPERLINK("#Miscellaneous!G134", "Loans")</f>
        <v>Loans</v>
      </c>
      <c r="G34" s="269">
        <f>Miscellaneous!G143</f>
        <v>0</v>
      </c>
      <c r="N34" s="117">
        <f t="shared" si="4"/>
        <v>0</v>
      </c>
      <c r="O34" s="72">
        <f t="shared" si="5"/>
        <v>0</v>
      </c>
    </row>
    <row r="35" spans="1:15" x14ac:dyDescent="0.35">
      <c r="A35" s="72" cm="1">
        <f t="array" aca="1" ref="A35" ca="1">HYPERLINK(CONCATENATE("#",CELL("address",IF(SUM($O35:$O35)=0,A35,INDEX($O35:$O35,MATCH(1,$O35:$O35,0))))),SUM($O35:$O35))</f>
        <v>0</v>
      </c>
      <c r="B35" s="16"/>
      <c r="C35" s="16" t="s">
        <v>840</v>
      </c>
      <c r="D35" s="398" t="s">
        <v>841</v>
      </c>
      <c r="E35" s="423" t="str">
        <f>HYPERLINK("#Miscellaneous!G139", "Loans")</f>
        <v>Loans</v>
      </c>
      <c r="G35" s="269">
        <f>Miscellaneous!G148</f>
        <v>0</v>
      </c>
      <c r="N35" s="117">
        <f t="shared" si="4"/>
        <v>0</v>
      </c>
      <c r="O35" s="72">
        <f t="shared" si="5"/>
        <v>0</v>
      </c>
    </row>
    <row r="36" spans="1:15" x14ac:dyDescent="0.35">
      <c r="A36" s="72" cm="1">
        <f t="array" aca="1" ref="A36" ca="1">HYPERLINK(CONCATENATE("#",CELL("address",IF(SUM($O36:$O36)=0,A36,INDEX($O36:$O36,MATCH(1,$O36:$O36,0))))),SUM($O36:$O36))</f>
        <v>0</v>
      </c>
      <c r="B36" s="16"/>
      <c r="C36" s="16" t="s">
        <v>842</v>
      </c>
      <c r="D36" s="398" t="s">
        <v>843</v>
      </c>
      <c r="G36" s="272"/>
      <c r="N36" s="117">
        <f t="shared" si="4"/>
        <v>0</v>
      </c>
      <c r="O36" s="72">
        <f t="shared" si="5"/>
        <v>0</v>
      </c>
    </row>
    <row r="37" spans="1:15" x14ac:dyDescent="0.35">
      <c r="A37" s="72" cm="1">
        <f t="array" aca="1" ref="A37" ca="1">HYPERLINK(CONCATENATE("#",CELL("address",IF(SUM($O37:$O37)=0,A37,INDEX($O37:$O37,MATCH(1,$O37:$O37,0))))),SUM($O37:$O37))</f>
        <v>0</v>
      </c>
      <c r="B37" s="16"/>
      <c r="C37" s="16" t="s">
        <v>844</v>
      </c>
      <c r="D37" s="398" t="s">
        <v>845</v>
      </c>
      <c r="G37" s="272"/>
      <c r="N37" s="117">
        <f t="shared" si="4"/>
        <v>0</v>
      </c>
      <c r="O37" s="72">
        <f t="shared" si="5"/>
        <v>0</v>
      </c>
    </row>
    <row r="38" spans="1:15" x14ac:dyDescent="0.35">
      <c r="A38" s="72" cm="1">
        <f t="array" aca="1" ref="A38" ca="1">HYPERLINK(CONCATENATE("#",CELL("address",IF(SUM($O38:$O38)=0,A38,INDEX($O38:$O38,MATCH(1,$O38:$O38,0))))),SUM($O38:$O38))</f>
        <v>0</v>
      </c>
      <c r="B38" s="403" t="s">
        <v>5</v>
      </c>
      <c r="C38" s="16" t="s">
        <v>846</v>
      </c>
      <c r="D38" s="402" t="s">
        <v>847</v>
      </c>
      <c r="G38" s="272"/>
      <c r="N38" s="117">
        <f t="shared" si="4"/>
        <v>0</v>
      </c>
      <c r="O38" s="72">
        <f t="shared" si="5"/>
        <v>0</v>
      </c>
    </row>
    <row r="39" spans="1:15" x14ac:dyDescent="0.35">
      <c r="A39" s="72" cm="1">
        <f t="array" aca="1" ref="A39" ca="1">HYPERLINK(CONCATENATE("#",CELL("address",IF(SUM($O39:$O39)=0,A39,INDEX($O39:$O39,MATCH(1,$O39:$O39,0))))),SUM($O39:$O39))</f>
        <v>0</v>
      </c>
      <c r="B39" s="16"/>
      <c r="C39" s="16" t="s">
        <v>848</v>
      </c>
      <c r="D39" s="398" t="s">
        <v>849</v>
      </c>
      <c r="G39" s="272"/>
      <c r="N39" s="117">
        <f t="shared" si="4"/>
        <v>0</v>
      </c>
      <c r="O39" s="72">
        <f t="shared" si="5"/>
        <v>0</v>
      </c>
    </row>
    <row r="40" spans="1:15" x14ac:dyDescent="0.35">
      <c r="A40" s="72" cm="1">
        <f t="array" aca="1" ref="A40" ca="1">HYPERLINK(CONCATENATE("#",CELL("address",IF(SUM($O40:$O40)=0,A40,INDEX($O40:$O40,MATCH(1,$O40:$O40,0))))),SUM($O40:$O40))</f>
        <v>0</v>
      </c>
      <c r="B40" s="16"/>
      <c r="C40" s="16" t="s">
        <v>850</v>
      </c>
      <c r="D40" s="398" t="s">
        <v>851</v>
      </c>
      <c r="G40" s="272"/>
      <c r="N40" s="117">
        <f t="shared" si="4"/>
        <v>0</v>
      </c>
      <c r="O40" s="72">
        <f t="shared" si="5"/>
        <v>0</v>
      </c>
    </row>
    <row r="41" spans="1:15" x14ac:dyDescent="0.35">
      <c r="A41" s="72" cm="1">
        <f t="array" aca="1" ref="A41" ca="1">HYPERLINK(CONCATENATE("#",CELL("address",IF(SUM($O41:$O41)=0,A41,INDEX($O41:$O41,MATCH(1,$O41:$O41,0))))),SUM($O41:$O41))</f>
        <v>0</v>
      </c>
      <c r="B41" s="16"/>
      <c r="C41" s="16" t="s">
        <v>852</v>
      </c>
      <c r="D41" s="398" t="s">
        <v>853</v>
      </c>
      <c r="G41" s="272"/>
      <c r="N41" s="117">
        <f t="shared" si="4"/>
        <v>0</v>
      </c>
      <c r="O41" s="72">
        <f t="shared" si="5"/>
        <v>0</v>
      </c>
    </row>
    <row r="42" spans="1:15" x14ac:dyDescent="0.35">
      <c r="A42" s="72" cm="1">
        <f t="array" aca="1" ref="A42" ca="1">HYPERLINK(CONCATENATE("#",CELL("address",IF(SUM($O42:$O42)=0,A42,INDEX($O42:$O42,MATCH(1,$O42:$O42,0))))),SUM($O42:$O42))</f>
        <v>0</v>
      </c>
      <c r="B42" s="16"/>
      <c r="C42" s="16" t="s">
        <v>854</v>
      </c>
      <c r="D42" s="398" t="s">
        <v>855</v>
      </c>
      <c r="G42" s="272"/>
      <c r="N42" s="117">
        <f t="shared" si="4"/>
        <v>0</v>
      </c>
      <c r="O42" s="72">
        <f t="shared" si="5"/>
        <v>0</v>
      </c>
    </row>
    <row r="43" spans="1:15" x14ac:dyDescent="0.35">
      <c r="A43" s="72" cm="1">
        <f t="array" aca="1" ref="A43" ca="1">HYPERLINK(CONCATENATE("#",CELL("address",IF(SUM($O43:$O43)=0,A43,INDEX($O43:$O43,MATCH(1,$O43:$O43,0))))),SUM($O43:$O43))</f>
        <v>0</v>
      </c>
      <c r="B43" s="16"/>
      <c r="C43" s="16" t="s">
        <v>856</v>
      </c>
      <c r="D43" s="112" t="s">
        <v>1918</v>
      </c>
      <c r="G43" s="272"/>
      <c r="N43" s="117">
        <f t="shared" si="4"/>
        <v>0</v>
      </c>
      <c r="O43" s="72">
        <f t="shared" si="5"/>
        <v>0</v>
      </c>
    </row>
    <row r="44" spans="1:15" x14ac:dyDescent="0.35">
      <c r="A44" s="72" cm="1">
        <f t="array" aca="1" ref="A44" ca="1">HYPERLINK(CONCATENATE("#",CELL("address",IF(SUM($O44:$O44)=0,A44,INDEX($O44:$O44,MATCH(1,$O44:$O44,0))))),SUM($O44:$O44))</f>
        <v>0</v>
      </c>
      <c r="B44" s="16"/>
      <c r="C44" s="16" t="s">
        <v>857</v>
      </c>
      <c r="D44" s="402" t="s">
        <v>858</v>
      </c>
      <c r="G44" s="272"/>
      <c r="N44" s="117">
        <f t="shared" si="4"/>
        <v>0</v>
      </c>
      <c r="O44" s="72">
        <f t="shared" si="5"/>
        <v>0</v>
      </c>
    </row>
    <row r="45" spans="1:15" x14ac:dyDescent="0.35">
      <c r="A45" s="72" cm="1">
        <f t="array" aca="1" ref="A45" ca="1">HYPERLINK(CONCATENATE("#",CELL("address",IF(SUM($O45:$O45)=0,A45,INDEX($O45:$O45,MATCH(1,$O45:$O45,0))))),SUM($O45:$O45))</f>
        <v>0</v>
      </c>
      <c r="B45" s="403" t="s">
        <v>5</v>
      </c>
      <c r="C45" s="16" t="s">
        <v>859</v>
      </c>
      <c r="D45" s="402" t="s">
        <v>860</v>
      </c>
      <c r="G45" s="272"/>
      <c r="N45" s="117">
        <f t="shared" si="4"/>
        <v>0</v>
      </c>
      <c r="O45" s="72">
        <f t="shared" si="5"/>
        <v>0</v>
      </c>
    </row>
    <row r="46" spans="1:15" x14ac:dyDescent="0.35">
      <c r="A46" s="72" cm="1">
        <f t="array" aca="1" ref="A46" ca="1">HYPERLINK(CONCATENATE("#",CELL("address",IF(SUM($O46:$O46)=0,A46,INDEX($O46:$O46,MATCH(1,$O46:$O46,0))))),SUM($O46:$O46))</f>
        <v>0</v>
      </c>
      <c r="B46" s="16"/>
      <c r="C46" s="16" t="s">
        <v>861</v>
      </c>
      <c r="D46" s="398" t="s">
        <v>862</v>
      </c>
      <c r="G46" s="272"/>
      <c r="N46" s="117">
        <f t="shared" si="4"/>
        <v>0</v>
      </c>
      <c r="O46" s="72">
        <f t="shared" si="5"/>
        <v>0</v>
      </c>
    </row>
    <row r="47" spans="1:15" x14ac:dyDescent="0.35">
      <c r="A47" s="72" cm="1">
        <f t="array" aca="1" ref="A47" ca="1">HYPERLINK(CONCATENATE("#",CELL("address",IF(SUM($O47:$O47)=0,A47,INDEX($O47:$O47,MATCH(1,$O47:$O47,0))))),SUM($O47:$O47))</f>
        <v>0</v>
      </c>
      <c r="B47" s="16"/>
      <c r="C47" s="16" t="s">
        <v>863</v>
      </c>
      <c r="D47" s="398" t="s">
        <v>864</v>
      </c>
      <c r="G47" s="272"/>
      <c r="N47" s="117">
        <f t="shared" si="4"/>
        <v>0</v>
      </c>
      <c r="O47" s="72">
        <f t="shared" si="5"/>
        <v>0</v>
      </c>
    </row>
    <row r="48" spans="1:15" x14ac:dyDescent="0.35">
      <c r="A48" s="72" cm="1">
        <f t="array" aca="1" ref="A48" ca="1">HYPERLINK(CONCATENATE("#",CELL("address",IF(SUM($O48:$O48)=0,A48,INDEX($O48:$O48,MATCH(1,$O48:$O48,0))))),SUM($O48:$O48))</f>
        <v>0</v>
      </c>
      <c r="B48" s="16"/>
      <c r="C48" s="16" t="s">
        <v>865</v>
      </c>
      <c r="D48" s="398" t="s">
        <v>866</v>
      </c>
      <c r="G48" s="272"/>
      <c r="N48" s="117">
        <f t="shared" si="4"/>
        <v>0</v>
      </c>
      <c r="O48" s="72">
        <f t="shared" si="5"/>
        <v>0</v>
      </c>
    </row>
    <row r="49" spans="1:15" x14ac:dyDescent="0.35">
      <c r="A49" s="72" cm="1">
        <f t="array" aca="1" ref="A49" ca="1">HYPERLINK(CONCATENATE("#",CELL("address",IF(SUM($O49:$O49)=0,A49,INDEX($O49:$O49,MATCH(1,$O49:$O49,0))))),SUM($O49:$O49))</f>
        <v>0</v>
      </c>
      <c r="B49" s="16"/>
      <c r="C49" s="16" t="s">
        <v>867</v>
      </c>
      <c r="D49" s="398" t="s">
        <v>868</v>
      </c>
      <c r="G49" s="272"/>
      <c r="N49" s="117">
        <f t="shared" si="4"/>
        <v>0</v>
      </c>
      <c r="O49" s="72">
        <f t="shared" si="5"/>
        <v>0</v>
      </c>
    </row>
    <row r="50" spans="1:15" x14ac:dyDescent="0.35">
      <c r="A50" s="72" cm="1">
        <f t="array" aca="1" ref="A50" ca="1">HYPERLINK(CONCATENATE("#",CELL("address",IF(SUM($O50:$O50)=0,A50,INDEX($O50:$O50,MATCH(1,$O50:$O50,0))))),SUM($O50:$O50))</f>
        <v>0</v>
      </c>
      <c r="B50" s="16"/>
      <c r="C50" s="16" t="s">
        <v>869</v>
      </c>
      <c r="D50" s="398" t="s">
        <v>870</v>
      </c>
      <c r="G50" s="272"/>
      <c r="N50" s="117">
        <f t="shared" si="4"/>
        <v>0</v>
      </c>
      <c r="O50" s="72">
        <f t="shared" si="5"/>
        <v>0</v>
      </c>
    </row>
    <row r="51" spans="1:15" x14ac:dyDescent="0.35">
      <c r="A51" s="72" cm="1">
        <f t="array" aca="1" ref="A51" ca="1">HYPERLINK(CONCATENATE("#",CELL("address",IF(SUM($O51:$O51)=0,A51,INDEX($O51:$O51,MATCH(1,$O51:$O51,0))))),SUM($O51:$O51))</f>
        <v>0</v>
      </c>
      <c r="B51" s="16"/>
      <c r="C51" s="16" t="s">
        <v>871</v>
      </c>
      <c r="D51" s="26" t="s">
        <v>872</v>
      </c>
      <c r="G51" s="269">
        <f>SUM(G33:G50)</f>
        <v>0</v>
      </c>
      <c r="N51" s="117">
        <f t="shared" si="4"/>
        <v>0</v>
      </c>
      <c r="O51" s="72">
        <f t="shared" si="5"/>
        <v>0</v>
      </c>
    </row>
    <row r="52" spans="1:15" x14ac:dyDescent="0.35">
      <c r="B52" s="16"/>
      <c r="C52" s="16"/>
      <c r="D52" s="22"/>
      <c r="G52" s="14"/>
      <c r="O52" s="106"/>
    </row>
    <row r="53" spans="1:15" x14ac:dyDescent="0.35">
      <c r="A53" s="72" cm="1">
        <f t="array" aca="1" ref="A53" ca="1">HYPERLINK(CONCATENATE("#",CELL("address",IF(SUM($O53:$O53)=0,A53,INDEX($O53:$O53,MATCH(1,$O53:$O53,0))))),SUM($O53:$O53))</f>
        <v>0</v>
      </c>
      <c r="B53" s="16"/>
      <c r="C53" s="16" t="s">
        <v>873</v>
      </c>
      <c r="D53" s="26" t="s">
        <v>874</v>
      </c>
      <c r="G53" s="269">
        <f>G30-G51</f>
        <v>0</v>
      </c>
      <c r="O53" s="72">
        <f>IF(OR(ISNUMBER(G53),ISBLANK(G53)),0,1)</f>
        <v>0</v>
      </c>
    </row>
    <row r="54" spans="1:15" x14ac:dyDescent="0.35">
      <c r="B54" s="16"/>
      <c r="C54" s="16"/>
      <c r="D54" s="24"/>
      <c r="G54" s="14"/>
      <c r="O54" s="106"/>
    </row>
    <row r="55" spans="1:15" x14ac:dyDescent="0.35">
      <c r="A55" s="72" cm="1">
        <f t="array" aca="1" ref="A55" ca="1">HYPERLINK(CONCATENATE("#",CELL("address",IF(SUM($O55:$O55)=0,A55,INDEX($O55:$O55,MATCH(1,$O55:$O55,0))))),SUM($O55:$O55))</f>
        <v>0</v>
      </c>
      <c r="B55" s="16"/>
      <c r="C55" s="16" t="s">
        <v>875</v>
      </c>
      <c r="D55" s="26" t="s">
        <v>876</v>
      </c>
      <c r="G55" s="269">
        <f>G17+G30-G51</f>
        <v>0</v>
      </c>
      <c r="O55" s="72">
        <f>IF(OR(ISNUMBER(G55),ISBLANK(G55)),0,1)</f>
        <v>0</v>
      </c>
    </row>
    <row r="56" spans="1:15" x14ac:dyDescent="0.35">
      <c r="B56" s="16"/>
      <c r="C56" s="16"/>
      <c r="D56" s="24"/>
      <c r="G56" s="14"/>
      <c r="O56" s="106"/>
    </row>
    <row r="57" spans="1:15" x14ac:dyDescent="0.35">
      <c r="A57" s="72" cm="1">
        <f t="array" aca="1" ref="A57" ca="1">HYPERLINK(CONCATENATE("#",CELL("address",IF(SUM($O57:$O57)=0,A57,INDEX($O57:$O57,MATCH(1,$O57:$O57,0))))),SUM($O57:$O57))</f>
        <v>0</v>
      </c>
      <c r="B57" s="16"/>
      <c r="C57" s="16"/>
      <c r="D57" s="26" t="s">
        <v>877</v>
      </c>
      <c r="G57" s="14"/>
      <c r="O57" s="106"/>
    </row>
    <row r="58" spans="1:15" x14ac:dyDescent="0.35">
      <c r="A58" s="72" cm="1">
        <f t="array" aca="1" ref="A58" ca="1">HYPERLINK(CONCATENATE("#",CELL("address",IF(SUM($O58:$O58)=0,A58,INDEX($O58:$O58,MATCH(1,$O58:$O58,0))))),SUM($O58:$O58))</f>
        <v>0</v>
      </c>
      <c r="B58" s="16"/>
      <c r="C58" s="16" t="s">
        <v>878</v>
      </c>
      <c r="D58" s="105" t="s">
        <v>839</v>
      </c>
      <c r="E58" s="423" t="str">
        <f>HYPERLINK("#Miscellaneous!G146", "Loans")</f>
        <v>Loans</v>
      </c>
      <c r="G58" s="269">
        <f>Miscellaneous!G155</f>
        <v>0</v>
      </c>
      <c r="N58" s="117">
        <f t="shared" ref="N58:N64" si="6">IF(G58&lt;0, 1, 0)</f>
        <v>0</v>
      </c>
      <c r="O58" s="72">
        <f t="shared" ref="O58:O64" si="7">IF(OR(ISNUMBER(G58),ISBLANK(G58)),0,1)</f>
        <v>0</v>
      </c>
    </row>
    <row r="59" spans="1:15" x14ac:dyDescent="0.35">
      <c r="A59" s="72" cm="1">
        <f t="array" aca="1" ref="A59" ca="1">HYPERLINK(CONCATENATE("#",CELL("address",IF(SUM($O59:$O59)=0,A59,INDEX($O59:$O59,MATCH(1,$O59:$O59,0))))),SUM($O59:$O59))</f>
        <v>0</v>
      </c>
      <c r="B59" s="16"/>
      <c r="C59" s="16" t="s">
        <v>879</v>
      </c>
      <c r="D59" s="105" t="s">
        <v>841</v>
      </c>
      <c r="E59" s="423" t="str">
        <f>HYPERLINK("#Miscellaneous!G151", "Loans")</f>
        <v>Loans</v>
      </c>
      <c r="G59" s="269">
        <f>Miscellaneous!G160</f>
        <v>0</v>
      </c>
      <c r="N59" s="117">
        <f t="shared" si="6"/>
        <v>0</v>
      </c>
      <c r="O59" s="72">
        <f t="shared" si="7"/>
        <v>0</v>
      </c>
    </row>
    <row r="60" spans="1:15" x14ac:dyDescent="0.35">
      <c r="A60" s="72" cm="1">
        <f t="array" aca="1" ref="A60" ca="1">HYPERLINK(CONCATENATE("#",CELL("address",IF(SUM($O60:$O60)=0,A60,INDEX($O60:$O60,MATCH(1,$O60:$O60,0))))),SUM($O60:$O60))</f>
        <v>0</v>
      </c>
      <c r="B60" s="16"/>
      <c r="C60" s="16" t="s">
        <v>880</v>
      </c>
      <c r="D60" s="105" t="s">
        <v>843</v>
      </c>
      <c r="G60" s="272"/>
      <c r="N60" s="117">
        <f t="shared" si="6"/>
        <v>0</v>
      </c>
      <c r="O60" s="72">
        <f t="shared" si="7"/>
        <v>0</v>
      </c>
    </row>
    <row r="61" spans="1:15" x14ac:dyDescent="0.35">
      <c r="A61" s="72" cm="1">
        <f t="array" aca="1" ref="A61" ca="1">HYPERLINK(CONCATENATE("#",CELL("address",IF(SUM($O61:$O61)=0,A61,INDEX($O61:$O61,MATCH(1,$O61:$O61,0))))),SUM($O61:$O61))</f>
        <v>0</v>
      </c>
      <c r="B61" s="16"/>
      <c r="C61" s="16" t="s">
        <v>881</v>
      </c>
      <c r="D61" s="105" t="s">
        <v>845</v>
      </c>
      <c r="G61" s="272"/>
      <c r="N61" s="117">
        <f t="shared" si="6"/>
        <v>0</v>
      </c>
      <c r="O61" s="72">
        <f t="shared" si="7"/>
        <v>0</v>
      </c>
    </row>
    <row r="62" spans="1:15" x14ac:dyDescent="0.35">
      <c r="A62" s="72" cm="1">
        <f t="array" aca="1" ref="A62" ca="1">HYPERLINK(CONCATENATE("#",CELL("address",IF(SUM($O62:$O62)=0,A62,INDEX($O62:$O62,MATCH(1,$O62:$O62,0))))),SUM($O62:$O62))</f>
        <v>0</v>
      </c>
      <c r="B62" s="16"/>
      <c r="C62" s="16" t="s">
        <v>882</v>
      </c>
      <c r="D62" s="398" t="s">
        <v>847</v>
      </c>
      <c r="G62" s="272"/>
      <c r="N62" s="117">
        <f t="shared" si="6"/>
        <v>0</v>
      </c>
      <c r="O62" s="72">
        <f t="shared" si="7"/>
        <v>0</v>
      </c>
    </row>
    <row r="63" spans="1:15" x14ac:dyDescent="0.35">
      <c r="A63" s="72" cm="1">
        <f t="array" aca="1" ref="A63" ca="1">HYPERLINK(CONCATENATE("#",CELL("address",IF(SUM($O63:$O63)=0,A63,INDEX($O63:$O63,MATCH(1,$O63:$O63,0))))),SUM($O63:$O63))</f>
        <v>0</v>
      </c>
      <c r="B63" s="16"/>
      <c r="C63" s="16" t="s">
        <v>883</v>
      </c>
      <c r="D63" s="105" t="s">
        <v>853</v>
      </c>
      <c r="G63" s="272"/>
      <c r="N63" s="117">
        <f t="shared" si="6"/>
        <v>0</v>
      </c>
      <c r="O63" s="72">
        <f t="shared" si="7"/>
        <v>0</v>
      </c>
    </row>
    <row r="64" spans="1:15" x14ac:dyDescent="0.35">
      <c r="A64" s="72" cm="1">
        <f t="array" aca="1" ref="A64" ca="1">HYPERLINK(CONCATENATE("#",CELL("address",IF(SUM($O64:$O64)=0,A64,INDEX($O64:$O64,MATCH(1,$O64:$O64,0))))),SUM($O64:$O64))</f>
        <v>0</v>
      </c>
      <c r="B64" s="16"/>
      <c r="C64" s="16" t="s">
        <v>884</v>
      </c>
      <c r="D64" s="26" t="s">
        <v>885</v>
      </c>
      <c r="G64" s="269">
        <f>SUM(G58:G63)</f>
        <v>0</v>
      </c>
      <c r="N64" s="117">
        <f t="shared" si="6"/>
        <v>0</v>
      </c>
      <c r="O64" s="72">
        <f t="shared" si="7"/>
        <v>0</v>
      </c>
    </row>
    <row r="65" spans="1:15" x14ac:dyDescent="0.35">
      <c r="B65" s="16"/>
      <c r="C65" s="16"/>
      <c r="D65" s="22"/>
      <c r="G65" s="14"/>
      <c r="O65" s="106"/>
    </row>
    <row r="66" spans="1:15" x14ac:dyDescent="0.35">
      <c r="A66" s="72" cm="1">
        <f t="array" aca="1" ref="A66" ca="1">HYPERLINK(CONCATENATE("#",CELL("address",IF(SUM($O66:$O66)=0,A66,INDEX($O66:$O66,MATCH(1,$O66:$O66,0))))),SUM($O66:$O66))</f>
        <v>0</v>
      </c>
      <c r="B66" s="16"/>
      <c r="C66" s="16"/>
      <c r="D66" s="77" t="s">
        <v>886</v>
      </c>
      <c r="G66" s="14"/>
      <c r="O66" s="106"/>
    </row>
    <row r="67" spans="1:15" x14ac:dyDescent="0.35">
      <c r="A67" s="72" cm="1">
        <f t="array" aca="1" ref="A67" ca="1">HYPERLINK(CONCATENATE("#",CELL("address",IF(SUM($O67:$O67)=0,A67,INDEX($O67:$O67,MATCH(1,$O67:$O67,0))))),SUM($O67:$O67))</f>
        <v>0</v>
      </c>
      <c r="B67" s="16"/>
      <c r="C67" s="16" t="s">
        <v>887</v>
      </c>
      <c r="D67" s="105" t="s">
        <v>888</v>
      </c>
      <c r="E67" s="423" t="str">
        <f>HYPERLINK("#Miscellaneous!G57", "LGPS")</f>
        <v>LGPS</v>
      </c>
      <c r="G67" s="269">
        <f>Miscellaneous!G58</f>
        <v>0</v>
      </c>
      <c r="N67" s="117">
        <f>IF(G67&lt;0, 1, 0)</f>
        <v>0</v>
      </c>
      <c r="O67" s="72">
        <f>IF(OR(ISNUMBER(G67),ISBLANK(G67)),0,1)</f>
        <v>0</v>
      </c>
    </row>
    <row r="68" spans="1:15" x14ac:dyDescent="0.35">
      <c r="A68" s="72" cm="1">
        <f t="array" aca="1" ref="A68" ca="1">HYPERLINK(CONCATENATE("#",CELL("address",IF(SUM($O68:$O68)=0,A68,INDEX($O68:$O68,MATCH(1,$O68:$O68,0))))),SUM($O68:$O68))</f>
        <v>0</v>
      </c>
      <c r="B68" s="16"/>
      <c r="C68" s="16" t="s">
        <v>889</v>
      </c>
      <c r="D68" s="105" t="s">
        <v>890</v>
      </c>
      <c r="E68" s="423" t="str">
        <f>HYPERLINK("#Miscellaneous!G66", "EPP")</f>
        <v>EPP</v>
      </c>
      <c r="G68" s="269">
        <f>Miscellaneous!G67</f>
        <v>0</v>
      </c>
      <c r="N68" s="117">
        <f>IF(G68&lt;0, 1, 0)</f>
        <v>0</v>
      </c>
      <c r="O68" s="72">
        <f>IF(OR(ISNUMBER(G68),ISBLANK(G68)),0,1)</f>
        <v>0</v>
      </c>
    </row>
    <row r="69" spans="1:15" x14ac:dyDescent="0.35">
      <c r="A69" s="72" cm="1">
        <f t="array" aca="1" ref="A69" ca="1">HYPERLINK(CONCATENATE("#",CELL("address",IF(SUM($O69:$O69)=0,A69,INDEX($O69:$O69,MATCH(1,$O69:$O69,0))))),SUM($O69:$O69))</f>
        <v>0</v>
      </c>
      <c r="B69" s="16"/>
      <c r="C69" s="16" t="s">
        <v>891</v>
      </c>
      <c r="D69" s="105" t="s">
        <v>892</v>
      </c>
      <c r="E69" s="423" t="str">
        <f>HYPERLINK("#Miscellaneous!G76", "OPP")</f>
        <v>OPP</v>
      </c>
      <c r="G69" s="269">
        <f>Miscellaneous!G77</f>
        <v>0</v>
      </c>
      <c r="N69" s="117">
        <f>IF(G69&lt;0, 1, 0)</f>
        <v>0</v>
      </c>
      <c r="O69" s="72">
        <f>IF(OR(ISNUMBER(G69),ISBLANK(G69)),0,1)</f>
        <v>0</v>
      </c>
    </row>
    <row r="70" spans="1:15" x14ac:dyDescent="0.35">
      <c r="A70" s="72" cm="1">
        <f t="array" aca="1" ref="A70" ca="1">HYPERLINK(CONCATENATE("#",CELL("address",IF(SUM($O70:$O70)=0,A70,INDEX($O70:$O70,MATCH(1,$O70:$O70,0))))),SUM($O70:$O70))</f>
        <v>0</v>
      </c>
      <c r="B70" s="16"/>
      <c r="C70" s="16" t="s">
        <v>893</v>
      </c>
      <c r="D70" s="105" t="s">
        <v>894</v>
      </c>
      <c r="G70" s="272"/>
      <c r="N70" s="117">
        <f>IF(G70&lt;0, 1, 0)</f>
        <v>0</v>
      </c>
      <c r="O70" s="72">
        <f>IF(OR(ISNUMBER(G70),ISBLANK(G70)),0,1)</f>
        <v>0</v>
      </c>
    </row>
    <row r="71" spans="1:15" x14ac:dyDescent="0.35">
      <c r="A71" s="72" cm="1">
        <f t="array" aca="1" ref="A71" ca="1">HYPERLINK(CONCATENATE("#",CELL("address",IF(SUM($O71:$O71)=0,A71,INDEX($O71:$O71,MATCH(1,$O71:$O71,0))))),SUM($O71:$O71))</f>
        <v>0</v>
      </c>
      <c r="B71" s="16"/>
      <c r="C71" s="16" t="s">
        <v>895</v>
      </c>
      <c r="D71" s="77" t="s">
        <v>896</v>
      </c>
      <c r="G71" s="269">
        <f>SUM(G67:G70)</f>
        <v>0</v>
      </c>
      <c r="N71" s="117">
        <f>IF(G71&lt;0, 1, 0)</f>
        <v>0</v>
      </c>
      <c r="O71" s="72">
        <f>IF(OR(ISNUMBER(G71),ISBLANK(G71)),0,1)</f>
        <v>0</v>
      </c>
    </row>
    <row r="72" spans="1:15" s="15" customFormat="1" x14ac:dyDescent="0.35">
      <c r="A72" s="14"/>
      <c r="B72" s="16"/>
      <c r="C72" s="16"/>
      <c r="D72" s="107"/>
      <c r="G72" s="14"/>
      <c r="N72"/>
      <c r="O72" s="108"/>
    </row>
    <row r="73" spans="1:15" x14ac:dyDescent="0.35">
      <c r="A73" s="72" cm="1">
        <f t="array" aca="1" ref="A73" ca="1">HYPERLINK(CONCATENATE("#",CELL("address",IF(SUM($O73:$O73)=0,A73,INDEX($O73:$O73,MATCH(1,$O73:$O73,0))))),SUM($O73:$O73))</f>
        <v>0</v>
      </c>
      <c r="B73" s="16"/>
      <c r="C73" s="16" t="s">
        <v>897</v>
      </c>
      <c r="D73" s="77" t="s">
        <v>898</v>
      </c>
      <c r="G73" s="269">
        <f>G55-G64-G71</f>
        <v>0</v>
      </c>
      <c r="O73" s="72">
        <f>IF(OR(ISNUMBER(G73),ISBLANK(G73)),0,1)</f>
        <v>0</v>
      </c>
    </row>
    <row r="74" spans="1:15" x14ac:dyDescent="0.35">
      <c r="B74" s="16"/>
      <c r="C74" s="16"/>
      <c r="D74" s="107"/>
      <c r="G74" s="14"/>
      <c r="O74" s="106"/>
    </row>
    <row r="75" spans="1:15" x14ac:dyDescent="0.35">
      <c r="A75" s="72" cm="1">
        <f t="array" aca="1" ref="A75" ca="1">HYPERLINK(CONCATENATE("#",CELL("address",IF(SUM($O75:$O75)=0,A75,INDEX($O75:$O75,MATCH(1,$O75:$O75,0))))),SUM($O75:$O75))</f>
        <v>0</v>
      </c>
      <c r="B75" s="16"/>
      <c r="C75" s="16"/>
      <c r="D75" s="77" t="s">
        <v>899</v>
      </c>
      <c r="G75" s="14"/>
      <c r="O75" s="106"/>
    </row>
    <row r="76" spans="1:15" x14ac:dyDescent="0.35">
      <c r="A76" s="72" cm="1">
        <f t="array" aca="1" ref="A76" ca="1">HYPERLINK(CONCATENATE("#",CELL("address",IF(SUM($O76:$O76)=0,A76,INDEX($O76:$O76,MATCH(1,$O76:$O76,0))))),SUM($O76:$O76))</f>
        <v>0</v>
      </c>
      <c r="B76" s="16"/>
      <c r="C76" s="16" t="s">
        <v>900</v>
      </c>
      <c r="D76" s="105" t="s">
        <v>901</v>
      </c>
      <c r="G76" s="272"/>
      <c r="N76" s="117">
        <f>IF(G76&lt;0, 1, 0)</f>
        <v>0</v>
      </c>
      <c r="O76" s="72">
        <f>IF(OR(ISNUMBER(G76),ISBLANK(G76)),0,1)</f>
        <v>0</v>
      </c>
    </row>
    <row r="77" spans="1:15" x14ac:dyDescent="0.35">
      <c r="A77" s="72" cm="1">
        <f t="array" aca="1" ref="A77" ca="1">HYPERLINK(CONCATENATE("#",CELL("address",IF(SUM($O77:$O77)=0,A77,INDEX($O77:$O77,MATCH(1,$O77:$O77,0))))),SUM($O77:$O77))</f>
        <v>0</v>
      </c>
      <c r="B77" s="16"/>
      <c r="C77" s="16" t="s">
        <v>902</v>
      </c>
      <c r="D77" s="105" t="s">
        <v>903</v>
      </c>
      <c r="G77" s="272"/>
      <c r="N77" s="117">
        <f>IF(G77&lt;0, 1, 0)</f>
        <v>0</v>
      </c>
      <c r="O77" s="72">
        <f>IF(OR(ISNUMBER(G77),ISBLANK(G77)),0,1)</f>
        <v>0</v>
      </c>
    </row>
    <row r="78" spans="1:15" x14ac:dyDescent="0.35">
      <c r="A78" s="72" cm="1">
        <f t="array" aca="1" ref="A78" ca="1">HYPERLINK(CONCATENATE("#",CELL("address",IF(SUM($O78:$O78)=0,A78,INDEX($O78:$O78,MATCH(1,$O78:$O78,0))))),SUM($O78:$O78))</f>
        <v>0</v>
      </c>
      <c r="B78" s="16"/>
      <c r="C78" s="16" t="s">
        <v>904</v>
      </c>
      <c r="D78" s="105" t="s">
        <v>905</v>
      </c>
      <c r="E78" s="423" t="str">
        <f>HYPERLINK("#Miscellaneous!G41", "I&amp;E Reserve")</f>
        <v>I&amp;E Reserve</v>
      </c>
      <c r="G78" s="269">
        <f ca="1">Miscellaneous!G41</f>
        <v>0</v>
      </c>
      <c r="N78" s="117">
        <f ca="1">IF(G78&lt;0, 1, 0)</f>
        <v>0</v>
      </c>
      <c r="O78" s="72">
        <f ca="1">IF(OR(ISNUMBER(G78),ISBLANK(G78)),0,1)</f>
        <v>0</v>
      </c>
    </row>
    <row r="79" spans="1:15" x14ac:dyDescent="0.35">
      <c r="A79" s="72" cm="1">
        <f t="array" aca="1" ref="A79" ca="1">HYPERLINK(CONCATENATE("#",CELL("address",IF(SUM($O79:$O79)=0,A79,INDEX($O79:$O79,MATCH(1,$O79:$O79,0))))),SUM($O79:$O79))</f>
        <v>0</v>
      </c>
      <c r="B79" s="16"/>
      <c r="C79" s="16" t="s">
        <v>906</v>
      </c>
      <c r="D79" s="26" t="s">
        <v>907</v>
      </c>
      <c r="G79" s="269">
        <f ca="1">SUM(G76:G78)</f>
        <v>0</v>
      </c>
      <c r="N79" s="117">
        <f ca="1">IF(G79&lt;0, 1, 0)</f>
        <v>0</v>
      </c>
      <c r="O79" s="72">
        <f ca="1">IF(OR(ISNUMBER(G79),ISBLANK(G79)),0,1)</f>
        <v>0</v>
      </c>
    </row>
    <row r="80" spans="1:15" x14ac:dyDescent="0.35">
      <c r="B80" s="16"/>
      <c r="C80" s="16"/>
      <c r="D80" s="22"/>
      <c r="G80" s="14"/>
      <c r="O80" s="106"/>
    </row>
    <row r="81" spans="1:16" x14ac:dyDescent="0.35">
      <c r="A81" s="72" cm="1">
        <f t="array" aca="1" ref="A81" ca="1">HYPERLINK(CONCATENATE("#",CELL("address",IF(SUM($O81:$P81)=0,A81,INDEX($O81:$P81,MATCH(1,$O81:$P81,0))))),SUM($O81:$P81))</f>
        <v>0</v>
      </c>
      <c r="B81" s="16"/>
      <c r="C81" s="16"/>
      <c r="D81" s="26" t="s">
        <v>908</v>
      </c>
      <c r="G81" s="273">
        <f ca="1">(G55-G64-G71-G79)</f>
        <v>0</v>
      </c>
      <c r="O81" s="72">
        <f ca="1">IF(OR(ISNUMBER(G81),ISBLANK(G81)),0,1)</f>
        <v>0</v>
      </c>
      <c r="P81" s="116">
        <f ca="1">IF(ABS(G81)&gt;Parameters!$D$14, 1, 0)</f>
        <v>0</v>
      </c>
    </row>
    <row r="82" spans="1:16" x14ac:dyDescent="0.35">
      <c r="B82" s="16"/>
      <c r="C82" s="16"/>
      <c r="D82" s="24"/>
      <c r="G82" s="14"/>
      <c r="O82" s="106"/>
    </row>
    <row r="84" spans="1:16" x14ac:dyDescent="0.35">
      <c r="C84" s="16" t="s">
        <v>909</v>
      </c>
      <c r="D84" s="83" t="s">
        <v>382</v>
      </c>
    </row>
    <row r="85" spans="1:16" x14ac:dyDescent="0.35">
      <c r="D85" s="502"/>
      <c r="E85" s="503"/>
      <c r="F85" s="503"/>
      <c r="G85" s="504"/>
    </row>
    <row r="86" spans="1:16" x14ac:dyDescent="0.35">
      <c r="D86" s="505"/>
      <c r="E86" s="506"/>
      <c r="F86" s="506"/>
      <c r="G86" s="507"/>
    </row>
    <row r="87" spans="1:16" x14ac:dyDescent="0.35">
      <c r="D87" s="505"/>
      <c r="E87" s="506"/>
      <c r="F87" s="506"/>
      <c r="G87" s="507"/>
    </row>
    <row r="88" spans="1:16" x14ac:dyDescent="0.35">
      <c r="D88" s="505"/>
      <c r="E88" s="506"/>
      <c r="F88" s="506"/>
      <c r="G88" s="507"/>
    </row>
    <row r="89" spans="1:16" x14ac:dyDescent="0.35">
      <c r="D89" s="505"/>
      <c r="E89" s="506"/>
      <c r="F89" s="506"/>
      <c r="G89" s="507"/>
    </row>
    <row r="90" spans="1:16" x14ac:dyDescent="0.35">
      <c r="D90" s="505"/>
      <c r="E90" s="506"/>
      <c r="F90" s="506"/>
      <c r="G90" s="507"/>
    </row>
    <row r="91" spans="1:16" x14ac:dyDescent="0.35">
      <c r="D91" s="505"/>
      <c r="E91" s="506"/>
      <c r="F91" s="506"/>
      <c r="G91" s="507"/>
    </row>
    <row r="92" spans="1:16" x14ac:dyDescent="0.35">
      <c r="D92" s="508"/>
      <c r="E92" s="509"/>
      <c r="F92" s="509"/>
      <c r="G92" s="510"/>
    </row>
  </sheetData>
  <sheetProtection algorithmName="SHA-512" hashValue="CO9Bt+hZyN7XjvAqPq6LNDAnuteLHLhTWqsoFrA3A1FXw/qiE9wCSdR6bKqaO+hdIrKOXX/++N9suLlUVYZj/Q==" saltValue="KVnVvzJcTrpqIU7kkXFzrw==" spinCount="100000" sheet="1" objects="1" scenarios="1"/>
  <mergeCells count="1">
    <mergeCell ref="D85:G92"/>
  </mergeCells>
  <conditionalFormatting sqref="A1:A2">
    <cfRule type="cellIs" dxfId="128" priority="1" operator="equal">
      <formula>0</formula>
    </cfRule>
    <cfRule type="cellIs" dxfId="127" priority="2" operator="greaterThan">
      <formula>0</formula>
    </cfRule>
  </conditionalFormatting>
  <conditionalFormatting sqref="A10:A17 A19:A30 A32:A51 A53 A55 A57:A64 A75:A79 A81">
    <cfRule type="cellIs" dxfId="126" priority="59" operator="equal">
      <formula>0</formula>
    </cfRule>
    <cfRule type="cellIs" dxfId="125" priority="60" operator="greaterThan">
      <formula>0</formula>
    </cfRule>
  </conditionalFormatting>
  <conditionalFormatting sqref="A66:A71 A73">
    <cfRule type="cellIs" dxfId="124" priority="55" operator="equal">
      <formula>0</formula>
    </cfRule>
    <cfRule type="cellIs" dxfId="123" priority="56" operator="greaterThan">
      <formula>0</formula>
    </cfRule>
  </conditionalFormatting>
  <conditionalFormatting sqref="N3">
    <cfRule type="cellIs" dxfId="122" priority="13" operator="greaterThan">
      <formula>0</formula>
    </cfRule>
    <cfRule type="cellIs" dxfId="121" priority="14" operator="equal">
      <formula>0</formula>
    </cfRule>
  </conditionalFormatting>
  <conditionalFormatting sqref="N10:N17">
    <cfRule type="cellIs" dxfId="120" priority="35" operator="greaterThan">
      <formula>0</formula>
    </cfRule>
  </conditionalFormatting>
  <conditionalFormatting sqref="N20:N30">
    <cfRule type="cellIs" dxfId="119" priority="11" operator="greaterThan">
      <formula>0</formula>
    </cfRule>
  </conditionalFormatting>
  <conditionalFormatting sqref="N33:N51">
    <cfRule type="cellIs" dxfId="118" priority="9" operator="greaterThan">
      <formula>0</formula>
    </cfRule>
  </conditionalFormatting>
  <conditionalFormatting sqref="N58:N64 N67:N71">
    <cfRule type="cellIs" dxfId="117" priority="5" operator="greaterThan">
      <formula>0</formula>
    </cfRule>
  </conditionalFormatting>
  <conditionalFormatting sqref="N76:N79">
    <cfRule type="cellIs" dxfId="116" priority="3" operator="greaterThan">
      <formula>0</formula>
    </cfRule>
  </conditionalFormatting>
  <conditionalFormatting sqref="N10:O17">
    <cfRule type="cellIs" dxfId="115" priority="36" operator="equal">
      <formula>0</formula>
    </cfRule>
  </conditionalFormatting>
  <conditionalFormatting sqref="N20:O30">
    <cfRule type="cellIs" dxfId="114" priority="12" operator="equal">
      <formula>0</formula>
    </cfRule>
  </conditionalFormatting>
  <conditionalFormatting sqref="N33:O51">
    <cfRule type="cellIs" dxfId="113" priority="10" operator="equal">
      <formula>0</formula>
    </cfRule>
  </conditionalFormatting>
  <conditionalFormatting sqref="N58:O64 N67:O71">
    <cfRule type="cellIs" dxfId="112" priority="6" operator="equal">
      <formula>0</formula>
    </cfRule>
  </conditionalFormatting>
  <conditionalFormatting sqref="N76:O79">
    <cfRule type="cellIs" dxfId="111" priority="4" operator="equal">
      <formula>0</formula>
    </cfRule>
  </conditionalFormatting>
  <conditionalFormatting sqref="O10:O17 O20:O30 O33:O51 O53 O55 O58:O64 O67:O71 O73 O76:O79 O81:P81">
    <cfRule type="cellIs" dxfId="110" priority="52" operator="greaterThan">
      <formula>0</formula>
    </cfRule>
  </conditionalFormatting>
  <conditionalFormatting sqref="O53 O55 O73 O81:P81">
    <cfRule type="cellIs" dxfId="109" priority="51" operator="equal">
      <formula>0</formula>
    </cfRule>
  </conditionalFormatting>
  <dataValidations count="7">
    <dataValidation type="custom" allowBlank="1" showInputMessage="1" showErrorMessage="1" error="Please enter text" sqref="D85" xr:uid="{3E03B978-1FB1-4D2F-8C88-EB9A3EC9B0F3}">
      <formula1>ISTEXT(D85)</formula1>
    </dataValidation>
    <dataValidation allowBlank="1" showInputMessage="1" promptTitle="Input Validation Check" prompt="Flags where a cell contains invalid characters, such as full stops, dashes and spaces._x000a_" sqref="O2" xr:uid="{B3D336B7-8FE0-40C3-BA06-F3D24A6B638A}"/>
    <dataValidation allowBlank="1" showInputMessage="1" promptTitle="Balance check" prompt="Triggers an error if the balance sheet does not balance by more than 0.5 (£500)" sqref="P2" xr:uid="{92E4E0EB-4987-4A55-9C5C-38CE0D019264}"/>
    <dataValidation allowBlank="1" showInputMessage="1" promptTitle="Sign Warning" prompt="The sign flag checks for unexpected input signs._x000a__x000a_Both expenditure and income lines on the I&amp;E should be entered as positives in base scenario as follows:_x000a_Credit income: +ve (Cr.)_x000a_Debit expense: +ve (Dr.)" sqref="N2" xr:uid="{A0DC997D-65D4-4ACB-807D-45315A90E88B}"/>
    <dataValidation allowBlank="1" showErrorMessage="1" sqref="G45 G38" xr:uid="{9CC1DCAF-6643-4413-912F-D36A7B9472F6}"/>
    <dataValidation allowBlank="1" showInputMessage="1" promptTitle=" Text" prompt="Text" sqref="B38" xr:uid="{35ACFAFB-ACBE-4640-987A-7667BBDF4F09}"/>
    <dataValidation allowBlank="1" showInputMessage="1" sqref="B45" xr:uid="{2B793951-DBB0-408D-9658-946DBBE9F699}"/>
  </dataValidation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6EA1D-4288-4EAC-844B-1EC4F1676572}">
  <sheetPr codeName="Sheet13">
    <tabColor rgb="FFFFFF00"/>
  </sheetPr>
  <dimension ref="A1:P76"/>
  <sheetViews>
    <sheetView showGridLines="0" zoomScaleNormal="100" workbookViewId="0">
      <pane ySplit="6" topLeftCell="A7" activePane="bottomLeft" state="frozen"/>
      <selection activeCell="B29" sqref="B29"/>
      <selection pane="bottomLeft"/>
    </sheetView>
  </sheetViews>
  <sheetFormatPr defaultRowHeight="14.5" x14ac:dyDescent="0.35"/>
  <cols>
    <col min="1" max="1" width="10.1796875" customWidth="1"/>
    <col min="2" max="2" width="7" customWidth="1"/>
    <col min="4" max="4" width="60.453125" bestFit="1" customWidth="1"/>
    <col min="5" max="5" width="18.453125" bestFit="1" customWidth="1"/>
    <col min="6" max="6" width="3" customWidth="1"/>
    <col min="8" max="13" width="2" customWidth="1"/>
    <col min="15" max="15" width="17.81640625" customWidth="1"/>
    <col min="16" max="16" width="9.7265625" customWidth="1"/>
  </cols>
  <sheetData>
    <row r="1" spans="1:16" x14ac:dyDescent="0.35">
      <c r="A1" s="147">
        <f ca="1">ToC!A1</f>
        <v>0</v>
      </c>
      <c r="B1" s="2" t="s">
        <v>910</v>
      </c>
      <c r="C1" s="2"/>
      <c r="D1" s="2">
        <f>'Cover sheet'!E8</f>
        <v>0</v>
      </c>
      <c r="E1" s="2"/>
      <c r="F1" s="2"/>
      <c r="G1" s="2"/>
      <c r="O1" s="14" t="s">
        <v>466</v>
      </c>
      <c r="P1" t="s">
        <v>911</v>
      </c>
    </row>
    <row r="2" spans="1:16" x14ac:dyDescent="0.35">
      <c r="A2" s="72" cm="1">
        <f t="array" aca="1" ref="A2" ca="1">HYPERLINK(CONCATENATE("#",CELL("address",IF(SUM(A$6:A$202)=0,$A$2,INDEX(A$6:A$202,MATCH(1,A$6:A$202,0))))),SUM(A$6:A$202))</f>
        <v>0</v>
      </c>
      <c r="B2" s="2"/>
      <c r="C2" s="2"/>
      <c r="D2" s="2"/>
      <c r="E2" s="2"/>
      <c r="F2" s="2"/>
      <c r="G2" s="2"/>
      <c r="O2" s="81" t="s">
        <v>5</v>
      </c>
      <c r="P2" s="81" t="s">
        <v>5</v>
      </c>
    </row>
    <row r="3" spans="1:16" x14ac:dyDescent="0.35">
      <c r="A3" s="111" t="str" cm="1">
        <f t="array" aca="1" ref="A3" ca="1">HYPERLINK(CONCATENATE("#",CELL("address",ToC!$A$1)),ToC!$C$1)</f>
        <v>TOC</v>
      </c>
      <c r="B3" s="111"/>
      <c r="C3" s="2"/>
      <c r="D3" s="2"/>
      <c r="E3" s="2"/>
      <c r="F3" s="2"/>
      <c r="G3" s="2"/>
    </row>
    <row r="4" spans="1:16" x14ac:dyDescent="0.35">
      <c r="A4" s="2"/>
      <c r="B4" s="2"/>
      <c r="C4" s="2"/>
      <c r="D4" s="2"/>
      <c r="E4" s="2"/>
      <c r="F4" s="2"/>
      <c r="G4" s="37" t="str">
        <f>'Cover sheet'!E17</f>
        <v>FY2025</v>
      </c>
    </row>
    <row r="5" spans="1:16" x14ac:dyDescent="0.35">
      <c r="A5" s="2" t="s">
        <v>7</v>
      </c>
      <c r="B5" s="2"/>
      <c r="C5" s="2" t="s">
        <v>8</v>
      </c>
      <c r="D5" s="2" t="s">
        <v>9</v>
      </c>
      <c r="E5" s="411" t="s">
        <v>793</v>
      </c>
      <c r="F5" s="2"/>
      <c r="G5" s="37" t="s">
        <v>134</v>
      </c>
    </row>
    <row r="6" spans="1:16" x14ac:dyDescent="0.35">
      <c r="A6" s="58"/>
      <c r="B6" s="73" t="s">
        <v>469</v>
      </c>
      <c r="C6" s="83"/>
      <c r="D6" s="14"/>
      <c r="F6" s="14"/>
      <c r="G6" s="14"/>
    </row>
    <row r="7" spans="1:16" x14ac:dyDescent="0.35">
      <c r="A7" s="5"/>
      <c r="B7" s="5"/>
      <c r="C7" s="201"/>
      <c r="D7" s="5" t="s">
        <v>910</v>
      </c>
      <c r="E7" s="5"/>
      <c r="F7" s="5"/>
      <c r="G7" s="5"/>
    </row>
    <row r="9" spans="1:16" x14ac:dyDescent="0.35">
      <c r="D9" s="36" t="s">
        <v>912</v>
      </c>
    </row>
    <row r="10" spans="1:16" x14ac:dyDescent="0.35">
      <c r="A10" s="72" cm="1">
        <f t="array" aca="1" ref="A10" ca="1">HYPERLINK(CONCATENATE("#",CELL("address",IF(SUM($O10:$P10)=0,A10,INDEX($O10:$P10,MATCH(1,$O10:$P10,0))))),SUM($O10:$P10))</f>
        <v>0</v>
      </c>
      <c r="C10" s="128" t="s">
        <v>700</v>
      </c>
      <c r="D10" t="s">
        <v>913</v>
      </c>
      <c r="G10" s="269">
        <f ca="1">SOCI!G40</f>
        <v>0</v>
      </c>
      <c r="O10" s="72">
        <f ca="1">IF(OR(ISNUMBER(G10),ISBLANK(G10)),0,1)</f>
        <v>0</v>
      </c>
    </row>
    <row r="11" spans="1:16" x14ac:dyDescent="0.35">
      <c r="C11" s="135"/>
      <c r="D11" s="36" t="s">
        <v>914</v>
      </c>
    </row>
    <row r="12" spans="1:16" x14ac:dyDescent="0.35">
      <c r="A12" s="72" cm="1">
        <f t="array" aca="1" ref="A12" ca="1">HYPERLINK(CONCATENATE("#",CELL("address",IF(SUM($O12:$P12)=0,A12,INDEX($O12:$P12,MATCH(1,$O12:$P12,0))))),SUM($O12:$P12))</f>
        <v>0</v>
      </c>
      <c r="C12" s="128" t="s">
        <v>915</v>
      </c>
      <c r="D12" t="s">
        <v>674</v>
      </c>
      <c r="E12" s="424" t="str">
        <f>HYPERLINK("#'I&amp;E'!G147", LEFT('I&amp;E'!D144, 12))</f>
        <v>Depreciation</v>
      </c>
      <c r="G12" s="269">
        <f>'I&amp;E'!G144</f>
        <v>0</v>
      </c>
      <c r="O12" s="72">
        <f t="shared" ref="O12:O27" si="0">IF(OR(ISNUMBER(G12),ISBLANK(G12)),0,1)</f>
        <v>0</v>
      </c>
    </row>
    <row r="13" spans="1:16" x14ac:dyDescent="0.35">
      <c r="A13" s="72" cm="1">
        <f t="array" aca="1" ref="A13" ca="1">HYPERLINK(CONCATENATE("#",CELL("address",IF(SUM($O13:$P13)=0,A13,INDEX($O13:$P13,MATCH(1,$O13:$P13,0))))),SUM($O13:$P13))</f>
        <v>0</v>
      </c>
      <c r="C13" s="128" t="s">
        <v>916</v>
      </c>
      <c r="D13" t="s">
        <v>682</v>
      </c>
      <c r="E13" s="424" t="str">
        <f>HYPERLINK("#'I&amp;E'!G151", 'I&amp;E'!D148)</f>
        <v>Taxation</v>
      </c>
      <c r="G13" s="269">
        <f>'I&amp;E'!G148</f>
        <v>0</v>
      </c>
      <c r="O13" s="72">
        <f t="shared" si="0"/>
        <v>0</v>
      </c>
    </row>
    <row r="14" spans="1:16" x14ac:dyDescent="0.35">
      <c r="A14" s="72" cm="1">
        <f t="array" aca="1" ref="A14" ca="1">HYPERLINK(CONCATENATE("#",CELL("address",IF(SUM($O14:$P14)=0,A14,INDEX($O14:$P14,MATCH(1,$O14:$P14,0))))),SUM($O14:$P14))</f>
        <v>0</v>
      </c>
      <c r="C14" s="128" t="s">
        <v>917</v>
      </c>
      <c r="D14" t="s">
        <v>918</v>
      </c>
      <c r="E14" s="424" t="str">
        <f>HYPERLINK("#'I&amp;E'!G161","FV merged assets")</f>
        <v>FV merged assets</v>
      </c>
      <c r="G14" s="269">
        <f>-'I&amp;E'!G158</f>
        <v>0</v>
      </c>
      <c r="O14" s="72">
        <f t="shared" si="0"/>
        <v>0</v>
      </c>
    </row>
    <row r="15" spans="1:16" x14ac:dyDescent="0.35">
      <c r="A15" s="72" cm="1">
        <f t="array" aca="1" ref="A15" ca="1">HYPERLINK(CONCATENATE("#",CELL("address",IF(SUM($O15:$P15)=0,A15,INDEX($O15:$P15,MATCH(1,$O15:$P15,0))))),SUM($O15:$P15))</f>
        <v>0</v>
      </c>
      <c r="C15" s="128" t="s">
        <v>919</v>
      </c>
      <c r="D15" t="s">
        <v>920</v>
      </c>
      <c r="G15" s="272"/>
      <c r="O15" s="72">
        <f t="shared" si="0"/>
        <v>0</v>
      </c>
    </row>
    <row r="16" spans="1:16" x14ac:dyDescent="0.35">
      <c r="A16" s="72" cm="1">
        <f t="array" aca="1" ref="A16" ca="1">HYPERLINK(CONCATENATE("#",CELL("address",IF(SUM($O16:$P16)=0,A16,INDEX($O16:$P16,MATCH(1,$O16:$P16,0))))),SUM($O16:$P16))</f>
        <v>0</v>
      </c>
      <c r="C16" s="128" t="s">
        <v>921</v>
      </c>
      <c r="D16" t="s">
        <v>922</v>
      </c>
      <c r="G16" s="272"/>
      <c r="O16" s="72">
        <f t="shared" si="0"/>
        <v>0</v>
      </c>
    </row>
    <row r="17" spans="1:15" x14ac:dyDescent="0.35">
      <c r="A17" s="72" cm="1">
        <f t="array" aca="1" ref="A17" ca="1">HYPERLINK(CONCATENATE("#",CELL("address",IF(SUM($O17:$P17)=0,A17,INDEX($O17:$P17,MATCH(1,$O17:$P17,0))))),SUM($O17:$P17))</f>
        <v>0</v>
      </c>
      <c r="C17" s="128" t="s">
        <v>923</v>
      </c>
      <c r="D17" t="s">
        <v>924</v>
      </c>
      <c r="G17" s="272"/>
      <c r="O17" s="72">
        <f t="shared" si="0"/>
        <v>0</v>
      </c>
    </row>
    <row r="18" spans="1:15" x14ac:dyDescent="0.35">
      <c r="A18" s="72" cm="1">
        <f t="array" aca="1" ref="A18" ca="1">HYPERLINK(CONCATENATE("#",CELL("address",IF(SUM($O18:$P18)=0,A18,INDEX($O18:$P18,MATCH(1,$O18:$P18,0))))),SUM($O18:$P18))</f>
        <v>0</v>
      </c>
      <c r="C18" s="128" t="s">
        <v>925</v>
      </c>
      <c r="D18" t="s">
        <v>926</v>
      </c>
      <c r="G18" s="272"/>
      <c r="O18" s="72">
        <f t="shared" si="0"/>
        <v>0</v>
      </c>
    </row>
    <row r="19" spans="1:15" x14ac:dyDescent="0.35">
      <c r="A19" s="72" cm="1">
        <f t="array" aca="1" ref="A19" ca="1">HYPERLINK(CONCATENATE("#",CELL("address",IF(SUM($O19:$P19)=0,A19,INDEX($O19:$P19,MATCH(1,$O19:$P19,0))))),SUM($O19:$P19))</f>
        <v>0</v>
      </c>
      <c r="C19" s="128" t="s">
        <v>927</v>
      </c>
      <c r="D19" t="s">
        <v>928</v>
      </c>
      <c r="G19" s="272"/>
      <c r="O19" s="72">
        <f t="shared" si="0"/>
        <v>0</v>
      </c>
    </row>
    <row r="20" spans="1:15" x14ac:dyDescent="0.35">
      <c r="A20" s="72" cm="1">
        <f t="array" aca="1" ref="A20" ca="1">HYPERLINK(CONCATENATE("#",CELL("address",IF(SUM($O20:$P20)=0,A20,INDEX($O20:$P20,MATCH(1,$O20:$P20,0))))),SUM($O20:$P20))</f>
        <v>0</v>
      </c>
      <c r="C20" s="128" t="s">
        <v>929</v>
      </c>
      <c r="D20" t="s">
        <v>930</v>
      </c>
      <c r="G20" s="272"/>
      <c r="O20" s="72">
        <f t="shared" si="0"/>
        <v>0</v>
      </c>
    </row>
    <row r="21" spans="1:15" x14ac:dyDescent="0.35">
      <c r="A21" s="72" cm="1">
        <f t="array" aca="1" ref="A21" ca="1">HYPERLINK(CONCATENATE("#",CELL("address",IF(SUM($O21:$P21)=0,A21,INDEX($O21:$P21,MATCH(1,$O21:$P21,0))))),SUM($O21:$P21))</f>
        <v>0</v>
      </c>
      <c r="C21" s="128" t="s">
        <v>931</v>
      </c>
      <c r="D21" t="s">
        <v>932</v>
      </c>
      <c r="G21" s="272"/>
      <c r="O21" s="72">
        <f t="shared" si="0"/>
        <v>0</v>
      </c>
    </row>
    <row r="22" spans="1:15" x14ac:dyDescent="0.35">
      <c r="A22" s="72" cm="1">
        <f t="array" aca="1" ref="A22" ca="1">HYPERLINK(CONCATENATE("#",CELL("address",IF(SUM($O22:$P22)=0,A22,INDEX($O22:$P22,MATCH(1,$O22:$P22,0))))),SUM($O22:$P22))</f>
        <v>0</v>
      </c>
      <c r="C22" s="128" t="s">
        <v>933</v>
      </c>
      <c r="D22" t="s">
        <v>934</v>
      </c>
      <c r="G22" s="272"/>
      <c r="O22" s="72">
        <f t="shared" si="0"/>
        <v>0</v>
      </c>
    </row>
    <row r="23" spans="1:15" x14ac:dyDescent="0.35">
      <c r="A23" s="72" cm="1">
        <f t="array" aca="1" ref="A23" ca="1">HYPERLINK(CONCATENATE("#",CELL("address",IF(SUM($O23:$P23)=0,A23,INDEX($O23:$P23,MATCH(1,$O23:$P23,0))))),SUM($O23:$P23))</f>
        <v>0</v>
      </c>
      <c r="C23" s="128" t="s">
        <v>935</v>
      </c>
      <c r="D23" s="233" t="s">
        <v>936</v>
      </c>
      <c r="E23" s="421" t="str">
        <f>HYPERLINK("#'I&amp;E'!G141", "Grants")</f>
        <v>Grants</v>
      </c>
      <c r="G23" s="269">
        <f>-'I&amp;E'!G139</f>
        <v>0</v>
      </c>
      <c r="O23" s="72">
        <f t="shared" si="0"/>
        <v>0</v>
      </c>
    </row>
    <row r="24" spans="1:15" x14ac:dyDescent="0.35">
      <c r="A24" s="72" cm="1">
        <f t="array" aca="1" ref="A24" ca="1">HYPERLINK(CONCATENATE("#",CELL("address",IF(SUM($O24:$P24)=0,A24,INDEX($O24:$P24,MATCH(1,$O24:$P24,0))))),SUM($O24:$P24))</f>
        <v>0</v>
      </c>
      <c r="C24" s="128" t="s">
        <v>937</v>
      </c>
      <c r="D24" t="s">
        <v>938</v>
      </c>
      <c r="E24" s="424" t="str">
        <f>HYPERLINK("#Miscellaneous!G58", "LGPS")</f>
        <v>LGPS</v>
      </c>
      <c r="G24" s="346">
        <f>SUM(Miscellaneous!G47:G53)+Miscellaneous!G55</f>
        <v>0</v>
      </c>
      <c r="O24" s="72">
        <f t="shared" si="0"/>
        <v>0</v>
      </c>
    </row>
    <row r="25" spans="1:15" x14ac:dyDescent="0.35">
      <c r="A25" s="72" cm="1">
        <f t="array" aca="1" ref="A25" ca="1">HYPERLINK(CONCATENATE("#",CELL("address",IF(SUM($O25:$P25)=0,A25,INDEX($O25:$P25,MATCH(1,$O25:$P25,0))))),SUM($O25:$P25))</f>
        <v>0</v>
      </c>
      <c r="C25" s="128" t="s">
        <v>939</v>
      </c>
      <c r="D25" t="s">
        <v>940</v>
      </c>
      <c r="E25" s="424" t="str">
        <f>HYPERLINK("#'I&amp;E'!G160", "Share of JVs")</f>
        <v>Share of JVs</v>
      </c>
      <c r="G25" s="269">
        <f>-'I&amp;E'!G157</f>
        <v>0</v>
      </c>
      <c r="O25" s="72">
        <f t="shared" si="0"/>
        <v>0</v>
      </c>
    </row>
    <row r="26" spans="1:15" x14ac:dyDescent="0.35">
      <c r="A26" s="72" cm="1">
        <f t="array" aca="1" ref="A26" ca="1">HYPERLINK(CONCATENATE("#",CELL("address",IF(SUM($O26:$P26)=0,A26,INDEX($O26:$P26,MATCH(1,$O26:$P26,0))))),SUM($O26:$P26))</f>
        <v>0</v>
      </c>
      <c r="C26" s="128" t="s">
        <v>941</v>
      </c>
      <c r="D26" t="s">
        <v>942</v>
      </c>
      <c r="G26" s="272"/>
      <c r="O26" s="72">
        <f t="shared" si="0"/>
        <v>0</v>
      </c>
    </row>
    <row r="27" spans="1:15" x14ac:dyDescent="0.35">
      <c r="A27" s="72" cm="1">
        <f t="array" aca="1" ref="A27" ca="1">HYPERLINK(CONCATENATE("#",CELL("address",IF(SUM($O27:$P27)=0,A27,INDEX($O27:$P27,MATCH(1,$O27:$P27,0))))),SUM($O27:$P27))</f>
        <v>0</v>
      </c>
      <c r="B27" s="81" t="s">
        <v>5</v>
      </c>
      <c r="C27" s="128" t="s">
        <v>943</v>
      </c>
      <c r="D27" t="s">
        <v>67</v>
      </c>
      <c r="G27" s="272"/>
      <c r="O27" s="72">
        <f t="shared" si="0"/>
        <v>0</v>
      </c>
    </row>
    <row r="28" spans="1:15" x14ac:dyDescent="0.35">
      <c r="C28" s="135"/>
      <c r="D28" s="36" t="s">
        <v>944</v>
      </c>
    </row>
    <row r="29" spans="1:15" x14ac:dyDescent="0.35">
      <c r="A29" s="72" cm="1">
        <f t="array" aca="1" ref="A29" ca="1">HYPERLINK(CONCATENATE("#",CELL("address",IF(SUM($O29:$P29)=0,A29,INDEX($O29:$P29,MATCH(1,$O29:$P29,0))))),SUM($O29:$P29))</f>
        <v>0</v>
      </c>
      <c r="C29" s="128" t="s">
        <v>945</v>
      </c>
      <c r="D29" s="14" t="s">
        <v>676</v>
      </c>
      <c r="E29" s="424" t="str">
        <f>HYPERLINK("#'I&amp;E'!G148", "Int. &amp; Inv. Income")</f>
        <v>Int. &amp; Inv. Income</v>
      </c>
      <c r="G29" s="269">
        <f>-'I&amp;E'!G145</f>
        <v>0</v>
      </c>
      <c r="O29" s="72">
        <f t="shared" ref="O29:O34" si="1">IF(OR(ISNUMBER(G29),ISBLANK(G29)),0,1)</f>
        <v>0</v>
      </c>
    </row>
    <row r="30" spans="1:15" x14ac:dyDescent="0.35">
      <c r="A30" s="72" cm="1">
        <f t="array" aca="1" ref="A30" ca="1">HYPERLINK(CONCATENATE("#",CELL("address",IF(SUM($O30:$P30)=0,A30,INDEX($O30:$P30,MATCH(1,$O30:$P30,0))))),SUM($O30:$P30))</f>
        <v>0</v>
      </c>
      <c r="C30" s="128" t="s">
        <v>946</v>
      </c>
      <c r="D30" t="s">
        <v>947</v>
      </c>
      <c r="G30" s="272"/>
      <c r="O30" s="72">
        <f t="shared" si="1"/>
        <v>0</v>
      </c>
    </row>
    <row r="31" spans="1:15" x14ac:dyDescent="0.35">
      <c r="A31" s="72" cm="1">
        <f t="array" aca="1" ref="A31" ca="1">HYPERLINK(CONCATENATE("#",CELL("address",IF(SUM($O31:$P31)=0,A31,INDEX($O31:$P31,MATCH(1,$O31:$P31,0))))),SUM($O31:$P31))</f>
        <v>0</v>
      </c>
      <c r="C31" s="128" t="s">
        <v>948</v>
      </c>
      <c r="D31" t="s">
        <v>949</v>
      </c>
      <c r="E31" s="424" t="str">
        <f>HYPERLINK("#'I&amp;E'!G157:G158", "Gain/(loss) on disp.")</f>
        <v>Gain/(loss) on disp.</v>
      </c>
      <c r="G31" s="269">
        <f>-SUM('I&amp;E'!G154:G155)</f>
        <v>0</v>
      </c>
      <c r="O31" s="72">
        <f t="shared" si="1"/>
        <v>0</v>
      </c>
    </row>
    <row r="32" spans="1:15" x14ac:dyDescent="0.35">
      <c r="A32" s="72" cm="1">
        <f t="array" aca="1" ref="A32" ca="1">HYPERLINK(CONCATENATE("#",CELL("address",IF(SUM($O32:$P32)=0,A32,INDEX($O32:$P32,MATCH(1,$O32:$P32,0))))),SUM($O32:$P32))</f>
        <v>0</v>
      </c>
      <c r="C32" s="128" t="s">
        <v>950</v>
      </c>
      <c r="D32" t="s">
        <v>951</v>
      </c>
      <c r="G32" s="272"/>
      <c r="O32" s="72">
        <f t="shared" si="1"/>
        <v>0</v>
      </c>
    </row>
    <row r="33" spans="1:15" x14ac:dyDescent="0.35">
      <c r="A33" s="72" cm="1">
        <f t="array" aca="1" ref="A33" ca="1">HYPERLINK(CONCATENATE("#",CELL("address",IF(SUM($O33:$P33)=0,A33,INDEX($O33:$P33,MATCH(1,$O33:$P33,0))))),SUM($O33:$P33))</f>
        <v>0</v>
      </c>
      <c r="B33" s="81" t="s">
        <v>5</v>
      </c>
      <c r="C33" s="128" t="s">
        <v>952</v>
      </c>
      <c r="D33" t="s">
        <v>67</v>
      </c>
      <c r="G33" s="272"/>
      <c r="O33" s="72">
        <f t="shared" si="1"/>
        <v>0</v>
      </c>
    </row>
    <row r="34" spans="1:15" x14ac:dyDescent="0.35">
      <c r="A34" s="72" cm="1">
        <f t="array" aca="1" ref="A34" ca="1">HYPERLINK(CONCATENATE("#",CELL("address",IF(SUM($O34:$P34)=0,A34,INDEX($O34:$P34,MATCH(1,$O34:$P34,0))))),SUM($O34:$P34))</f>
        <v>0</v>
      </c>
      <c r="C34" s="139" t="s">
        <v>315</v>
      </c>
      <c r="D34" s="36" t="s">
        <v>316</v>
      </c>
      <c r="G34" s="269">
        <f ca="1">SUM(G10,G12:G27,G29:G33)</f>
        <v>0</v>
      </c>
      <c r="O34" s="72">
        <f t="shared" ca="1" si="1"/>
        <v>0</v>
      </c>
    </row>
    <row r="35" spans="1:15" x14ac:dyDescent="0.35">
      <c r="C35" s="135"/>
    </row>
    <row r="36" spans="1:15" x14ac:dyDescent="0.35">
      <c r="C36" s="128"/>
      <c r="D36" s="83" t="s">
        <v>953</v>
      </c>
      <c r="F36" s="14"/>
      <c r="G36" s="14"/>
    </row>
    <row r="37" spans="1:15" x14ac:dyDescent="0.35">
      <c r="A37" s="72" cm="1">
        <f t="array" aca="1" ref="A37" ca="1">HYPERLINK(CONCATENATE("#",CELL("address",IF(SUM($O37:$P37)=0,A37,INDEX($O37:$P37,MATCH(1,$O37:$P37,0))))),SUM($O37:$P37))</f>
        <v>0</v>
      </c>
      <c r="C37" s="128" t="s">
        <v>954</v>
      </c>
      <c r="D37" s="14" t="s">
        <v>955</v>
      </c>
      <c r="F37" s="14"/>
      <c r="G37" s="272"/>
      <c r="O37" s="72">
        <f t="shared" ref="O37:O45" si="2">IF(OR(ISNUMBER(G37),ISBLANK(G37)),0,1)</f>
        <v>0</v>
      </c>
    </row>
    <row r="38" spans="1:15" x14ac:dyDescent="0.35">
      <c r="A38" s="72" cm="1">
        <f t="array" aca="1" ref="A38" ca="1">HYPERLINK(CONCATENATE("#",CELL("address",IF(SUM($O38:$P38)=0,A38,INDEX($O38:$P38,MATCH(1,$O38:$P38,0))))),SUM($O38:$P38))</f>
        <v>0</v>
      </c>
      <c r="C38" s="128" t="s">
        <v>956</v>
      </c>
      <c r="D38" s="14" t="s">
        <v>957</v>
      </c>
      <c r="F38" s="14"/>
      <c r="G38" s="272"/>
      <c r="O38" s="72">
        <f t="shared" si="2"/>
        <v>0</v>
      </c>
    </row>
    <row r="39" spans="1:15" x14ac:dyDescent="0.35">
      <c r="A39" s="72" cm="1">
        <f t="array" aca="1" ref="A39" ca="1">HYPERLINK(CONCATENATE("#",CELL("address",IF(SUM($O39:$P39)=0,A39,INDEX($O39:$P39,MATCH(1,$O39:$P39,0))))),SUM($O39:$P39))</f>
        <v>0</v>
      </c>
      <c r="C39" s="128" t="s">
        <v>958</v>
      </c>
      <c r="D39" s="14" t="s">
        <v>959</v>
      </c>
      <c r="F39" s="14"/>
      <c r="G39" s="272"/>
      <c r="O39" s="72">
        <f t="shared" si="2"/>
        <v>0</v>
      </c>
    </row>
    <row r="40" spans="1:15" x14ac:dyDescent="0.35">
      <c r="A40" s="72" cm="1">
        <f t="array" aca="1" ref="A40" ca="1">HYPERLINK(CONCATENATE("#",CELL("address",IF(SUM($O40:$P40)=0,A40,INDEX($O40:$P40,MATCH(1,$O40:$P40,0))))),SUM($O40:$P40))</f>
        <v>0</v>
      </c>
      <c r="C40" s="128" t="s">
        <v>960</v>
      </c>
      <c r="D40" s="14" t="s">
        <v>961</v>
      </c>
      <c r="F40" s="14"/>
      <c r="G40" s="272"/>
      <c r="O40" s="72">
        <f t="shared" si="2"/>
        <v>0</v>
      </c>
    </row>
    <row r="41" spans="1:15" x14ac:dyDescent="0.35">
      <c r="A41" s="72" cm="1">
        <f t="array" aca="1" ref="A41" ca="1">HYPERLINK(CONCATENATE("#",CELL("address",IF(SUM($O41:$P41)=0,A41,INDEX($O41:$P41,MATCH(1,$O41:$P41,0))))),SUM($O41:$P41))</f>
        <v>0</v>
      </c>
      <c r="C41" s="128" t="s">
        <v>962</v>
      </c>
      <c r="D41" s="14" t="s">
        <v>963</v>
      </c>
      <c r="F41" s="14"/>
      <c r="G41" s="272"/>
      <c r="O41" s="72">
        <f t="shared" si="2"/>
        <v>0</v>
      </c>
    </row>
    <row r="42" spans="1:15" x14ac:dyDescent="0.35">
      <c r="A42" s="72" cm="1">
        <f t="array" aca="1" ref="A42" ca="1">HYPERLINK(CONCATENATE("#",CELL("address",IF(SUM($O42:$P42)=0,A42,INDEX($O42:$P42,MATCH(1,$O42:$P42,0))))),SUM($O42:$P42))</f>
        <v>0</v>
      </c>
      <c r="C42" s="128" t="s">
        <v>964</v>
      </c>
      <c r="D42" s="14" t="s">
        <v>965</v>
      </c>
      <c r="F42" s="14"/>
      <c r="G42" s="272"/>
      <c r="O42" s="72">
        <f t="shared" si="2"/>
        <v>0</v>
      </c>
    </row>
    <row r="43" spans="1:15" x14ac:dyDescent="0.35">
      <c r="A43" s="72" cm="1">
        <f t="array" aca="1" ref="A43" ca="1">HYPERLINK(CONCATENATE("#",CELL("address",IF(SUM($O43:$P43)=0,A43,INDEX($O43:$P43,MATCH(1,$O43:$P43,0))))),SUM($O43:$P43))</f>
        <v>0</v>
      </c>
      <c r="C43" s="128" t="s">
        <v>966</v>
      </c>
      <c r="D43" s="14" t="s">
        <v>676</v>
      </c>
      <c r="E43" s="424" t="str">
        <f>HYPERLINK("#'I&amp;E'!G148", "Int. &amp; Inv. Income")</f>
        <v>Int. &amp; Inv. Income</v>
      </c>
      <c r="F43" s="14"/>
      <c r="G43" s="269">
        <f>'I&amp;E'!G145</f>
        <v>0</v>
      </c>
      <c r="O43" s="72">
        <f t="shared" si="2"/>
        <v>0</v>
      </c>
    </row>
    <row r="44" spans="1:15" x14ac:dyDescent="0.35">
      <c r="A44" s="72" cm="1">
        <f t="array" aca="1" ref="A44" ca="1">HYPERLINK(CONCATENATE("#",CELL("address",IF(SUM($O44:$P44)=0,A44,INDEX($O44:$P44,MATCH(1,$O44:$P44,0))))),SUM($O44:$P44))</f>
        <v>0</v>
      </c>
      <c r="B44" s="81" t="s">
        <v>5</v>
      </c>
      <c r="C44" s="128" t="s">
        <v>967</v>
      </c>
      <c r="D44" t="s">
        <v>67</v>
      </c>
      <c r="F44" s="14"/>
      <c r="G44" s="272"/>
      <c r="O44" s="72">
        <f t="shared" si="2"/>
        <v>0</v>
      </c>
    </row>
    <row r="45" spans="1:15" x14ac:dyDescent="0.35">
      <c r="A45" s="72" cm="1">
        <f t="array" aca="1" ref="A45" ca="1">HYPERLINK(CONCATENATE("#",CELL("address",IF(SUM($O45:$P45)=0,A45,INDEX($O45:$P45,MATCH(1,$O45:$P45,0))))),SUM($O45:$P45))</f>
        <v>0</v>
      </c>
      <c r="C45" s="129" t="s">
        <v>968</v>
      </c>
      <c r="D45" s="83" t="s">
        <v>969</v>
      </c>
      <c r="F45" s="14"/>
      <c r="G45" s="269">
        <f>SUM(G37:G44)</f>
        <v>0</v>
      </c>
      <c r="O45" s="72">
        <f t="shared" si="2"/>
        <v>0</v>
      </c>
    </row>
    <row r="46" spans="1:15" x14ac:dyDescent="0.35">
      <c r="C46" s="128"/>
      <c r="D46" s="14"/>
      <c r="F46" s="14"/>
      <c r="G46" s="14"/>
    </row>
    <row r="47" spans="1:15" x14ac:dyDescent="0.35">
      <c r="C47" s="128"/>
      <c r="D47" s="83" t="s">
        <v>970</v>
      </c>
      <c r="F47" s="14"/>
      <c r="G47" s="6"/>
    </row>
    <row r="48" spans="1:15" x14ac:dyDescent="0.35">
      <c r="A48" s="72" cm="1">
        <f t="array" aca="1" ref="A48" ca="1">HYPERLINK(CONCATENATE("#",CELL("address",IF(SUM($O48:$P48)=0,A48,INDEX($O48:$P48,MATCH(1,$O48:$P48,0))))),SUM($O48:$P48))</f>
        <v>0</v>
      </c>
      <c r="C48" s="128" t="s">
        <v>971</v>
      </c>
      <c r="D48" s="14" t="s">
        <v>972</v>
      </c>
      <c r="F48" s="14"/>
      <c r="G48" s="272"/>
      <c r="O48" s="72">
        <f t="shared" ref="O48:O56" si="3">IF(OR(ISNUMBER(G48),ISBLANK(G48)),0,1)</f>
        <v>0</v>
      </c>
    </row>
    <row r="49" spans="1:16" x14ac:dyDescent="0.35">
      <c r="A49" s="72" cm="1">
        <f t="array" aca="1" ref="A49" ca="1">HYPERLINK(CONCATENATE("#",CELL("address",IF(SUM($O49:$P49)=0,A49,INDEX($O49:$P49,MATCH(1,$O49:$P49,0))))),SUM($O49:$P49))</f>
        <v>0</v>
      </c>
      <c r="C49" s="128" t="s">
        <v>973</v>
      </c>
      <c r="D49" s="14" t="s">
        <v>974</v>
      </c>
      <c r="F49" s="14"/>
      <c r="G49" s="272"/>
      <c r="O49" s="72">
        <f t="shared" si="3"/>
        <v>0</v>
      </c>
    </row>
    <row r="50" spans="1:16" x14ac:dyDescent="0.35">
      <c r="A50" s="72" cm="1">
        <f t="array" aca="1" ref="A50" ca="1">HYPERLINK(CONCATENATE("#",CELL("address",IF(SUM($O50:$P50)=0,A50,INDEX($O50:$P50,MATCH(1,$O50:$P50,0))))),SUM($O50:$P50))</f>
        <v>0</v>
      </c>
      <c r="C50" s="128" t="s">
        <v>975</v>
      </c>
      <c r="D50" s="14" t="s">
        <v>976</v>
      </c>
      <c r="F50" s="14"/>
      <c r="G50" s="272"/>
      <c r="O50" s="72">
        <f t="shared" si="3"/>
        <v>0</v>
      </c>
    </row>
    <row r="51" spans="1:16" x14ac:dyDescent="0.35">
      <c r="A51" s="72" cm="1">
        <f t="array" aca="1" ref="A51" ca="1">HYPERLINK(CONCATENATE("#",CELL("address",IF(SUM($O51:$P51)=0,A51,INDEX($O51:$P51,MATCH(1,$O51:$P51,0))))),SUM($O51:$P51))</f>
        <v>0</v>
      </c>
      <c r="C51" s="128" t="s">
        <v>977</v>
      </c>
      <c r="D51" s="14" t="s">
        <v>978</v>
      </c>
      <c r="F51" s="14"/>
      <c r="G51" s="272"/>
      <c r="O51" s="72">
        <f t="shared" si="3"/>
        <v>0</v>
      </c>
    </row>
    <row r="52" spans="1:16" x14ac:dyDescent="0.35">
      <c r="A52" s="72" cm="1">
        <f t="array" aca="1" ref="A52" ca="1">HYPERLINK(CONCATENATE("#",CELL("address",IF(SUM($O52:$P52)=0,A52,INDEX($O52:$P52,MATCH(1,$O52:$P52,0))))),SUM($O52:$P52))</f>
        <v>0</v>
      </c>
      <c r="C52" s="128" t="s">
        <v>979</v>
      </c>
      <c r="D52" s="14" t="s">
        <v>980</v>
      </c>
      <c r="F52" s="14"/>
      <c r="G52" s="272"/>
      <c r="O52" s="72">
        <f t="shared" si="3"/>
        <v>0</v>
      </c>
    </row>
    <row r="53" spans="1:16" x14ac:dyDescent="0.35">
      <c r="A53" s="72" cm="1">
        <f t="array" aca="1" ref="A53" ca="1">HYPERLINK(CONCATENATE("#",CELL("address",IF(SUM($O53:$P53)=0,A53,INDEX($O53:$P53,MATCH(1,$O53:$P53,0))))),SUM($O53:$P53))</f>
        <v>0</v>
      </c>
      <c r="C53" s="128" t="s">
        <v>981</v>
      </c>
      <c r="D53" s="14" t="s">
        <v>982</v>
      </c>
      <c r="F53" s="14"/>
      <c r="G53" s="272"/>
      <c r="O53" s="72">
        <f t="shared" si="3"/>
        <v>0</v>
      </c>
    </row>
    <row r="54" spans="1:16" x14ac:dyDescent="0.35">
      <c r="A54" s="72" cm="1">
        <f t="array" aca="1" ref="A54" ca="1">HYPERLINK(CONCATENATE("#",CELL("address",IF(SUM($O54:$P54)=0,A54,INDEX($O54:$P54,MATCH(1,$O54:$P54,0))))),SUM($O54:$P54))</f>
        <v>0</v>
      </c>
      <c r="C54" s="128" t="s">
        <v>983</v>
      </c>
      <c r="D54" s="14" t="s">
        <v>984</v>
      </c>
      <c r="F54" s="14"/>
      <c r="G54" s="272"/>
      <c r="O54" s="72">
        <f t="shared" si="3"/>
        <v>0</v>
      </c>
    </row>
    <row r="55" spans="1:16" x14ac:dyDescent="0.35">
      <c r="A55" s="72" cm="1">
        <f t="array" aca="1" ref="A55" ca="1">HYPERLINK(CONCATENATE("#",CELL("address",IF(SUM($O55:$P55)=0,A55,INDEX($O55:$P55,MATCH(1,$O55:$P55,0))))),SUM($O55:$P55))</f>
        <v>0</v>
      </c>
      <c r="B55" s="81" t="s">
        <v>5</v>
      </c>
      <c r="C55" s="128" t="s">
        <v>985</v>
      </c>
      <c r="D55" t="s">
        <v>67</v>
      </c>
      <c r="F55" s="14"/>
      <c r="G55" s="272"/>
      <c r="O55" s="72">
        <f t="shared" si="3"/>
        <v>0</v>
      </c>
    </row>
    <row r="56" spans="1:16" x14ac:dyDescent="0.35">
      <c r="A56" s="72" cm="1">
        <f t="array" aca="1" ref="A56" ca="1">HYPERLINK(CONCATENATE("#",CELL("address",IF(SUM($O56:$P56)=0,A56,INDEX($O56:$P56,MATCH(1,$O56:$P56,0))))),SUM($O56:$P56))</f>
        <v>0</v>
      </c>
      <c r="C56" s="129" t="s">
        <v>986</v>
      </c>
      <c r="D56" s="83" t="s">
        <v>987</v>
      </c>
      <c r="F56" s="14"/>
      <c r="G56" s="269">
        <f>SUM(G48:G55)</f>
        <v>0</v>
      </c>
      <c r="O56" s="72">
        <f t="shared" si="3"/>
        <v>0</v>
      </c>
    </row>
    <row r="57" spans="1:16" x14ac:dyDescent="0.35">
      <c r="C57" s="128"/>
      <c r="D57" s="14"/>
      <c r="F57" s="14"/>
      <c r="G57" s="14"/>
    </row>
    <row r="58" spans="1:16" x14ac:dyDescent="0.35">
      <c r="A58" s="72" cm="1">
        <f t="array" aca="1" ref="A58" ca="1">HYPERLINK(CONCATENATE("#",CELL("address",IF(SUM($O58:$P58)=0,A58,INDEX($O58:$P58,MATCH(1,$O58:$P58,0))))),SUM($O58:$P58))</f>
        <v>0</v>
      </c>
      <c r="C58" s="129" t="s">
        <v>988</v>
      </c>
      <c r="D58" s="83" t="s">
        <v>989</v>
      </c>
      <c r="F58" s="14"/>
      <c r="G58" s="268">
        <f ca="1">G34+G45+G56</f>
        <v>0</v>
      </c>
      <c r="O58" s="72">
        <f ca="1">IF(OR(ISNUMBER(G58),ISBLANK(G58)),0,1)</f>
        <v>0</v>
      </c>
      <c r="P58" s="72">
        <f>IF(ISBLANK(G61),0,IF(ABS(G58-G59)&gt;Parameters!$D$14,1,0))</f>
        <v>0</v>
      </c>
    </row>
    <row r="59" spans="1:16" x14ac:dyDescent="0.35">
      <c r="C59" s="129"/>
      <c r="D59" s="83" t="s">
        <v>990</v>
      </c>
      <c r="F59" s="14"/>
      <c r="G59" s="268">
        <f>IF(G61=0, 0, G62-G61)</f>
        <v>0</v>
      </c>
      <c r="P59" s="81"/>
    </row>
    <row r="60" spans="1:16" x14ac:dyDescent="0.35">
      <c r="C60" s="135"/>
    </row>
    <row r="61" spans="1:16" x14ac:dyDescent="0.35">
      <c r="A61" s="72" cm="1">
        <f t="array" aca="1" ref="A61" ca="1">HYPERLINK(CONCATENATE("#",CELL("address",IF(SUM($O61:$P61)=0,A61,INDEX($O61:$P61,MATCH(1,$O61:$P61,0))))),SUM($O61:$P61))</f>
        <v>0</v>
      </c>
      <c r="C61" s="135" t="s">
        <v>991</v>
      </c>
      <c r="D61" t="s">
        <v>992</v>
      </c>
      <c r="G61" s="272"/>
      <c r="O61" s="72">
        <f>IF(ISNUMBER(G61),0,IF(AND('I&amp;E'!G102&lt;&gt;0,ISBLANK(G61)),1,0))</f>
        <v>0</v>
      </c>
    </row>
    <row r="62" spans="1:16" x14ac:dyDescent="0.35">
      <c r="A62" s="72" cm="1">
        <f t="array" aca="1" ref="A62" ca="1">HYPERLINK(CONCATENATE("#",CELL("address",IF(SUM($O62:$P62)=0,A62,INDEX($O62:$P62,MATCH(1,$O62:$P62,0))))),SUM($O62:$P62))</f>
        <v>0</v>
      </c>
      <c r="C62" s="135" t="s">
        <v>829</v>
      </c>
      <c r="D62" t="s">
        <v>993</v>
      </c>
      <c r="E62" s="424" t="str">
        <f>HYPERLINK("#BS!G28", "Cash CB")</f>
        <v>Cash CB</v>
      </c>
      <c r="G62" s="268">
        <f>BS!G28</f>
        <v>0</v>
      </c>
      <c r="O62" s="72">
        <f>IF(OR(ISNUMBER(G62),ISBLANK(G62)),0,1)</f>
        <v>0</v>
      </c>
    </row>
    <row r="63" spans="1:16" x14ac:dyDescent="0.35">
      <c r="C63" s="135"/>
    </row>
    <row r="64" spans="1:16" x14ac:dyDescent="0.35">
      <c r="A64" s="72" cm="1">
        <f t="array" aca="1" ref="A64" ca="1">HYPERLINK(CONCATENATE("#",CELL("address",IF(SUM($O64:$P64)=0,A64,INDEX($O64:$P64,MATCH(1,$O64:$P64,0))))),SUM($O64:$P64))</f>
        <v>0</v>
      </c>
      <c r="C64" s="128" t="s">
        <v>300</v>
      </c>
      <c r="D64" s="83" t="s">
        <v>301</v>
      </c>
      <c r="F64" s="14"/>
      <c r="G64" s="268">
        <f>Ratios!H14</f>
        <v>0</v>
      </c>
      <c r="O64" s="72">
        <f>IF(OR(ISNUMBER(G64),ISBLANK(G64)),0,1)</f>
        <v>0</v>
      </c>
    </row>
    <row r="65" spans="3:8" x14ac:dyDescent="0.35">
      <c r="C65" s="130"/>
      <c r="D65" s="14"/>
      <c r="F65" s="14"/>
      <c r="G65" s="14"/>
    </row>
    <row r="66" spans="3:8" x14ac:dyDescent="0.35">
      <c r="C66" s="130"/>
      <c r="D66" s="14"/>
      <c r="F66" s="14"/>
      <c r="G66" s="14"/>
    </row>
    <row r="67" spans="3:8" x14ac:dyDescent="0.35">
      <c r="C67" s="130"/>
      <c r="D67" s="14"/>
      <c r="F67" s="14"/>
      <c r="G67" s="14"/>
    </row>
    <row r="68" spans="3:8" x14ac:dyDescent="0.35">
      <c r="C68" s="135" t="s">
        <v>994</v>
      </c>
      <c r="D68" s="31" t="s">
        <v>382</v>
      </c>
      <c r="F68" s="14"/>
      <c r="G68" s="14"/>
    </row>
    <row r="69" spans="3:8" x14ac:dyDescent="0.35">
      <c r="D69" s="502"/>
      <c r="E69" s="503"/>
      <c r="F69" s="503"/>
      <c r="G69" s="503"/>
      <c r="H69" s="504"/>
    </row>
    <row r="70" spans="3:8" x14ac:dyDescent="0.35">
      <c r="D70" s="505"/>
      <c r="E70" s="506"/>
      <c r="F70" s="506"/>
      <c r="G70" s="506"/>
      <c r="H70" s="507"/>
    </row>
    <row r="71" spans="3:8" x14ac:dyDescent="0.35">
      <c r="D71" s="505"/>
      <c r="E71" s="506"/>
      <c r="F71" s="506"/>
      <c r="G71" s="506"/>
      <c r="H71" s="507"/>
    </row>
    <row r="72" spans="3:8" x14ac:dyDescent="0.35">
      <c r="D72" s="505"/>
      <c r="E72" s="506"/>
      <c r="F72" s="506"/>
      <c r="G72" s="506"/>
      <c r="H72" s="507"/>
    </row>
    <row r="73" spans="3:8" x14ac:dyDescent="0.35">
      <c r="D73" s="505"/>
      <c r="E73" s="506"/>
      <c r="F73" s="506"/>
      <c r="G73" s="506"/>
      <c r="H73" s="507"/>
    </row>
    <row r="74" spans="3:8" x14ac:dyDescent="0.35">
      <c r="D74" s="505"/>
      <c r="E74" s="506"/>
      <c r="F74" s="506"/>
      <c r="G74" s="506"/>
      <c r="H74" s="507"/>
    </row>
    <row r="75" spans="3:8" x14ac:dyDescent="0.35">
      <c r="D75" s="505"/>
      <c r="E75" s="506"/>
      <c r="F75" s="506"/>
      <c r="G75" s="506"/>
      <c r="H75" s="507"/>
    </row>
    <row r="76" spans="3:8" x14ac:dyDescent="0.35">
      <c r="D76" s="508"/>
      <c r="E76" s="509"/>
      <c r="F76" s="509"/>
      <c r="G76" s="509"/>
      <c r="H76" s="510"/>
    </row>
  </sheetData>
  <sheetProtection algorithmName="SHA-512" hashValue="I0lKEqQ1cIGCS8HfknGJILZDOD/HZqx6DdXOF4jtLyO7kcuUJmZhB3Q4bSGbjoywnX/Nv6pcdSm9tW7QptklZA==" saltValue="pGXNJMtYIuEdQbGNcRrx6g==" spinCount="100000" sheet="1" objects="1" scenarios="1"/>
  <mergeCells count="1">
    <mergeCell ref="D69:H76"/>
  </mergeCells>
  <conditionalFormatting sqref="A1:A2">
    <cfRule type="cellIs" dxfId="108" priority="1" operator="equal">
      <formula>0</formula>
    </cfRule>
    <cfRule type="cellIs" dxfId="107" priority="2" operator="greaterThan">
      <formula>0</formula>
    </cfRule>
  </conditionalFormatting>
  <conditionalFormatting sqref="A10">
    <cfRule type="cellIs" dxfId="106" priority="27" operator="equal">
      <formula>0</formula>
    </cfRule>
    <cfRule type="cellIs" dxfId="105" priority="28" operator="greaterThan">
      <formula>0</formula>
    </cfRule>
  </conditionalFormatting>
  <conditionalFormatting sqref="A12:A27">
    <cfRule type="cellIs" dxfId="104" priority="11" operator="equal">
      <formula>0</formula>
    </cfRule>
    <cfRule type="cellIs" dxfId="103" priority="12" operator="greaterThan">
      <formula>0</formula>
    </cfRule>
  </conditionalFormatting>
  <conditionalFormatting sqref="A29:A34">
    <cfRule type="cellIs" dxfId="102" priority="9" operator="equal">
      <formula>0</formula>
    </cfRule>
    <cfRule type="cellIs" dxfId="101" priority="10" operator="greaterThan">
      <formula>0</formula>
    </cfRule>
  </conditionalFormatting>
  <conditionalFormatting sqref="A37:A45">
    <cfRule type="cellIs" dxfId="100" priority="7" operator="equal">
      <formula>0</formula>
    </cfRule>
    <cfRule type="cellIs" dxfId="99" priority="8" operator="greaterThan">
      <formula>0</formula>
    </cfRule>
  </conditionalFormatting>
  <conditionalFormatting sqref="A48:A56 A58 A61:A62 A64">
    <cfRule type="cellIs" dxfId="98" priority="3" operator="equal">
      <formula>0</formula>
    </cfRule>
    <cfRule type="cellIs" dxfId="97" priority="4" operator="greaterThan">
      <formula>0</formula>
    </cfRule>
  </conditionalFormatting>
  <conditionalFormatting sqref="O10 O29:O34 O37:O45 O58:P58 O61:O62 O64">
    <cfRule type="cellIs" dxfId="96" priority="41" operator="equal">
      <formula>0</formula>
    </cfRule>
    <cfRule type="cellIs" dxfId="95" priority="42" operator="greaterThan">
      <formula>0</formula>
    </cfRule>
  </conditionalFormatting>
  <conditionalFormatting sqref="O12:O27">
    <cfRule type="cellIs" dxfId="94" priority="39" operator="equal">
      <formula>0</formula>
    </cfRule>
    <cfRule type="cellIs" dxfId="93" priority="40" operator="greaterThan">
      <formula>0</formula>
    </cfRule>
  </conditionalFormatting>
  <conditionalFormatting sqref="O48:O56">
    <cfRule type="cellIs" dxfId="92" priority="15" operator="equal">
      <formula>0</formula>
    </cfRule>
    <cfRule type="cellIs" dxfId="91" priority="16" operator="greaterThan">
      <formula>0</formula>
    </cfRule>
  </conditionalFormatting>
  <dataValidations count="6">
    <dataValidation type="custom" allowBlank="1" showInputMessage="1" showErrorMessage="1" error="Please enter text" sqref="D69" xr:uid="{7EBAD3CA-279D-4404-B753-AC01CD71CE11}">
      <formula1>ISTEXT(D69)</formula1>
    </dataValidation>
    <dataValidation allowBlank="1" showInputMessage="1" promptTitle="Input Validation Check" prompt="Flags where a cell contains invalid characters, such as full stops, dashes and spaces._x000a_" sqref="O2" xr:uid="{4D3F9F21-83E3-4DA6-921B-05D6F682598A}"/>
    <dataValidation allowBlank="1" showInputMessage="1" promptTitle="Cash Balance Check" prompt="Checks that cash movement for the year is equal to the difference between cash at beginning and end of the year." sqref="P2" xr:uid="{71881D93-050B-46B7-A0B7-B7BCC861EF77}"/>
    <dataValidation allowBlank="1" showErrorMessage="1" sqref="D44 D55" xr:uid="{9CA6BD20-15D6-4916-91C8-9A01AA24D984}"/>
    <dataValidation allowBlank="1" showInputMessage="1" promptTitle="Other cash movements" prompt="Where a cashflow does not sit within one of the listed categories, enter here and please disclose the nature of the movement in the narrative box below." sqref="B44 B55 B27 B33" xr:uid="{76A613E9-71A3-431A-B58D-48DF2D78486B}"/>
    <dataValidation allowBlank="1" sqref="P59" xr:uid="{9BCAD9B9-5124-4219-A9CB-B71E97EEA975}"/>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F92D1A-FD1F-4A7E-9BB9-99FEF3997FDA}">
  <sheetPr codeName="Sheet14">
    <tabColor rgb="FFFFFF00"/>
  </sheetPr>
  <dimension ref="A1:Q236"/>
  <sheetViews>
    <sheetView showGridLines="0" zoomScaleNormal="100" workbookViewId="0">
      <pane ySplit="6" topLeftCell="A7" activePane="bottomLeft" state="frozen"/>
      <selection activeCell="B29" sqref="B29"/>
      <selection pane="bottomLeft"/>
    </sheetView>
  </sheetViews>
  <sheetFormatPr defaultColWidth="9" defaultRowHeight="14.5" x14ac:dyDescent="0.35"/>
  <cols>
    <col min="1" max="1" width="9" style="14"/>
    <col min="2" max="2" width="5.81640625" style="14" customWidth="1"/>
    <col min="3" max="3" width="9" style="14"/>
    <col min="4" max="4" width="90.7265625" style="14" bestFit="1" customWidth="1"/>
    <col min="5" max="5" width="33.1796875" style="14" customWidth="1"/>
    <col min="6" max="6" width="2.7265625" style="14" customWidth="1"/>
    <col min="7" max="7" width="19.453125" style="14" bestFit="1" customWidth="1"/>
    <col min="8" max="8" width="17.453125" customWidth="1"/>
    <col min="9" max="9" width="2.453125" style="14" customWidth="1"/>
    <col min="10" max="10" width="2" style="14" customWidth="1"/>
    <col min="11" max="11" width="2.1796875" style="14" customWidth="1"/>
    <col min="12" max="12" width="2" style="14" customWidth="1"/>
    <col min="13" max="13" width="1.81640625" style="14" customWidth="1"/>
    <col min="14" max="14" width="11" customWidth="1"/>
    <col min="15" max="15" width="19.81640625" style="125" customWidth="1"/>
    <col min="16" max="16384" width="9" style="14"/>
  </cols>
  <sheetData>
    <row r="1" spans="1:17" x14ac:dyDescent="0.35">
      <c r="A1" s="147">
        <f ca="1">ToC!A1</f>
        <v>0</v>
      </c>
      <c r="B1" s="2" t="s">
        <v>61</v>
      </c>
      <c r="C1" s="2"/>
      <c r="D1" s="2">
        <f>'Cover sheet'!E8</f>
        <v>0</v>
      </c>
      <c r="E1" s="2"/>
      <c r="F1" s="2"/>
      <c r="G1" s="2"/>
      <c r="N1" s="14" t="s">
        <v>3</v>
      </c>
      <c r="O1" s="125" t="s">
        <v>466</v>
      </c>
    </row>
    <row r="2" spans="1:17" x14ac:dyDescent="0.35">
      <c r="A2" s="72" cm="1">
        <f t="array" aca="1" ref="A2" ca="1">HYPERLINK(CONCATENATE("#",CELL("address",IF(SUM(A$6:A$275)=0,$A$2,INDEX(A$6:A$275,MATCH(1,A$6:A$275,0))))),SUM(A$6:A$275))</f>
        <v>0</v>
      </c>
      <c r="B2" s="2"/>
      <c r="C2" s="2"/>
      <c r="D2" s="2"/>
      <c r="E2" s="2"/>
      <c r="F2" s="2"/>
      <c r="G2" s="2"/>
      <c r="N2" s="81" t="s">
        <v>5</v>
      </c>
      <c r="O2" s="84" t="s">
        <v>5</v>
      </c>
    </row>
    <row r="3" spans="1:17" x14ac:dyDescent="0.35">
      <c r="A3" s="111" t="str" cm="1">
        <f t="array" aca="1" ref="A3" ca="1">HYPERLINK(CONCATENATE("#",CELL("address",ToC!$A$1)),ToC!$C$1)</f>
        <v>TOC</v>
      </c>
      <c r="B3" s="111"/>
      <c r="C3" s="2"/>
      <c r="D3" s="2"/>
      <c r="E3" s="2"/>
      <c r="F3" s="2"/>
      <c r="G3" s="2"/>
      <c r="N3" s="117" cm="1">
        <f t="array" aca="1" ref="N3" ca="1">HYPERLINK(CONCATENATE("#",CELL("address",IF(SUM(N$7:N$259)=0,$N$2,INDEX(N$7:N$259,MATCH(1,N$7:N$259,0))))),SUM(N$7:N$259))</f>
        <v>26</v>
      </c>
    </row>
    <row r="4" spans="1:17" x14ac:dyDescent="0.35">
      <c r="A4" s="2"/>
      <c r="B4" s="2"/>
      <c r="C4" s="2"/>
      <c r="D4" s="2"/>
      <c r="E4" s="2"/>
      <c r="F4" s="2"/>
      <c r="G4" s="37" t="str">
        <f>'Cover sheet'!E17</f>
        <v>FY2025</v>
      </c>
    </row>
    <row r="5" spans="1:17" x14ac:dyDescent="0.35">
      <c r="A5" s="2" t="s">
        <v>7</v>
      </c>
      <c r="B5" s="2"/>
      <c r="C5" s="2" t="s">
        <v>8</v>
      </c>
      <c r="D5" s="2" t="s">
        <v>9</v>
      </c>
      <c r="E5" s="411" t="s">
        <v>467</v>
      </c>
      <c r="F5" s="2"/>
      <c r="G5" s="37" t="s">
        <v>134</v>
      </c>
    </row>
    <row r="6" spans="1:17" x14ac:dyDescent="0.35">
      <c r="A6" s="58"/>
      <c r="B6" s="73" t="s">
        <v>469</v>
      </c>
      <c r="C6" s="83"/>
      <c r="E6"/>
      <c r="Q6" s="15" t="s">
        <v>995</v>
      </c>
    </row>
    <row r="7" spans="1:17" x14ac:dyDescent="0.35">
      <c r="A7" s="5"/>
      <c r="B7" s="5"/>
      <c r="C7" s="201"/>
      <c r="D7" s="5" t="s">
        <v>61</v>
      </c>
      <c r="E7" s="5"/>
      <c r="F7" s="5"/>
      <c r="G7" s="5"/>
      <c r="Q7" s="15" t="s">
        <v>996</v>
      </c>
    </row>
    <row r="8" spans="1:17" x14ac:dyDescent="0.35">
      <c r="A8" s="29"/>
      <c r="B8" s="32"/>
      <c r="C8" s="32"/>
      <c r="D8" s="46"/>
      <c r="E8" s="29"/>
    </row>
    <row r="9" spans="1:17" x14ac:dyDescent="0.35">
      <c r="A9" s="29"/>
      <c r="B9"/>
      <c r="C9"/>
      <c r="D9"/>
      <c r="E9"/>
      <c r="F9"/>
      <c r="G9" s="109"/>
    </row>
    <row r="10" spans="1:17" x14ac:dyDescent="0.35">
      <c r="B10" s="90"/>
      <c r="C10" s="131" t="s">
        <v>997</v>
      </c>
      <c r="D10" s="36" t="s">
        <v>98</v>
      </c>
      <c r="E10"/>
      <c r="F10"/>
      <c r="G10" s="355" t="str">
        <f>IF(COUNT(G11:G15)&gt;0, "Please ensure all figures are entered in £000s", "")</f>
        <v/>
      </c>
    </row>
    <row r="11" spans="1:17" x14ac:dyDescent="0.35">
      <c r="A11" s="72" cm="1">
        <f t="array" aca="1" ref="A11" ca="1">HYPERLINK(CONCATENATE("#",CELL("address",IF(SUM($O11:$O11)=0,A11,INDEX($O11:$O11,MATCH(1,$O11:$O11,0))))),SUM($O11:$O11))</f>
        <v>0</v>
      </c>
      <c r="B11" s="81" t="s">
        <v>5</v>
      </c>
      <c r="C11" s="132" t="s">
        <v>998</v>
      </c>
      <c r="D11" t="s">
        <v>999</v>
      </c>
      <c r="E11"/>
      <c r="F11"/>
      <c r="G11" s="272"/>
      <c r="O11" s="126">
        <f>IF(AND('I&amp;E'!$G$102&lt;&gt;0,ISBLANK(Miscellaneous!G11)),1,0)</f>
        <v>0</v>
      </c>
    </row>
    <row r="12" spans="1:17" x14ac:dyDescent="0.35">
      <c r="A12" s="72" cm="1">
        <f t="array" aca="1" ref="A12" ca="1">HYPERLINK(CONCATENATE("#",CELL("address",IF(SUM($O12:$O12)=0,A12,INDEX($O12:$O12,MATCH(1,$O12:$O12,0))))),SUM($O12:$O12))</f>
        <v>0</v>
      </c>
      <c r="B12" s="81" t="s">
        <v>5</v>
      </c>
      <c r="C12" s="132" t="s">
        <v>1000</v>
      </c>
      <c r="D12" t="s">
        <v>1001</v>
      </c>
      <c r="E12"/>
      <c r="F12"/>
      <c r="G12" s="272"/>
      <c r="O12" s="115">
        <f>IF(OR(ISNUMBER(G12),ISBLANK(G12)),0,1)</f>
        <v>0</v>
      </c>
    </row>
    <row r="13" spans="1:17" x14ac:dyDescent="0.35">
      <c r="A13" s="72" cm="1">
        <f t="array" aca="1" ref="A13" ca="1">HYPERLINK(CONCATENATE("#",CELL("address",IF(SUM($O13:$O13)=0,A13,INDEX($O13:$O13,MATCH(1,$O13:$O13,0))))),SUM($O13:$O13))</f>
        <v>0</v>
      </c>
      <c r="B13" s="81"/>
      <c r="C13" s="132" t="s">
        <v>1002</v>
      </c>
      <c r="D13" t="s">
        <v>1003</v>
      </c>
      <c r="E13"/>
      <c r="F13"/>
      <c r="G13" s="272"/>
      <c r="O13" s="115">
        <f>IF(OR(ISNUMBER(G13),ISBLANK(G13)),0,1)</f>
        <v>0</v>
      </c>
    </row>
    <row r="14" spans="1:17" x14ac:dyDescent="0.35">
      <c r="A14" s="72" cm="1">
        <f t="array" aca="1" ref="A14" ca="1">HYPERLINK(CONCATENATE("#",CELL("address",IF(SUM($O14:$O14)=0,A14,INDEX($O14:$O14,MATCH(1,$O14:$O14,0))))),SUM($O14:$O14))</f>
        <v>0</v>
      </c>
      <c r="B14" s="81" t="s">
        <v>5</v>
      </c>
      <c r="C14" s="132" t="s">
        <v>1004</v>
      </c>
      <c r="D14" t="s">
        <v>1005</v>
      </c>
      <c r="E14"/>
      <c r="F14"/>
      <c r="G14" s="272"/>
      <c r="O14" s="115">
        <f>IF(OR(ISNUMBER(G14),ISBLANK(G14)),0,1)</f>
        <v>0</v>
      </c>
    </row>
    <row r="15" spans="1:17" x14ac:dyDescent="0.35">
      <c r="A15" s="72" cm="1">
        <f t="array" aca="1" ref="A15" ca="1">HYPERLINK(CONCATENATE("#",CELL("address",IF(SUM($O15:$O15)=0,A15,INDEX($O15:$O15,MATCH(1,$O15:$O15,0))))),SUM($O15:$O15))</f>
        <v>0</v>
      </c>
      <c r="B15" s="81" t="s">
        <v>5</v>
      </c>
      <c r="C15" s="132" t="s">
        <v>1006</v>
      </c>
      <c r="D15" t="s">
        <v>1007</v>
      </c>
      <c r="E15"/>
      <c r="F15"/>
      <c r="G15" s="272"/>
      <c r="O15" s="115">
        <f>IF(OR(ISNUMBER(G15),ISBLANK(G15)),0,1)</f>
        <v>0</v>
      </c>
    </row>
    <row r="16" spans="1:17" x14ac:dyDescent="0.35">
      <c r="A16" s="72" cm="1">
        <f t="array" aca="1" ref="A16" ca="1">HYPERLINK(CONCATENATE("#",CELL("address",IF(SUM($O16:$O16)=0,A16,INDEX($O16:$O16,MATCH(1,$O16:$O16,0))))),SUM($O16:$O16))</f>
        <v>0</v>
      </c>
      <c r="B16"/>
      <c r="C16" s="132" t="s">
        <v>1008</v>
      </c>
      <c r="D16" t="s">
        <v>1009</v>
      </c>
      <c r="E16"/>
      <c r="F16"/>
      <c r="G16" s="124"/>
      <c r="O16" s="115">
        <f>IF(ISTEXT(G16),0, IF(ISBLANK(G16), 0, 1))</f>
        <v>0</v>
      </c>
    </row>
    <row r="17" spans="1:15" x14ac:dyDescent="0.35">
      <c r="B17"/>
      <c r="C17" s="132"/>
      <c r="D17"/>
      <c r="E17"/>
      <c r="F17"/>
      <c r="G17" s="34"/>
    </row>
    <row r="18" spans="1:15" x14ac:dyDescent="0.35">
      <c r="A18" s="72" cm="1">
        <f t="array" aca="1" ref="A18" ca="1">HYPERLINK(CONCATENATE("#",CELL("address",IF(SUM($O18:$O18)=0,A18,INDEX($O18:$O18,MATCH(1,$O18:$O18,0))))),SUM($O18:$O18))</f>
        <v>0</v>
      </c>
      <c r="B18" s="81" t="s">
        <v>5</v>
      </c>
      <c r="C18" s="132" t="s">
        <v>1010</v>
      </c>
      <c r="D18" t="s">
        <v>1011</v>
      </c>
      <c r="E18"/>
      <c r="F18"/>
      <c r="G18" s="296"/>
      <c r="O18" s="115">
        <f>IF(OR(ISNUMBER(G18),ISBLANK(G18)),0,1)</f>
        <v>0</v>
      </c>
    </row>
    <row r="19" spans="1:15" x14ac:dyDescent="0.35">
      <c r="A19" s="72" cm="1">
        <f t="array" aca="1" ref="A19" ca="1">HYPERLINK(CONCATENATE("#",CELL("address",IF(SUM($O19:$O19)=0,A19,INDEX($O19:$O19,MATCH(1,$O19:$O19,0))))),SUM($O19:$O19))</f>
        <v>0</v>
      </c>
      <c r="B19" s="81" t="s">
        <v>5</v>
      </c>
      <c r="C19" s="132" t="s">
        <v>1012</v>
      </c>
      <c r="D19" t="s">
        <v>1013</v>
      </c>
      <c r="E19"/>
      <c r="F19"/>
      <c r="G19" s="296"/>
      <c r="O19" s="115">
        <f>IF(OR(ISNUMBER(G19),ISBLANK(G19)),0,1)</f>
        <v>0</v>
      </c>
    </row>
    <row r="20" spans="1:15" x14ac:dyDescent="0.35">
      <c r="B20"/>
      <c r="C20" s="132"/>
      <c r="D20"/>
      <c r="E20"/>
      <c r="F20"/>
      <c r="G20" s="34"/>
    </row>
    <row r="21" spans="1:15" x14ac:dyDescent="0.35">
      <c r="B21" s="90"/>
      <c r="C21" s="131" t="s">
        <v>1014</v>
      </c>
      <c r="D21" s="36" t="s">
        <v>1015</v>
      </c>
      <c r="E21"/>
      <c r="F21"/>
      <c r="G21" s="109"/>
    </row>
    <row r="22" spans="1:15" x14ac:dyDescent="0.35">
      <c r="A22" s="72" cm="1">
        <f t="array" aca="1" ref="A22" ca="1">HYPERLINK(CONCATENATE("#",CELL("address",IF(SUM($O22:$O22)=0,A22,INDEX($O22:$O22,MATCH(1,$O22:$O22,0))))),SUM($O22:$O22))</f>
        <v>0</v>
      </c>
      <c r="B22"/>
      <c r="C22" s="132" t="s">
        <v>1016</v>
      </c>
      <c r="D22" t="s">
        <v>1017</v>
      </c>
      <c r="E22"/>
      <c r="F22"/>
      <c r="G22" s="272"/>
      <c r="O22" s="115">
        <f>IF(OR(ISNUMBER(G22),ISBLANK(G22)),0,1)</f>
        <v>0</v>
      </c>
    </row>
    <row r="23" spans="1:15" x14ac:dyDescent="0.35">
      <c r="A23" s="72" cm="1">
        <f t="array" aca="1" ref="A23" ca="1">HYPERLINK(CONCATENATE("#",CELL("address",IF(SUM($O23:$O23)=0,A23,INDEX($O23:$O23,MATCH(1,$O23:$O23,0))))),SUM($O23:$O23))</f>
        <v>0</v>
      </c>
      <c r="B23" s="81" t="s">
        <v>5</v>
      </c>
      <c r="C23" s="132" t="s">
        <v>1018</v>
      </c>
      <c r="D23" t="s">
        <v>1019</v>
      </c>
      <c r="E23"/>
      <c r="F23"/>
      <c r="G23" s="272"/>
      <c r="O23" s="115">
        <f>IF(OR(ISNUMBER(G23),ISBLANK(G23)),0,1)</f>
        <v>0</v>
      </c>
    </row>
    <row r="24" spans="1:15" x14ac:dyDescent="0.35">
      <c r="A24" s="72" cm="1">
        <f t="array" aca="1" ref="A24" ca="1">HYPERLINK(CONCATENATE("#",CELL("address",IF(SUM($O24:$O24)=0,A24,INDEX($O24:$O24,MATCH(1,$O24:$O24,0))))),SUM($O24:$O24))</f>
        <v>0</v>
      </c>
      <c r="B24"/>
      <c r="C24" s="132" t="s">
        <v>1020</v>
      </c>
      <c r="D24" t="s">
        <v>1021</v>
      </c>
      <c r="E24"/>
      <c r="F24"/>
      <c r="G24" s="272"/>
      <c r="O24" s="115">
        <f>IF(OR(ISNUMBER(G24),ISBLANK(G24)),0,1)</f>
        <v>0</v>
      </c>
    </row>
    <row r="25" spans="1:15" x14ac:dyDescent="0.35">
      <c r="A25" s="72" cm="1">
        <f t="array" aca="1" ref="A25" ca="1">HYPERLINK(CONCATENATE("#",CELL("address",IF(SUM($O25:$O25)=0,A25,INDEX($O25:$O25,MATCH(1,$O25:$O25,0))))),SUM($O25:$O25))</f>
        <v>0</v>
      </c>
      <c r="B25"/>
      <c r="C25" s="132" t="s">
        <v>1022</v>
      </c>
      <c r="D25" t="s">
        <v>1023</v>
      </c>
      <c r="E25"/>
      <c r="F25"/>
      <c r="G25" s="272"/>
      <c r="O25" s="115">
        <f>IF(OR(ISNUMBER(G25),ISBLANK(G25)),0,1)</f>
        <v>0</v>
      </c>
    </row>
    <row r="26" spans="1:15" x14ac:dyDescent="0.35">
      <c r="A26" s="72" cm="1">
        <f t="array" aca="1" ref="A26" ca="1">HYPERLINK(CONCATENATE("#",CELL("address",IF(SUM($O26:$O26)=0,A26,INDEX($O26:$O26,MATCH(1,$O26:$O26,0))))),SUM($O26:$O26))</f>
        <v>0</v>
      </c>
      <c r="B26"/>
      <c r="C26" s="132" t="s">
        <v>1024</v>
      </c>
      <c r="D26" t="s">
        <v>1025</v>
      </c>
      <c r="E26"/>
      <c r="F26"/>
      <c r="G26" s="272"/>
      <c r="O26" s="115">
        <f>IF(OR(ISNUMBER(G26),ISBLANK(G26)),0,1)</f>
        <v>0</v>
      </c>
    </row>
    <row r="27" spans="1:15" x14ac:dyDescent="0.35">
      <c r="B27"/>
      <c r="C27" s="132"/>
      <c r="D27"/>
      <c r="E27"/>
      <c r="F27"/>
      <c r="G27" s="34"/>
    </row>
    <row r="28" spans="1:15" x14ac:dyDescent="0.35">
      <c r="B28" s="90"/>
      <c r="C28" s="131" t="s">
        <v>1026</v>
      </c>
      <c r="D28" s="36" t="s">
        <v>1027</v>
      </c>
      <c r="E28"/>
      <c r="F28"/>
      <c r="G28" s="34"/>
    </row>
    <row r="29" spans="1:15" x14ac:dyDescent="0.35">
      <c r="A29" s="72" cm="1">
        <f t="array" aca="1" ref="A29" ca="1">HYPERLINK(CONCATENATE("#",CELL("address",IF(SUM($O29:$O29)=0,A29,INDEX($O29:$O29,MATCH(1,$O29:$O29,0))))),SUM($O29:$O29))</f>
        <v>0</v>
      </c>
      <c r="B29"/>
      <c r="C29" s="132" t="s">
        <v>1028</v>
      </c>
      <c r="D29" t="s">
        <v>1029</v>
      </c>
      <c r="E29"/>
      <c r="F29"/>
      <c r="G29" s="127"/>
      <c r="N29" s="117">
        <f>IF(G29=0, 1, 0)</f>
        <v>1</v>
      </c>
      <c r="O29" s="126">
        <f>IF(ISBLANK(G29), 0, IF(OR(ISTEXT(G29),ISERR(G29)),0,1))</f>
        <v>0</v>
      </c>
    </row>
    <row r="30" spans="1:15" x14ac:dyDescent="0.35">
      <c r="B30"/>
      <c r="C30" s="132"/>
      <c r="D30"/>
      <c r="E30"/>
      <c r="F30"/>
      <c r="G30" s="34"/>
    </row>
    <row r="31" spans="1:15" x14ac:dyDescent="0.35">
      <c r="B31" s="90"/>
      <c r="C31" s="131" t="s">
        <v>1030</v>
      </c>
      <c r="D31" s="36" t="s">
        <v>1021</v>
      </c>
      <c r="E31"/>
      <c r="F31"/>
      <c r="G31" s="34"/>
    </row>
    <row r="32" spans="1:15" x14ac:dyDescent="0.35">
      <c r="A32" s="72" cm="1">
        <f t="array" aca="1" ref="A32" ca="1">HYPERLINK(CONCATENATE("#",CELL("address",IF(SUM($O32:$O32)=0,A32,INDEX($O32:$O32,MATCH(1,$O32:$O32,0))))),SUM($O32:$O32))</f>
        <v>0</v>
      </c>
      <c r="B32"/>
      <c r="C32" s="132" t="s">
        <v>1031</v>
      </c>
      <c r="D32" t="s">
        <v>1032</v>
      </c>
      <c r="E32"/>
      <c r="F32"/>
      <c r="G32" s="127"/>
      <c r="N32" s="117">
        <f>IF(G32=0, 1, 0)</f>
        <v>1</v>
      </c>
      <c r="O32" s="126">
        <f>IF(ISBLANK(G32), 0, IF(OR(ISTEXT(G32),ISERR(G32)),0,1))</f>
        <v>0</v>
      </c>
    </row>
    <row r="33" spans="1:15" x14ac:dyDescent="0.35">
      <c r="A33" s="72" cm="1">
        <f t="array" aca="1" ref="A33" ca="1">HYPERLINK(CONCATENATE("#",CELL("address",IF(SUM($O33:$O33)=0,A33,INDEX($O33:$O33,MATCH(1,$O33:$O33,0))))),SUM($O33:$O33))</f>
        <v>0</v>
      </c>
      <c r="B33"/>
      <c r="C33" s="132" t="s">
        <v>1033</v>
      </c>
      <c r="D33" t="s">
        <v>1034</v>
      </c>
      <c r="E33"/>
      <c r="F33"/>
      <c r="G33" s="28"/>
      <c r="O33" s="115">
        <f>IF(OR(ISNUMBER(G33),ISBLANK(G33)),0,1)</f>
        <v>0</v>
      </c>
    </row>
    <row r="34" spans="1:15" x14ac:dyDescent="0.35">
      <c r="A34" s="72" cm="1">
        <f t="array" aca="1" ref="A34" ca="1">HYPERLINK(CONCATENATE("#",CELL("address",IF(SUM($O34:$O34)=0,A34,INDEX($O34:$O34,MATCH(1,$O34:$O34,0))))),SUM($O34:$O34))</f>
        <v>0</v>
      </c>
      <c r="B34"/>
      <c r="C34" s="132" t="s">
        <v>1035</v>
      </c>
      <c r="D34" t="s">
        <v>1036</v>
      </c>
      <c r="E34"/>
      <c r="F34"/>
      <c r="G34" s="28"/>
      <c r="O34" s="115">
        <f>IF(OR(ISNUMBER(G34),ISBLANK(G34)),0,1)</f>
        <v>0</v>
      </c>
    </row>
    <row r="35" spans="1:15" x14ac:dyDescent="0.35">
      <c r="B35"/>
      <c r="C35" s="132"/>
      <c r="D35"/>
      <c r="E35"/>
      <c r="F35"/>
      <c r="G35" s="34"/>
    </row>
    <row r="36" spans="1:15" x14ac:dyDescent="0.35">
      <c r="B36" s="90"/>
      <c r="C36" s="131" t="s">
        <v>1037</v>
      </c>
      <c r="D36" s="36" t="s">
        <v>1038</v>
      </c>
      <c r="E36"/>
      <c r="F36"/>
      <c r="G36" s="34"/>
    </row>
    <row r="37" spans="1:15" x14ac:dyDescent="0.35">
      <c r="A37" s="72" cm="1">
        <f t="array" aca="1" ref="A37" ca="1">HYPERLINK(CONCATENATE("#",CELL("address",IF(SUM($O37:$O37)=0,A37,INDEX($O37:$O37,MATCH(1,$O37:$O37,0))))),SUM($O37:$O37))</f>
        <v>0</v>
      </c>
      <c r="B37"/>
      <c r="C37" s="132" t="s">
        <v>1039</v>
      </c>
      <c r="D37" t="s">
        <v>1040</v>
      </c>
      <c r="E37"/>
      <c r="F37"/>
      <c r="G37" s="272"/>
      <c r="O37" s="115">
        <f t="shared" ref="O37:O43" si="0">IF(OR(ISNUMBER(G37),ISBLANK(G37)),0,1)</f>
        <v>0</v>
      </c>
    </row>
    <row r="38" spans="1:15" x14ac:dyDescent="0.35">
      <c r="A38" s="72" cm="1">
        <f t="array" aca="1" ref="A38" ca="1">HYPERLINK(CONCATENATE("#",CELL("address",IF(SUM($O38:$O38)=0,A38,INDEX($O38:$O38,MATCH(1,$O38:$O38,0))))),SUM($O38:$O38))</f>
        <v>0</v>
      </c>
      <c r="B38"/>
      <c r="C38" s="132" t="s">
        <v>1041</v>
      </c>
      <c r="D38" t="s">
        <v>751</v>
      </c>
      <c r="E38"/>
      <c r="F38"/>
      <c r="G38" s="269">
        <f ca="1">SOCI!G45</f>
        <v>0</v>
      </c>
      <c r="O38" s="115">
        <f t="shared" ca="1" si="0"/>
        <v>0</v>
      </c>
    </row>
    <row r="39" spans="1:15" x14ac:dyDescent="0.35">
      <c r="A39" s="72" cm="1">
        <f t="array" aca="1" ref="A39" ca="1">HYPERLINK(CONCATENATE("#",CELL("address",IF(SUM($O39:$O39)=0,A39,INDEX($O39:$O39,MATCH(1,$O39:$O39,0))))),SUM($O39:$O39))</f>
        <v>0</v>
      </c>
      <c r="B39" s="81" t="s">
        <v>5</v>
      </c>
      <c r="C39" s="132" t="s">
        <v>1042</v>
      </c>
      <c r="D39" t="s">
        <v>1043</v>
      </c>
      <c r="E39"/>
      <c r="F39"/>
      <c r="G39" s="272"/>
      <c r="O39" s="115">
        <f t="shared" si="0"/>
        <v>0</v>
      </c>
    </row>
    <row r="40" spans="1:15" x14ac:dyDescent="0.35">
      <c r="A40" s="72" cm="1">
        <f t="array" aca="1" ref="A40" ca="1">HYPERLINK(CONCATENATE("#",CELL("address",IF(SUM($O40:$O40)=0,A40,INDEX($O40:$O40,MATCH(1,$O40:$O40,0))))),SUM($O40:$O40))</f>
        <v>0</v>
      </c>
      <c r="B40"/>
      <c r="C40" s="132" t="s">
        <v>1044</v>
      </c>
      <c r="D40" t="s">
        <v>1045</v>
      </c>
      <c r="E40"/>
      <c r="F40"/>
      <c r="G40" s="272"/>
      <c r="O40" s="115">
        <f t="shared" si="0"/>
        <v>0</v>
      </c>
    </row>
    <row r="41" spans="1:15" x14ac:dyDescent="0.35">
      <c r="A41" s="72" cm="1">
        <f t="array" aca="1" ref="A41" ca="1">HYPERLINK(CONCATENATE("#",CELL("address",IF(SUM($O41:$O41)=0,A41,INDEX($O41:$O41,MATCH(1,$O41:$O41,0))))),SUM($O41:$O41))</f>
        <v>0</v>
      </c>
      <c r="B41"/>
      <c r="C41" s="132" t="s">
        <v>1046</v>
      </c>
      <c r="D41" s="36" t="s">
        <v>1047</v>
      </c>
      <c r="E41"/>
      <c r="F41"/>
      <c r="G41" s="269">
        <f ca="1">SUM(G37:G40)</f>
        <v>0</v>
      </c>
      <c r="O41" s="115">
        <f t="shared" ca="1" si="0"/>
        <v>0</v>
      </c>
    </row>
    <row r="42" spans="1:15" x14ac:dyDescent="0.35">
      <c r="A42" s="72" cm="1">
        <f t="array" aca="1" ref="A42" ca="1">HYPERLINK(CONCATENATE("#",CELL("address",IF(SUM($O42:$O42)=0,A42,INDEX($O42:$O42,MATCH(1,$O42:$O42,0))))),SUM($O42:$O42))</f>
        <v>0</v>
      </c>
      <c r="B42"/>
      <c r="C42" s="132" t="s">
        <v>1048</v>
      </c>
      <c r="D42" t="s">
        <v>1049</v>
      </c>
      <c r="E42"/>
      <c r="F42"/>
      <c r="G42" s="269">
        <f>-G58</f>
        <v>0</v>
      </c>
      <c r="O42" s="115">
        <f t="shared" si="0"/>
        <v>0</v>
      </c>
    </row>
    <row r="43" spans="1:15" x14ac:dyDescent="0.35">
      <c r="A43" s="72" cm="1">
        <f t="array" aca="1" ref="A43" ca="1">HYPERLINK(CONCATENATE("#",CELL("address",IF(SUM($O43:$O43)=0,A43,INDEX($O43:$O43,MATCH(1,$O43:$O43,0))))),SUM($O43:$O43))</f>
        <v>0</v>
      </c>
      <c r="B43" s="36"/>
      <c r="C43" s="133" t="s">
        <v>1037</v>
      </c>
      <c r="D43" s="36" t="s">
        <v>1050</v>
      </c>
      <c r="E43"/>
      <c r="F43"/>
      <c r="G43" s="269">
        <f ca="1">+G41-G42</f>
        <v>0</v>
      </c>
      <c r="O43" s="115">
        <f t="shared" ca="1" si="0"/>
        <v>0</v>
      </c>
    </row>
    <row r="44" spans="1:15" x14ac:dyDescent="0.35">
      <c r="B44"/>
      <c r="C44" s="132"/>
      <c r="D44"/>
      <c r="E44"/>
      <c r="F44"/>
      <c r="G44" s="34"/>
    </row>
    <row r="45" spans="1:15" x14ac:dyDescent="0.35">
      <c r="B45" s="90"/>
      <c r="C45" s="131" t="s">
        <v>1051</v>
      </c>
      <c r="D45" s="36" t="s">
        <v>1052</v>
      </c>
      <c r="E45"/>
      <c r="F45"/>
      <c r="G45" s="1"/>
    </row>
    <row r="46" spans="1:15" x14ac:dyDescent="0.35">
      <c r="A46" s="72" cm="1">
        <f t="array" aca="1" ref="A46" ca="1">HYPERLINK(CONCATENATE("#",CELL("address",IF(SUM($O46:$O46)=0,A46,INDEX($O46:$O46,MATCH(1,$O46:$O46,0))))),SUM($O46:$O46))</f>
        <v>0</v>
      </c>
      <c r="B46"/>
      <c r="C46" s="132" t="s">
        <v>1053</v>
      </c>
      <c r="D46" t="s">
        <v>1054</v>
      </c>
      <c r="E46" t="s">
        <v>1055</v>
      </c>
      <c r="F46"/>
      <c r="G46" s="272"/>
      <c r="O46" s="115">
        <f t="shared" ref="O46:O58" si="1">IF(OR(ISNUMBER(G46),ISBLANK(G46)),0,1)</f>
        <v>0</v>
      </c>
    </row>
    <row r="47" spans="1:15" x14ac:dyDescent="0.35">
      <c r="A47" s="72" cm="1">
        <f t="array" aca="1" ref="A47" ca="1">HYPERLINK(CONCATENATE("#",CELL("address",IF(SUM($O47:$O47)=0,A47,INDEX($O47:$O47,MATCH(1,$O47:$O47,0))))),SUM($O47:$O47))</f>
        <v>0</v>
      </c>
      <c r="B47"/>
      <c r="C47" s="132" t="s">
        <v>1056</v>
      </c>
      <c r="D47" t="s">
        <v>1057</v>
      </c>
      <c r="E47" s="104" t="s">
        <v>1055</v>
      </c>
      <c r="F47"/>
      <c r="G47" s="272"/>
      <c r="O47" s="115">
        <f t="shared" si="1"/>
        <v>0</v>
      </c>
    </row>
    <row r="48" spans="1:15" x14ac:dyDescent="0.35">
      <c r="A48" s="72" cm="1">
        <f t="array" aca="1" ref="A48" ca="1">HYPERLINK(CONCATENATE("#",CELL("address",IF(SUM($O48:$O48)=0,A48,INDEX($O48:$O48,MATCH(1,$O48:$O48,0))))),SUM($O48:$O48))</f>
        <v>0</v>
      </c>
      <c r="B48"/>
      <c r="C48" s="132" t="s">
        <v>1058</v>
      </c>
      <c r="D48" t="s">
        <v>1059</v>
      </c>
      <c r="E48" s="104" t="s">
        <v>1060</v>
      </c>
      <c r="F48"/>
      <c r="G48" s="272"/>
      <c r="O48" s="115">
        <f t="shared" si="1"/>
        <v>0</v>
      </c>
    </row>
    <row r="49" spans="1:15" x14ac:dyDescent="0.35">
      <c r="A49" s="72" cm="1">
        <f t="array" aca="1" ref="A49" ca="1">HYPERLINK(CONCATENATE("#",CELL("address",IF(SUM($O49:$O49)=0,A49,INDEX($O49:$O49,MATCH(1,$O49:$O49,0))))),SUM($O49:$O49))</f>
        <v>0</v>
      </c>
      <c r="B49"/>
      <c r="C49" s="132" t="s">
        <v>1061</v>
      </c>
      <c r="D49" t="s">
        <v>1062</v>
      </c>
      <c r="E49" s="104" t="s">
        <v>1060</v>
      </c>
      <c r="F49"/>
      <c r="G49" s="272"/>
      <c r="O49" s="115">
        <f t="shared" si="1"/>
        <v>0</v>
      </c>
    </row>
    <row r="50" spans="1:15" x14ac:dyDescent="0.35">
      <c r="A50" s="72" cm="1">
        <f t="array" aca="1" ref="A50" ca="1">HYPERLINK(CONCATENATE("#",CELL("address",IF(SUM($O50:$O50)=0,A50,INDEX($O50:$O50,MATCH(1,$O50:$O50,0))))),SUM($O50:$O50))</f>
        <v>0</v>
      </c>
      <c r="B50"/>
      <c r="C50" s="132" t="s">
        <v>1063</v>
      </c>
      <c r="D50" t="s">
        <v>1064</v>
      </c>
      <c r="E50" s="104" t="s">
        <v>1055</v>
      </c>
      <c r="F50"/>
      <c r="G50" s="272"/>
      <c r="O50" s="115">
        <f t="shared" si="1"/>
        <v>0</v>
      </c>
    </row>
    <row r="51" spans="1:15" x14ac:dyDescent="0.35">
      <c r="A51" s="72" cm="1">
        <f t="array" aca="1" ref="A51" ca="1">HYPERLINK(CONCATENATE("#",CELL("address",IF(SUM($O51:$O51)=0,A51,INDEX($O51:$O51,MATCH(1,$O51:$O51,0))))),SUM($O51:$O51))</f>
        <v>0</v>
      </c>
      <c r="B51"/>
      <c r="C51" s="132" t="s">
        <v>1065</v>
      </c>
      <c r="D51" t="s">
        <v>1066</v>
      </c>
      <c r="E51" s="104" t="s">
        <v>1055</v>
      </c>
      <c r="F51"/>
      <c r="G51" s="272"/>
      <c r="O51" s="115">
        <f t="shared" si="1"/>
        <v>0</v>
      </c>
    </row>
    <row r="52" spans="1:15" x14ac:dyDescent="0.35">
      <c r="A52" s="72" cm="1">
        <f t="array" aca="1" ref="A52" ca="1">HYPERLINK(CONCATENATE("#",CELL("address",IF(SUM($O52:$O52)=0,A52,INDEX($O52:$O52,MATCH(1,$O52:$O52,0))))),SUM($O52:$O52))</f>
        <v>0</v>
      </c>
      <c r="B52" s="81" t="s">
        <v>5</v>
      </c>
      <c r="C52" s="132" t="s">
        <v>1067</v>
      </c>
      <c r="D52" t="s">
        <v>1068</v>
      </c>
      <c r="E52" s="104" t="s">
        <v>476</v>
      </c>
      <c r="F52"/>
      <c r="G52" s="272"/>
      <c r="O52" s="115">
        <f t="shared" si="1"/>
        <v>0</v>
      </c>
    </row>
    <row r="53" spans="1:15" x14ac:dyDescent="0.35">
      <c r="A53" s="72" cm="1">
        <f t="array" aca="1" ref="A53" ca="1">HYPERLINK(CONCATENATE("#",CELL("address",IF(SUM($O53:$O53)=0,A53,INDEX($O53:$O53,MATCH(1,$O53:$O53,0))))),SUM($O53:$O53))</f>
        <v>0</v>
      </c>
      <c r="B53" s="81" t="s">
        <v>5</v>
      </c>
      <c r="C53" s="132" t="s">
        <v>1069</v>
      </c>
      <c r="D53" t="s">
        <v>1070</v>
      </c>
      <c r="E53" s="104" t="s">
        <v>1055</v>
      </c>
      <c r="F53"/>
      <c r="G53" s="272"/>
      <c r="O53" s="115">
        <f t="shared" si="1"/>
        <v>0</v>
      </c>
    </row>
    <row r="54" spans="1:15" x14ac:dyDescent="0.35">
      <c r="A54" s="72" cm="1">
        <f t="array" aca="1" ref="A54" ca="1">HYPERLINK(CONCATENATE("#",CELL("address",IF(SUM($O54:$O54)=0,A54,INDEX($O54:$O54,MATCH(1,$O54:$O54,0))))),SUM($O54:$O54))</f>
        <v>0</v>
      </c>
      <c r="B54"/>
      <c r="C54" s="132" t="s">
        <v>1071</v>
      </c>
      <c r="D54" t="s">
        <v>1072</v>
      </c>
      <c r="E54" t="s">
        <v>476</v>
      </c>
      <c r="F54"/>
      <c r="G54" s="272"/>
      <c r="O54" s="115">
        <f t="shared" si="1"/>
        <v>0</v>
      </c>
    </row>
    <row r="55" spans="1:15" x14ac:dyDescent="0.35">
      <c r="A55" s="72" cm="1">
        <f t="array" aca="1" ref="A55" ca="1">HYPERLINK(CONCATENATE("#",CELL("address",IF(SUM($O55:$O55)=0,A55,INDEX($O55:$O55,MATCH(1,$O55:$O55,0))))),SUM($O55:$O55))</f>
        <v>0</v>
      </c>
      <c r="B55"/>
      <c r="C55" s="132" t="s">
        <v>1073</v>
      </c>
      <c r="D55" t="s">
        <v>1074</v>
      </c>
      <c r="E55" t="s">
        <v>1060</v>
      </c>
      <c r="F55"/>
      <c r="G55" s="272"/>
      <c r="O55" s="115">
        <f t="shared" si="1"/>
        <v>0</v>
      </c>
    </row>
    <row r="56" spans="1:15" x14ac:dyDescent="0.35">
      <c r="A56" s="72" cm="1">
        <f t="array" aca="1" ref="A56" ca="1">HYPERLINK(CONCATENATE("#",CELL("address",IF(SUM($O56:$O56)=0,A56,INDEX($O56:$O56,MATCH(1,$O56:$O56,0))))),SUM($O56:$O56))</f>
        <v>0</v>
      </c>
      <c r="B56"/>
      <c r="C56" s="132" t="s">
        <v>1075</v>
      </c>
      <c r="D56" t="s">
        <v>1076</v>
      </c>
      <c r="E56" t="s">
        <v>476</v>
      </c>
      <c r="F56"/>
      <c r="G56" s="272"/>
      <c r="O56" s="115">
        <f t="shared" si="1"/>
        <v>0</v>
      </c>
    </row>
    <row r="57" spans="1:15" x14ac:dyDescent="0.35">
      <c r="A57" s="72" cm="1">
        <f t="array" aca="1" ref="A57" ca="1">HYPERLINK(CONCATENATE("#",CELL("address",IF(SUM($O57:$O57)=0,A57,INDEX($O57:$O57,MATCH(1,$O57:$O57,0))))),SUM($O57:$O57))</f>
        <v>0</v>
      </c>
      <c r="B57"/>
      <c r="C57" s="132" t="s">
        <v>2037</v>
      </c>
      <c r="D57" t="s">
        <v>1975</v>
      </c>
      <c r="E57" t="s">
        <v>476</v>
      </c>
      <c r="F57"/>
      <c r="G57" s="272"/>
      <c r="O57" s="115">
        <f t="shared" si="1"/>
        <v>0</v>
      </c>
    </row>
    <row r="58" spans="1:15" x14ac:dyDescent="0.35">
      <c r="A58" s="72" cm="1">
        <f t="array" aca="1" ref="A58" ca="1">HYPERLINK(CONCATENATE("#",CELL("address",IF(SUM($O58:$O58)=0,A58,INDEX($O58:$O58,MATCH(1,$O58:$O58,0))))),SUM($O58:$O58))</f>
        <v>0</v>
      </c>
      <c r="B58" s="36"/>
      <c r="C58" s="133" t="s">
        <v>1051</v>
      </c>
      <c r="D58" s="36" t="s">
        <v>1077</v>
      </c>
      <c r="E58" s="104" t="s">
        <v>476</v>
      </c>
      <c r="F58"/>
      <c r="G58" s="269">
        <f>SUM(G46:G57)</f>
        <v>0</v>
      </c>
      <c r="O58" s="115">
        <f t="shared" si="1"/>
        <v>0</v>
      </c>
    </row>
    <row r="59" spans="1:15" x14ac:dyDescent="0.35">
      <c r="C59" s="134"/>
    </row>
    <row r="60" spans="1:15" x14ac:dyDescent="0.35">
      <c r="C60" s="131" t="s">
        <v>1078</v>
      </c>
      <c r="D60" s="231" t="s">
        <v>890</v>
      </c>
    </row>
    <row r="61" spans="1:15" x14ac:dyDescent="0.35">
      <c r="A61" s="72" cm="1">
        <f t="array" aca="1" ref="A61" ca="1">HYPERLINK(CONCATENATE("#",CELL("address",IF(SUM($O61:$O61)=0,A61,INDEX($O61:$O61,MATCH(1,$O61:$O61,0))))),SUM($O61:$O61))</f>
        <v>0</v>
      </c>
      <c r="C61" s="132" t="s">
        <v>1079</v>
      </c>
      <c r="D61" s="4" t="s">
        <v>1080</v>
      </c>
      <c r="E61" s="104" t="s">
        <v>1055</v>
      </c>
      <c r="G61" s="272"/>
      <c r="O61" s="115">
        <f t="shared" ref="O61:O67" si="2">IF(OR(ISNUMBER(G61),ISBLANK(G61)),0,1)</f>
        <v>0</v>
      </c>
    </row>
    <row r="62" spans="1:15" x14ac:dyDescent="0.35">
      <c r="A62" s="72" cm="1">
        <f t="array" aca="1" ref="A62" ca="1">HYPERLINK(CONCATENATE("#",CELL("address",IF(SUM($O62:$O62)=0,A62,INDEX($O62:$O62,MATCH(1,$O62:$O62,0))))),SUM($O62:$O62))</f>
        <v>0</v>
      </c>
      <c r="C62" s="132" t="s">
        <v>1081</v>
      </c>
      <c r="D62" s="4" t="s">
        <v>1082</v>
      </c>
      <c r="E62" s="104" t="s">
        <v>1055</v>
      </c>
      <c r="G62" s="272"/>
      <c r="O62" s="115">
        <f t="shared" si="2"/>
        <v>0</v>
      </c>
    </row>
    <row r="63" spans="1:15" x14ac:dyDescent="0.35">
      <c r="A63" s="72" cm="1">
        <f t="array" aca="1" ref="A63" ca="1">HYPERLINK(CONCATENATE("#",CELL("address",IF(SUM($O63:$O63)=0,A63,INDEX($O63:$O63,MATCH(1,$O63:$O63,0))))),SUM($O63:$O63))</f>
        <v>0</v>
      </c>
      <c r="C63" s="132" t="s">
        <v>1083</v>
      </c>
      <c r="D63" s="4" t="s">
        <v>1084</v>
      </c>
      <c r="E63" s="232" t="s">
        <v>476</v>
      </c>
      <c r="G63" s="272"/>
      <c r="O63" s="115">
        <f t="shared" si="2"/>
        <v>0</v>
      </c>
    </row>
    <row r="64" spans="1:15" x14ac:dyDescent="0.35">
      <c r="A64" s="72" cm="1">
        <f t="array" aca="1" ref="A64" ca="1">HYPERLINK(CONCATENATE("#",CELL("address",IF(SUM($O64:$O64)=0,A64,INDEX($O64:$O64,MATCH(1,$O64:$O64,0))))),SUM($O64:$O64))</f>
        <v>0</v>
      </c>
      <c r="C64" s="132" t="s">
        <v>1085</v>
      </c>
      <c r="D64" t="s">
        <v>1086</v>
      </c>
      <c r="E64" s="104" t="s">
        <v>1060</v>
      </c>
      <c r="G64" s="272"/>
      <c r="O64" s="115">
        <f t="shared" si="2"/>
        <v>0</v>
      </c>
    </row>
    <row r="65" spans="1:15" x14ac:dyDescent="0.35">
      <c r="A65" s="72" cm="1">
        <f t="array" aca="1" ref="A65" ca="1">HYPERLINK(CONCATENATE("#",CELL("address",IF(SUM($O65:$O65)=0,A65,INDEX($O65:$O65,MATCH(1,$O65:$O65,0))))),SUM($O65:$O65))</f>
        <v>0</v>
      </c>
      <c r="B65" s="81"/>
      <c r="C65" s="132" t="s">
        <v>1087</v>
      </c>
      <c r="D65" s="4" t="s">
        <v>1072</v>
      </c>
      <c r="E65" s="104" t="s">
        <v>476</v>
      </c>
      <c r="G65" s="272"/>
      <c r="O65" s="115">
        <f t="shared" si="2"/>
        <v>0</v>
      </c>
    </row>
    <row r="66" spans="1:15" x14ac:dyDescent="0.35">
      <c r="A66" s="72" cm="1">
        <f t="array" aca="1" ref="A66" ca="1">HYPERLINK(CONCATENATE("#",CELL("address",IF(SUM($O66:$O66)=0,A66,INDEX($O66:$O66,MATCH(1,$O66:$O66,0))))),SUM($O66:$O66))</f>
        <v>0</v>
      </c>
      <c r="C66" s="132" t="s">
        <v>1088</v>
      </c>
      <c r="D66" s="4" t="s">
        <v>1076</v>
      </c>
      <c r="E66" s="104" t="s">
        <v>476</v>
      </c>
      <c r="G66" s="272"/>
      <c r="O66" s="115">
        <f t="shared" si="2"/>
        <v>0</v>
      </c>
    </row>
    <row r="67" spans="1:15" x14ac:dyDescent="0.35">
      <c r="A67" s="72" cm="1">
        <f t="array" aca="1" ref="A67" ca="1">HYPERLINK(CONCATENATE("#",CELL("address",IF(SUM($O67:$O67)=0,A67,INDEX($O67:$O67,MATCH(1,$O67:$O67,0))))),SUM($O67:$O67))</f>
        <v>0</v>
      </c>
      <c r="C67" s="132" t="s">
        <v>1078</v>
      </c>
      <c r="D67" s="36" t="s">
        <v>1077</v>
      </c>
      <c r="E67" s="104" t="s">
        <v>1055</v>
      </c>
      <c r="G67" s="269">
        <f>SUM(G61:G66)</f>
        <v>0</v>
      </c>
      <c r="O67" s="115">
        <f t="shared" si="2"/>
        <v>0</v>
      </c>
    </row>
    <row r="68" spans="1:15" x14ac:dyDescent="0.35">
      <c r="C68" s="230"/>
      <c r="D68" s="4"/>
    </row>
    <row r="69" spans="1:15" x14ac:dyDescent="0.35">
      <c r="C69" s="131" t="s">
        <v>1089</v>
      </c>
      <c r="D69" s="231" t="s">
        <v>892</v>
      </c>
    </row>
    <row r="70" spans="1:15" x14ac:dyDescent="0.35">
      <c r="A70" s="72" cm="1">
        <f t="array" aca="1" ref="A70" ca="1">HYPERLINK(CONCATENATE("#",CELL("address",IF(SUM($O70:$O70)=0,A70,INDEX($O70:$O70,MATCH(1,$O70:$O70,0))))),SUM($O70:$O70))</f>
        <v>0</v>
      </c>
      <c r="C70" s="132" t="s">
        <v>1090</v>
      </c>
      <c r="D70" s="4" t="s">
        <v>1080</v>
      </c>
      <c r="E70" s="104" t="s">
        <v>1055</v>
      </c>
      <c r="G70" s="272"/>
      <c r="O70" s="115">
        <f t="shared" ref="O70:O76" si="3">IF(OR(ISNUMBER(G70),ISBLANK(G70)),0,1)</f>
        <v>0</v>
      </c>
    </row>
    <row r="71" spans="1:15" x14ac:dyDescent="0.35">
      <c r="A71" s="72" cm="1">
        <f t="array" aca="1" ref="A71" ca="1">HYPERLINK(CONCATENATE("#",CELL("address",IF(SUM($O71:$O71)=0,A71,INDEX($O71:$O71,MATCH(1,$O71:$O71,0))))),SUM($O71:$O71))</f>
        <v>0</v>
      </c>
      <c r="C71" s="132" t="s">
        <v>1091</v>
      </c>
      <c r="D71" s="4" t="s">
        <v>1082</v>
      </c>
      <c r="E71" s="104" t="s">
        <v>1055</v>
      </c>
      <c r="G71" s="272"/>
      <c r="O71" s="115">
        <f t="shared" si="3"/>
        <v>0</v>
      </c>
    </row>
    <row r="72" spans="1:15" x14ac:dyDescent="0.35">
      <c r="A72" s="72" cm="1">
        <f t="array" aca="1" ref="A72" ca="1">HYPERLINK(CONCATENATE("#",CELL("address",IF(SUM($O72:$O72)=0,A72,INDEX($O72:$O72,MATCH(1,$O72:$O72,0))))),SUM($O72:$O72))</f>
        <v>0</v>
      </c>
      <c r="C72" s="132" t="s">
        <v>1092</v>
      </c>
      <c r="D72" s="4" t="s">
        <v>1084</v>
      </c>
      <c r="E72" s="232" t="s">
        <v>476</v>
      </c>
      <c r="G72" s="272"/>
      <c r="O72" s="115">
        <f t="shared" si="3"/>
        <v>0</v>
      </c>
    </row>
    <row r="73" spans="1:15" x14ac:dyDescent="0.35">
      <c r="A73" s="72" cm="1">
        <f t="array" aca="1" ref="A73" ca="1">HYPERLINK(CONCATENATE("#",CELL("address",IF(SUM($O73:$O73)=0,A73,INDEX($O73:$O73,MATCH(1,$O73:$O73,0))))),SUM($O73:$O73))</f>
        <v>0</v>
      </c>
      <c r="C73" s="132" t="s">
        <v>1093</v>
      </c>
      <c r="D73" t="s">
        <v>1086</v>
      </c>
      <c r="E73" s="104" t="s">
        <v>1060</v>
      </c>
      <c r="G73" s="272"/>
      <c r="O73" s="115">
        <f t="shared" si="3"/>
        <v>0</v>
      </c>
    </row>
    <row r="74" spans="1:15" x14ac:dyDescent="0.35">
      <c r="A74" s="72" cm="1">
        <f t="array" aca="1" ref="A74" ca="1">HYPERLINK(CONCATENATE("#",CELL("address",IF(SUM($O74:$O74)=0,A74,INDEX($O74:$O74,MATCH(1,$O74:$O74,0))))),SUM($O74:$O74))</f>
        <v>0</v>
      </c>
      <c r="B74" s="81"/>
      <c r="C74" s="132" t="s">
        <v>1094</v>
      </c>
      <c r="D74" s="4" t="s">
        <v>1072</v>
      </c>
      <c r="E74" s="104" t="s">
        <v>476</v>
      </c>
      <c r="G74" s="272"/>
      <c r="O74" s="115">
        <f t="shared" si="3"/>
        <v>0</v>
      </c>
    </row>
    <row r="75" spans="1:15" x14ac:dyDescent="0.35">
      <c r="A75" s="72" cm="1">
        <f t="array" aca="1" ref="A75" ca="1">HYPERLINK(CONCATENATE("#",CELL("address",IF(SUM($O75:$O75)=0,A75,INDEX($O75:$O75,MATCH(1,$O75:$O75,0))))),SUM($O75:$O75))</f>
        <v>0</v>
      </c>
      <c r="C75" s="132" t="s">
        <v>1095</v>
      </c>
      <c r="D75" s="4" t="s">
        <v>1074</v>
      </c>
      <c r="E75" s="104" t="s">
        <v>1060</v>
      </c>
      <c r="G75" s="272"/>
      <c r="O75" s="115">
        <f t="shared" si="3"/>
        <v>0</v>
      </c>
    </row>
    <row r="76" spans="1:15" x14ac:dyDescent="0.35">
      <c r="A76" s="72" cm="1">
        <f t="array" aca="1" ref="A76" ca="1">HYPERLINK(CONCATENATE("#",CELL("address",IF(SUM($O76:$O76)=0,A76,INDEX($O76:$O76,MATCH(1,$O76:$O76,0))))),SUM($O76:$O76))</f>
        <v>0</v>
      </c>
      <c r="C76" s="132" t="s">
        <v>1096</v>
      </c>
      <c r="D76" s="4" t="s">
        <v>1076</v>
      </c>
      <c r="E76" s="104" t="s">
        <v>476</v>
      </c>
      <c r="G76" s="272"/>
      <c r="O76" s="115">
        <f t="shared" si="3"/>
        <v>0</v>
      </c>
    </row>
    <row r="77" spans="1:15" x14ac:dyDescent="0.35">
      <c r="A77" s="72" cm="1">
        <f t="array" aca="1" ref="A77" ca="1">HYPERLINK(CONCATENATE("#",CELL("address",IF(SUM($O77:$O77)=0,A77,INDEX($O77:$O77,MATCH(1,$O77:$O77,0))))),SUM($O77:$O77))</f>
        <v>0</v>
      </c>
      <c r="C77" s="132" t="s">
        <v>1089</v>
      </c>
      <c r="D77" s="36" t="s">
        <v>1077</v>
      </c>
      <c r="E77" s="104" t="s">
        <v>1055</v>
      </c>
      <c r="G77" s="269">
        <f>SUM(G70:G76)</f>
        <v>0</v>
      </c>
      <c r="O77" s="115">
        <f>IF(OR(ISNUMBER(G77),ISBLANK(G77)),0,1)</f>
        <v>0</v>
      </c>
    </row>
    <row r="78" spans="1:15" x14ac:dyDescent="0.35">
      <c r="C78" s="132"/>
      <c r="D78" s="36"/>
      <c r="E78" s="104"/>
      <c r="G78" s="333"/>
      <c r="O78" s="14"/>
    </row>
    <row r="79" spans="1:15" x14ac:dyDescent="0.35">
      <c r="A79" s="165"/>
      <c r="B79" s="334"/>
      <c r="C79" s="131" t="s">
        <v>1097</v>
      </c>
      <c r="D79" s="335" t="s">
        <v>1098</v>
      </c>
      <c r="E79" s="333"/>
      <c r="F79" s="333"/>
      <c r="G79" s="333"/>
      <c r="H79" s="14"/>
      <c r="L79"/>
      <c r="M79" s="125"/>
      <c r="N79" s="14"/>
      <c r="O79" s="14"/>
    </row>
    <row r="80" spans="1:15" x14ac:dyDescent="0.35">
      <c r="A80" s="165"/>
      <c r="B80" s="165"/>
      <c r="D80" s="336" t="s">
        <v>1099</v>
      </c>
      <c r="E80" s="257"/>
      <c r="F80" s="257"/>
      <c r="G80" s="355" t="str">
        <f>IF(COUNT(G81:G84)&gt;0, "Please ensure all figures are entered in £000s", "")</f>
        <v/>
      </c>
      <c r="H80" s="14"/>
      <c r="L80"/>
      <c r="M80" s="125"/>
      <c r="N80" s="14"/>
      <c r="O80" s="14"/>
    </row>
    <row r="81" spans="1:15" ht="14.25" customHeight="1" x14ac:dyDescent="0.35">
      <c r="A81" s="72" cm="1">
        <f t="array" aca="1" ref="A81" ca="1">HYPERLINK(CONCATENATE("#",CELL("address",IF(SUM($O81:$O81)=0,A81,INDEX($O81:$O81,MATCH(1,$O81:$O81,0))))),SUM($O81:$O81))</f>
        <v>0</v>
      </c>
      <c r="B81" s="149"/>
      <c r="C81" s="331" t="s">
        <v>1100</v>
      </c>
      <c r="D81" s="4" t="s">
        <v>1101</v>
      </c>
      <c r="E81" s="4"/>
      <c r="F81" s="4"/>
      <c r="G81" s="272"/>
      <c r="H81" s="14"/>
      <c r="L81"/>
      <c r="M81" s="125"/>
      <c r="N81" s="14"/>
      <c r="O81" s="115">
        <f>IF(OR(ISNUMBER(G81),ISBLANK(G81)),0,1)</f>
        <v>0</v>
      </c>
    </row>
    <row r="82" spans="1:15" x14ac:dyDescent="0.35">
      <c r="A82" s="72" cm="1">
        <f t="array" aca="1" ref="A82" ca="1">HYPERLINK(CONCATENATE("#",CELL("address",IF(SUM($O82:$O82)=0,A82,INDEX($O82:$O82,MATCH(1,$O82:$O82,0))))),SUM($O82:$O82))</f>
        <v>0</v>
      </c>
      <c r="B82" s="149"/>
      <c r="C82" s="331" t="s">
        <v>1102</v>
      </c>
      <c r="D82" s="4" t="s">
        <v>1103</v>
      </c>
      <c r="E82" s="4"/>
      <c r="F82" s="4"/>
      <c r="G82" s="291"/>
      <c r="H82" s="14"/>
      <c r="L82"/>
      <c r="M82" s="125"/>
      <c r="N82" s="14"/>
      <c r="O82" s="115">
        <f t="shared" ref="O82:O84" si="4">IF(OR(ISNUMBER(G82),ISBLANK(G82)),0,1)</f>
        <v>0</v>
      </c>
    </row>
    <row r="83" spans="1:15" x14ac:dyDescent="0.35">
      <c r="A83" s="72" cm="1">
        <f t="array" aca="1" ref="A83" ca="1">HYPERLINK(CONCATENATE("#",CELL("address",IF(SUM($O83:$O83)=0,A83,INDEX($O83:$O83,MATCH(1,$O83:$O83,0))))),SUM($O83:$O83))</f>
        <v>0</v>
      </c>
      <c r="B83" s="149"/>
      <c r="C83" s="331" t="s">
        <v>1104</v>
      </c>
      <c r="D83" s="4" t="s">
        <v>1968</v>
      </c>
      <c r="E83" s="4"/>
      <c r="F83" s="81" t="s">
        <v>5</v>
      </c>
      <c r="G83" s="185"/>
      <c r="H83" s="14"/>
      <c r="L83"/>
      <c r="M83" s="125"/>
      <c r="N83" s="14"/>
      <c r="O83" s="115">
        <f t="shared" si="4"/>
        <v>0</v>
      </c>
    </row>
    <row r="84" spans="1:15" x14ac:dyDescent="0.35">
      <c r="A84" s="72" cm="1">
        <f t="array" aca="1" ref="A84" ca="1">HYPERLINK(CONCATENATE("#",CELL("address",IF(SUM($O84:$O84)=0,A84,INDEX($O84:$O84,MATCH(1,$O84:$O84,0))))),SUM($O84:$O84))</f>
        <v>0</v>
      </c>
      <c r="B84" s="149"/>
      <c r="C84" s="331" t="s">
        <v>1105</v>
      </c>
      <c r="D84" s="4" t="s">
        <v>1929</v>
      </c>
      <c r="E84" s="4"/>
      <c r="F84" s="81" t="s">
        <v>5</v>
      </c>
      <c r="G84" s="28"/>
      <c r="H84" s="14"/>
      <c r="L84"/>
      <c r="M84" s="125"/>
      <c r="N84" s="14"/>
      <c r="O84" s="115">
        <f t="shared" si="4"/>
        <v>0</v>
      </c>
    </row>
    <row r="85" spans="1:15" x14ac:dyDescent="0.35">
      <c r="A85" s="72" cm="1">
        <f t="array" aca="1" ref="A85" ca="1">HYPERLINK(CONCATENATE("#",CELL("address",IF(SUM($O85:$O85)=0,A85,INDEX($O85:$O85,MATCH(1,$O85:$O85,0))))),SUM($O85:$O85))</f>
        <v>0</v>
      </c>
      <c r="B85" s="149"/>
      <c r="C85" s="331" t="s">
        <v>1106</v>
      </c>
      <c r="D85" s="4" t="s">
        <v>1902</v>
      </c>
      <c r="E85" s="4"/>
      <c r="F85" s="4"/>
      <c r="G85" s="405"/>
      <c r="H85" s="14"/>
      <c r="L85"/>
      <c r="M85" s="125"/>
      <c r="N85" s="14"/>
      <c r="O85" s="126">
        <f>IF(ISBLANK(G121), 0, IF(OR(ISTEXT(G85),ISERR(G85)),0,1))</f>
        <v>0</v>
      </c>
    </row>
    <row r="86" spans="1:15" x14ac:dyDescent="0.35">
      <c r="A86" s="72" cm="1">
        <f t="array" aca="1" ref="A86" ca="1">HYPERLINK(CONCATENATE("#",CELL("address",IF(SUM($O86:$O86)=0,A86,INDEX($O86:$O86,MATCH(1,$O86:$O86,0))))),SUM($O86:$O86))</f>
        <v>0</v>
      </c>
      <c r="B86" s="149"/>
      <c r="C86" s="331" t="s">
        <v>1107</v>
      </c>
      <c r="D86" s="4" t="s">
        <v>1903</v>
      </c>
      <c r="E86" s="4"/>
      <c r="F86" s="4"/>
      <c r="G86" s="405"/>
      <c r="H86" s="14"/>
      <c r="L86"/>
      <c r="M86" s="125"/>
      <c r="N86" s="14"/>
      <c r="O86" s="126">
        <f>IF(ISBLANK(G122), 0, IF(OR(ISTEXT(G86),ISERR(G86)),0,1))</f>
        <v>0</v>
      </c>
    </row>
    <row r="87" spans="1:15" ht="15" thickBot="1" x14ac:dyDescent="0.4">
      <c r="A87" s="72" cm="1">
        <f t="array" aca="1" ref="A87" ca="1">HYPERLINK(CONCATENATE("#",CELL("address",IF(SUM($O87:$O87)=0,A87,INDEX($O87:$O87,MATCH(1,$O87:$O87,0))))),SUM($O87:$O87))</f>
        <v>0</v>
      </c>
      <c r="B87" s="149"/>
      <c r="C87" s="331" t="s">
        <v>1108</v>
      </c>
      <c r="D87" s="4" t="s">
        <v>1904</v>
      </c>
      <c r="E87" s="4"/>
      <c r="F87" s="4"/>
      <c r="G87" s="426"/>
      <c r="H87" s="14"/>
      <c r="L87"/>
      <c r="M87" s="125"/>
      <c r="N87" s="14"/>
      <c r="O87" s="126">
        <f>IF(ISBLANK(G123), 0, IF(OR(ISTEXT(G87),ISERR(G87)),0,1))</f>
        <v>0</v>
      </c>
    </row>
    <row r="88" spans="1:15" ht="29.5" thickBot="1" x14ac:dyDescent="0.4">
      <c r="A88" s="72"/>
      <c r="B88" s="149"/>
      <c r="C88" s="331"/>
      <c r="D88" s="513" t="s">
        <v>1973</v>
      </c>
      <c r="E88" s="514"/>
      <c r="F88" s="4"/>
      <c r="G88" s="427" t="s">
        <v>1924</v>
      </c>
      <c r="H88" s="428" t="s">
        <v>1925</v>
      </c>
      <c r="L88"/>
      <c r="M88" s="125"/>
      <c r="N88" s="14"/>
      <c r="O88" s="126"/>
    </row>
    <row r="89" spans="1:15" x14ac:dyDescent="0.35">
      <c r="A89" s="72" cm="1">
        <f t="array" aca="1" ref="A89" ca="1">HYPERLINK(CONCATENATE("#",CELL("address",IF(SUM($O89:$O89)=0,A89,INDEX($O89:$O89,MATCH(1,$O89:$O89,0))))),SUM($O89:$O89))</f>
        <v>0</v>
      </c>
      <c r="B89" s="149"/>
      <c r="C89" s="331" t="s">
        <v>1995</v>
      </c>
      <c r="D89" s="4" t="s">
        <v>1921</v>
      </c>
      <c r="E89" s="4" t="str" cm="1">
        <f t="array" aca="1" ref="E89" ca="1">IF(O89=1,"Please enter a value at G"&amp;CELL("row",G89),"")</f>
        <v/>
      </c>
      <c r="F89" s="4"/>
      <c r="G89" s="425"/>
      <c r="H89" s="425"/>
      <c r="L89"/>
      <c r="M89" s="125"/>
      <c r="N89" s="14"/>
      <c r="O89" s="126">
        <f>IF(AND('I&amp;E'!$G$102&lt;&gt;0,ISBLANK(Miscellaneous!G89)),1,0)</f>
        <v>0</v>
      </c>
    </row>
    <row r="90" spans="1:15" x14ac:dyDescent="0.35">
      <c r="A90" s="72" cm="1">
        <f t="array" aca="1" ref="A90" ca="1">HYPERLINK(CONCATENATE("#",CELL("address",IF(SUM($O90:$O90)=0,A90,INDEX($O90:$O90,MATCH(1,$O90:$O90,0))))),SUM($O90:$O90))</f>
        <v>0</v>
      </c>
      <c r="B90" s="149"/>
      <c r="C90" s="331" t="s">
        <v>2015</v>
      </c>
      <c r="D90" s="4" t="s">
        <v>1926</v>
      </c>
      <c r="E90" s="4" t="str" cm="1">
        <f t="array" aca="1" ref="E90" ca="1">IF(O90=1,"Please enter a value at G"&amp;CELL("row",G90),"")</f>
        <v/>
      </c>
      <c r="F90" s="4"/>
      <c r="G90" s="429"/>
      <c r="H90" s="429"/>
      <c r="L90"/>
      <c r="M90" s="125"/>
      <c r="N90" s="14"/>
      <c r="O90" s="126">
        <f>IF(ISBLANK(G126), 0, IF(OR(ISTEXT(G90),ISERR(G90)),0,1))</f>
        <v>0</v>
      </c>
    </row>
    <row r="91" spans="1:15" ht="31.5" customHeight="1" x14ac:dyDescent="0.35">
      <c r="A91" s="72" cm="1">
        <f t="array" aca="1" ref="A91" ca="1">HYPERLINK(CONCATENATE("#",CELL("address",IF(SUM($O91:$O91)=0,A91,INDEX($O91:$O91,MATCH(1,$O91:$O91,0))))),SUM($O91:$O91))</f>
        <v>0</v>
      </c>
      <c r="B91" s="149"/>
      <c r="C91" s="132" t="s">
        <v>2016</v>
      </c>
      <c r="D91" s="4" t="s">
        <v>1922</v>
      </c>
      <c r="E91" s="4" t="str" cm="1">
        <f t="array" aca="1" ref="E91" ca="1">IF(O91=1,"Please enter a value at G"&amp;CELL("row",$G$91)&amp;" and/or G"&amp;CELL("row",$G$92),"")</f>
        <v/>
      </c>
      <c r="F91" s="81" t="s">
        <v>5</v>
      </c>
      <c r="G91" s="412"/>
      <c r="H91" s="412"/>
      <c r="L91"/>
      <c r="M91" s="125"/>
      <c r="N91" s="14"/>
      <c r="O91" s="126">
        <f>IF(AND('I&amp;E'!$G$102&lt;&gt;0,ISBLANK(Miscellaneous!$G$91),ISBLANK($G$92)),1,0)</f>
        <v>0</v>
      </c>
    </row>
    <row r="92" spans="1:15" ht="36" customHeight="1" x14ac:dyDescent="0.35">
      <c r="A92" s="72" cm="1">
        <f t="array" aca="1" ref="A92" ca="1">HYPERLINK(CONCATENATE("#",CELL("address",IF(SUM($O92:$O92)=0,A92,INDEX($O92:$O92,MATCH(1,$O92:$O92,0))))),SUM($O92:$O92))</f>
        <v>0</v>
      </c>
      <c r="B92" s="149"/>
      <c r="C92" s="132" t="s">
        <v>1996</v>
      </c>
      <c r="D92" s="4" t="s">
        <v>1923</v>
      </c>
      <c r="E92" s="4" t="str" cm="1">
        <f t="array" aca="1" ref="E92" ca="1">IF(O92=1,"Please enter a value at G"&amp;CELL("row",$G$91)&amp;" and/or G"&amp;CELL("row",$G$92),"")</f>
        <v/>
      </c>
      <c r="F92" s="81" t="s">
        <v>5</v>
      </c>
      <c r="G92" s="429"/>
      <c r="H92" s="429"/>
      <c r="L92"/>
      <c r="M92" s="125"/>
      <c r="N92" s="14"/>
      <c r="O92" s="126">
        <f>IF(AND('I&amp;E'!$G$102&lt;&gt;0,ISBLANK(Miscellaneous!$G$91),ISBLANK($G$92)),1,0)</f>
        <v>0</v>
      </c>
    </row>
    <row r="93" spans="1:15" x14ac:dyDescent="0.35">
      <c r="A93" s="72" cm="1">
        <f t="array" aca="1" ref="A93" ca="1">HYPERLINK(CONCATENATE("#",CELL("address",IF(SUM($O93:$O93)=0,A93,INDEX($O93:$O93,MATCH(1,$O93:$O93,0))))),SUM($O93:$O93))</f>
        <v>0</v>
      </c>
      <c r="B93" s="149"/>
      <c r="C93" s="132" t="s">
        <v>2017</v>
      </c>
      <c r="D93" s="4" t="s">
        <v>1927</v>
      </c>
      <c r="E93" s="4" t="str" cm="1">
        <f t="array" aca="1" ref="E93" ca="1">IF(O93=1,"Please enter a value at G"&amp;CELL("row",G93),"")</f>
        <v/>
      </c>
      <c r="F93" s="4"/>
      <c r="G93" s="436"/>
      <c r="H93" s="14"/>
      <c r="L93"/>
      <c r="M93" s="125"/>
      <c r="N93" s="14"/>
      <c r="O93" s="126">
        <f>IF(AND('I&amp;E'!$G$102&lt;&gt;0,ISBLANK(Miscellaneous!G93)),1,0)</f>
        <v>0</v>
      </c>
    </row>
    <row r="94" spans="1:15" ht="36" customHeight="1" x14ac:dyDescent="0.35">
      <c r="A94" s="72" cm="1">
        <f t="array" aca="1" ref="A94" ca="1">HYPERLINK(CONCATENATE("#",CELL("address",IF(SUM($O94:$O94)=0,A94,INDEX($O94:$O94,MATCH(1,$O94:$O94,0))))),SUM($O94:$O94))</f>
        <v>0</v>
      </c>
      <c r="B94" s="149"/>
      <c r="C94" s="444" t="s">
        <v>2018</v>
      </c>
      <c r="D94" s="4" t="s">
        <v>1928</v>
      </c>
      <c r="E94" s="4" t="str" cm="1">
        <f t="array" aca="1" ref="E94" ca="1">IF(O94=1,"Please enter details of the change at G"&amp;CELL("row",G94),"")</f>
        <v/>
      </c>
      <c r="F94" s="4"/>
      <c r="G94" s="516"/>
      <c r="H94" s="517"/>
      <c r="L94"/>
      <c r="M94" s="125"/>
      <c r="N94" s="14"/>
      <c r="O94" s="126">
        <f>IF(AND('I&amp;E'!$G$102&lt;&gt;0,ISBLANK(Miscellaneous!G94),G93="Yes"),1,0)</f>
        <v>0</v>
      </c>
    </row>
    <row r="95" spans="1:15" x14ac:dyDescent="0.35">
      <c r="A95" s="72"/>
      <c r="B95" s="149"/>
      <c r="C95" s="331"/>
      <c r="D95" s="4"/>
      <c r="E95" s="4"/>
      <c r="F95" s="4"/>
      <c r="G95" s="166"/>
      <c r="H95" s="14"/>
      <c r="L95"/>
      <c r="M95" s="125"/>
      <c r="N95" s="14"/>
      <c r="O95" s="126"/>
    </row>
    <row r="96" spans="1:15" x14ac:dyDescent="0.35">
      <c r="A96" s="149"/>
      <c r="B96" s="149"/>
      <c r="C96" s="35"/>
      <c r="D96" s="166"/>
      <c r="E96" s="181"/>
      <c r="F96" s="166"/>
      <c r="G96" s="166"/>
      <c r="H96" s="14"/>
      <c r="L96"/>
      <c r="M96" s="125"/>
      <c r="N96" s="14"/>
      <c r="O96" s="14"/>
    </row>
    <row r="97" spans="1:15" x14ac:dyDescent="0.35">
      <c r="A97" s="149"/>
      <c r="B97" s="334"/>
      <c r="C97" s="131" t="s">
        <v>1109</v>
      </c>
      <c r="D97" s="335" t="s">
        <v>1110</v>
      </c>
      <c r="E97" s="333"/>
      <c r="F97" s="333"/>
      <c r="G97" s="333"/>
      <c r="H97" s="14"/>
      <c r="L97"/>
      <c r="M97" s="125"/>
      <c r="N97" s="14"/>
      <c r="O97" s="14"/>
    </row>
    <row r="98" spans="1:15" x14ac:dyDescent="0.35">
      <c r="A98" s="149"/>
      <c r="B98" s="149"/>
      <c r="C98" s="337"/>
      <c r="D98" s="337" t="s">
        <v>1111</v>
      </c>
      <c r="E98" s="182"/>
      <c r="F98" s="182"/>
      <c r="G98" s="182"/>
      <c r="H98" s="14"/>
      <c r="L98"/>
      <c r="M98" s="125"/>
      <c r="N98" s="14"/>
      <c r="O98" s="14"/>
    </row>
    <row r="99" spans="1:15" x14ac:dyDescent="0.35">
      <c r="A99" s="149"/>
      <c r="B99" s="149"/>
      <c r="C99" s="337"/>
      <c r="D99" s="337" t="s">
        <v>1112</v>
      </c>
      <c r="E99" s="182"/>
      <c r="F99" s="182"/>
      <c r="G99" s="182"/>
      <c r="H99" s="14"/>
      <c r="L99"/>
      <c r="M99" s="125"/>
      <c r="N99" s="14"/>
      <c r="O99" s="14"/>
    </row>
    <row r="100" spans="1:15" x14ac:dyDescent="0.35">
      <c r="A100" s="149"/>
      <c r="B100" s="149"/>
      <c r="C100" s="337"/>
      <c r="D100" s="337" t="s">
        <v>1113</v>
      </c>
      <c r="E100" s="182"/>
      <c r="F100" s="182"/>
      <c r="G100" s="182"/>
      <c r="H100" s="14"/>
      <c r="L100"/>
      <c r="M100" s="125"/>
      <c r="N100" s="14"/>
      <c r="O100" s="14"/>
    </row>
    <row r="101" spans="1:15" x14ac:dyDescent="0.35">
      <c r="A101" s="149"/>
      <c r="B101" s="149"/>
      <c r="D101" s="518"/>
      <c r="E101" s="519"/>
      <c r="F101" s="519"/>
      <c r="G101" s="520"/>
      <c r="H101" s="14"/>
      <c r="L101"/>
      <c r="M101" s="125"/>
      <c r="N101" s="14"/>
      <c r="O101" s="14"/>
    </row>
    <row r="102" spans="1:15" x14ac:dyDescent="0.35">
      <c r="A102" s="149"/>
      <c r="B102"/>
      <c r="D102" s="521"/>
      <c r="E102" s="506"/>
      <c r="F102" s="506"/>
      <c r="G102" s="522"/>
      <c r="H102" s="14"/>
      <c r="L102"/>
      <c r="M102" s="125"/>
      <c r="N102" s="14"/>
      <c r="O102" s="14"/>
    </row>
    <row r="103" spans="1:15" x14ac:dyDescent="0.35">
      <c r="A103" s="149"/>
      <c r="B103"/>
      <c r="D103" s="521"/>
      <c r="E103" s="506"/>
      <c r="F103" s="506"/>
      <c r="G103" s="522"/>
      <c r="H103" s="14"/>
      <c r="L103"/>
      <c r="M103" s="125"/>
      <c r="N103" s="14"/>
      <c r="O103" s="14"/>
    </row>
    <row r="104" spans="1:15" x14ac:dyDescent="0.35">
      <c r="A104" s="149"/>
      <c r="B104"/>
      <c r="D104" s="523"/>
      <c r="E104" s="524"/>
      <c r="F104" s="524"/>
      <c r="G104" s="525"/>
      <c r="H104" s="14"/>
      <c r="L104"/>
      <c r="M104" s="125"/>
      <c r="N104" s="14"/>
      <c r="O104" s="14"/>
    </row>
    <row r="105" spans="1:15" x14ac:dyDescent="0.35">
      <c r="C105" s="132"/>
      <c r="D105" s="36"/>
      <c r="E105" s="104"/>
      <c r="G105"/>
      <c r="O105"/>
    </row>
    <row r="106" spans="1:15" x14ac:dyDescent="0.35">
      <c r="C106" s="133" t="s">
        <v>1114</v>
      </c>
      <c r="D106" s="36" t="s">
        <v>1115</v>
      </c>
      <c r="E106" s="104"/>
      <c r="G106"/>
      <c r="O106"/>
    </row>
    <row r="107" spans="1:15" x14ac:dyDescent="0.35">
      <c r="A107" s="72" cm="1">
        <f t="array" aca="1" ref="A107" ca="1">HYPERLINK(CONCATENATE("#",CELL("address",IF(SUM($O107:$O107)=0,A107,INDEX($O107:$O107,MATCH(1,$O107:$O107,0))))),SUM($O107:$O107))</f>
        <v>0</v>
      </c>
      <c r="C107" s="132" t="s">
        <v>1116</v>
      </c>
      <c r="D107" t="s">
        <v>1117</v>
      </c>
      <c r="E107" s="104"/>
      <c r="G107" s="272"/>
      <c r="N107" s="117">
        <f>IF(G107=0, 1, 0)</f>
        <v>1</v>
      </c>
      <c r="O107" s="126">
        <f t="shared" ref="O107:O118" si="5">IF(ISBLANK(G107), 0, IF(OR(ISTEXT(G107),ISERR(G107)),0,1))</f>
        <v>0</v>
      </c>
    </row>
    <row r="108" spans="1:15" x14ac:dyDescent="0.35">
      <c r="A108" s="72" cm="1">
        <f t="array" aca="1" ref="A108" ca="1">HYPERLINK(CONCATENATE("#",CELL("address",IF(SUM($O108:$O108)=0,A108,INDEX($O108:$O108,MATCH(1,$O108:$O108,0))))),SUM($O108:$O108))</f>
        <v>0</v>
      </c>
      <c r="C108" s="132" t="s">
        <v>1978</v>
      </c>
      <c r="D108" t="s">
        <v>1930</v>
      </c>
      <c r="E108" s="104"/>
      <c r="G108" s="413"/>
      <c r="N108" s="117">
        <f>IF(G108=0, 1, 0)</f>
        <v>1</v>
      </c>
      <c r="O108" s="126"/>
    </row>
    <row r="109" spans="1:15" x14ac:dyDescent="0.35">
      <c r="A109" s="72" cm="1">
        <f t="array" aca="1" ref="A109" ca="1">HYPERLINK(CONCATENATE("#",CELL("address",IF(SUM($O109:$O109)=0,A109,INDEX($O109:$O109,MATCH(1,$O109:$O109,0))))),SUM($O109:$O109))</f>
        <v>0</v>
      </c>
      <c r="C109" s="132" t="s">
        <v>1118</v>
      </c>
      <c r="D109" s="4" t="s">
        <v>1119</v>
      </c>
      <c r="F109" s="407" t="s">
        <v>5</v>
      </c>
      <c r="G109" s="272"/>
      <c r="N109" s="117">
        <f>IF(G109=0, 1, 0)</f>
        <v>1</v>
      </c>
      <c r="O109" s="126">
        <f t="shared" si="5"/>
        <v>0</v>
      </c>
    </row>
    <row r="110" spans="1:15" x14ac:dyDescent="0.35">
      <c r="A110" s="72" cm="1">
        <f t="array" aca="1" ref="A110" ca="1">HYPERLINK(CONCATENATE("#",CELL("address",IF(SUM($O110:$O110)=0,A110,INDEX($O110:$O110,MATCH(1,$O110:$O110,0))))),SUM($O110:$O110))</f>
        <v>0</v>
      </c>
      <c r="C110" s="132" t="s">
        <v>1979</v>
      </c>
      <c r="D110" s="4" t="s">
        <v>2000</v>
      </c>
      <c r="F110" s="407"/>
      <c r="G110" s="413"/>
      <c r="N110" s="117">
        <f>IF(G110=0, 1, 0)</f>
        <v>1</v>
      </c>
      <c r="O110" s="126"/>
    </row>
    <row r="111" spans="1:15" x14ac:dyDescent="0.35">
      <c r="C111" s="132"/>
      <c r="D111" s="4"/>
      <c r="N111" s="14"/>
      <c r="O111" s="14"/>
    </row>
    <row r="112" spans="1:15" x14ac:dyDescent="0.35">
      <c r="C112" s="133" t="s">
        <v>1120</v>
      </c>
      <c r="D112" s="231" t="s">
        <v>1121</v>
      </c>
      <c r="G112"/>
      <c r="N112" s="14"/>
      <c r="O112" s="14"/>
    </row>
    <row r="113" spans="1:15" x14ac:dyDescent="0.35">
      <c r="A113" s="72" cm="1">
        <f t="array" aca="1" ref="A113" ca="1">HYPERLINK(CONCATENATE("#",CELL("address",IF(SUM($O113:$O113)=0,A113,INDEX($O113:$O113,MATCH(1,$O113:$O113,0))))),SUM($O113:$O113))</f>
        <v>0</v>
      </c>
      <c r="C113" s="132" t="s">
        <v>1122</v>
      </c>
      <c r="D113" s="4" t="s">
        <v>1123</v>
      </c>
      <c r="G113" s="272"/>
      <c r="N113" s="14"/>
      <c r="O113" s="115">
        <f>IF(OR(ISNUMBER(G113),ISBLANK(G113)),0,1)</f>
        <v>0</v>
      </c>
    </row>
    <row r="114" spans="1:15" ht="29" x14ac:dyDescent="0.35">
      <c r="A114" s="72" cm="1">
        <f t="array" aca="1" ref="A114" ca="1">HYPERLINK(CONCATENATE("#",CELL("address",IF(SUM($O114:$O114)=0,A114,INDEX($O114:$O114,MATCH(1,$O114:$O114,0))))),SUM($O114:$O114))</f>
        <v>0</v>
      </c>
      <c r="B114" s="81" t="s">
        <v>5</v>
      </c>
      <c r="C114" s="132" t="s">
        <v>1124</v>
      </c>
      <c r="D114" s="329" t="s">
        <v>1125</v>
      </c>
      <c r="G114" s="272"/>
      <c r="N114" s="14"/>
      <c r="O114" s="126">
        <f>IF(AND('I&amp;E'!$G$102&lt;&gt;0,ISBLANK(Miscellaneous!G114)),1,0)</f>
        <v>0</v>
      </c>
    </row>
    <row r="115" spans="1:15" x14ac:dyDescent="0.35">
      <c r="C115" s="132"/>
      <c r="D115" s="329"/>
      <c r="N115" s="14"/>
      <c r="O115" s="14"/>
    </row>
    <row r="116" spans="1:15" x14ac:dyDescent="0.35">
      <c r="C116" s="131" t="s">
        <v>1126</v>
      </c>
      <c r="D116" s="330" t="s">
        <v>1127</v>
      </c>
      <c r="E116" s="73"/>
      <c r="F116" s="73"/>
      <c r="G116" s="73"/>
      <c r="H116" s="73"/>
      <c r="N116" s="14"/>
      <c r="O116" s="14"/>
    </row>
    <row r="117" spans="1:15" x14ac:dyDescent="0.35">
      <c r="A117" s="72" cm="1">
        <f t="array" aca="1" ref="A117" ca="1">HYPERLINK(CONCATENATE("#",CELL("address",IF(SUM($O117:$O117)=0,A117,INDEX($O117:$O117,MATCH(1,$O117:$O117,0))))),SUM($O117:$O117))</f>
        <v>0</v>
      </c>
      <c r="B117"/>
      <c r="C117" s="331" t="s">
        <v>1128</v>
      </c>
      <c r="D117" s="4" t="s">
        <v>1129</v>
      </c>
      <c r="E117" s="329"/>
      <c r="F117" s="329"/>
      <c r="G117" s="145"/>
      <c r="H117" s="14"/>
      <c r="M117"/>
      <c r="N117" s="117">
        <f t="shared" ref="N117:N121" si="6">IF(G117=0, 1, 0)</f>
        <v>1</v>
      </c>
      <c r="O117" s="126">
        <f t="shared" si="5"/>
        <v>0</v>
      </c>
    </row>
    <row r="118" spans="1:15" x14ac:dyDescent="0.35">
      <c r="A118" s="72" cm="1">
        <f t="array" aca="1" ref="A118" ca="1">HYPERLINK(CONCATENATE("#",CELL("address",IF(SUM($O118:$O118)=0,A118,INDEX($O118:$O118,MATCH(1,$O118:$O118,0))))),SUM($O118:$O118))</f>
        <v>0</v>
      </c>
      <c r="B118"/>
      <c r="C118" s="331" t="s">
        <v>1130</v>
      </c>
      <c r="D118" s="4" t="s">
        <v>1131</v>
      </c>
      <c r="E118" s="329"/>
      <c r="F118" s="329"/>
      <c r="G118" s="145"/>
      <c r="H118" s="14"/>
      <c r="M118"/>
      <c r="N118" s="117">
        <f t="shared" si="6"/>
        <v>1</v>
      </c>
      <c r="O118" s="126">
        <f t="shared" si="5"/>
        <v>0</v>
      </c>
    </row>
    <row r="119" spans="1:15" x14ac:dyDescent="0.35">
      <c r="A119" s="72" cm="1">
        <f t="array" aca="1" ref="A119" ca="1">HYPERLINK(CONCATENATE("#",CELL("address",IF(SUM($O119:$O119)=0,A119,INDEX($O119:$O119,MATCH(1,$O119:$O119,0))))),SUM($O119:$O119))</f>
        <v>0</v>
      </c>
      <c r="B119"/>
      <c r="C119" s="331" t="s">
        <v>1132</v>
      </c>
      <c r="D119" s="4" t="s">
        <v>1133</v>
      </c>
      <c r="E119" s="329"/>
      <c r="F119" s="329"/>
      <c r="G119" s="28"/>
      <c r="H119" s="14"/>
      <c r="M119"/>
      <c r="N119" s="117">
        <f>IF(ISBLANK(G119), 1, 0)</f>
        <v>1</v>
      </c>
      <c r="O119" s="126">
        <f>IF(ISBLANK(G119), 0, IF(OR(ISNUMBER(G119),ISERR(G119)),0,1))</f>
        <v>0</v>
      </c>
    </row>
    <row r="120" spans="1:15" x14ac:dyDescent="0.35">
      <c r="A120" s="72" cm="1">
        <f t="array" aca="1" ref="A120" ca="1">HYPERLINK(CONCATENATE("#",CELL("address",IF(SUM($O120:$O120)=0,A120,INDEX($O120:$O120,MATCH(1,$O120:$O120,0))))),SUM($O120:$O120))</f>
        <v>0</v>
      </c>
      <c r="B120"/>
      <c r="C120" s="331" t="s">
        <v>1134</v>
      </c>
      <c r="D120" s="4" t="s">
        <v>1135</v>
      </c>
      <c r="E120" s="329"/>
      <c r="F120" s="329"/>
      <c r="G120" s="28"/>
      <c r="H120" s="14"/>
      <c r="M120"/>
      <c r="N120" s="117">
        <f>IF(ISBLANK(G120), 1, 0)</f>
        <v>1</v>
      </c>
      <c r="O120" s="126">
        <f>IF(ISBLANK(G120), 0, IF(OR(ISNUMBER(G120),ISERR(G120)),0,1))</f>
        <v>0</v>
      </c>
    </row>
    <row r="121" spans="1:15" x14ac:dyDescent="0.35">
      <c r="A121" s="72" cm="1">
        <f t="array" aca="1" ref="A121" ca="1">HYPERLINK(CONCATENATE("#",CELL("address",IF(SUM($O121:$O121)=0,A121,INDEX($O121:$O121,MATCH(1,$O121:$O121,0))))),SUM($O121:$O121))</f>
        <v>0</v>
      </c>
      <c r="B121"/>
      <c r="C121" s="331" t="s">
        <v>1136</v>
      </c>
      <c r="D121" s="4" t="s">
        <v>1137</v>
      </c>
      <c r="E121" s="329"/>
      <c r="F121" s="329"/>
      <c r="G121" s="145"/>
      <c r="H121" s="14"/>
      <c r="M121"/>
      <c r="N121" s="117">
        <f t="shared" si="6"/>
        <v>1</v>
      </c>
      <c r="O121" s="126">
        <f>IF(ISBLANK(G121), 0, IF(OR(ISTEXT(G121),ISERR(G121)),0,1))</f>
        <v>0</v>
      </c>
    </row>
    <row r="122" spans="1:15" x14ac:dyDescent="0.35">
      <c r="A122"/>
      <c r="B122"/>
      <c r="C122" s="165"/>
      <c r="D122" s="32"/>
      <c r="E122" s="32"/>
      <c r="F122" s="32"/>
      <c r="G122" s="32"/>
      <c r="H122" s="34"/>
      <c r="O122" s="14"/>
    </row>
    <row r="123" spans="1:15" x14ac:dyDescent="0.35">
      <c r="A123"/>
      <c r="B123"/>
      <c r="C123" s="165"/>
      <c r="D123" s="332" t="s">
        <v>1138</v>
      </c>
      <c r="E123" s="332" t="s">
        <v>1139</v>
      </c>
      <c r="F123" s="29"/>
      <c r="G123" s="29"/>
      <c r="H123" s="29"/>
      <c r="O123" s="14"/>
    </row>
    <row r="124" spans="1:15" x14ac:dyDescent="0.35">
      <c r="A124" s="72" cm="1">
        <f t="array" aca="1" ref="A124" ca="1">HYPERLINK(CONCATENATE("#",CELL("address",IF(SUM($O124:$O124)=0,A124,INDEX($O124:$O124,MATCH(1,$O124:$O124,0))))),SUM($O124:$O124))</f>
        <v>0</v>
      </c>
      <c r="B124"/>
      <c r="C124" s="331" t="s">
        <v>1140</v>
      </c>
      <c r="D124" s="184"/>
      <c r="E124" s="374"/>
      <c r="F124" s="29"/>
      <c r="G124" s="29"/>
      <c r="H124" s="29"/>
      <c r="O124" s="14"/>
    </row>
    <row r="125" spans="1:15" x14ac:dyDescent="0.35">
      <c r="A125" s="72" cm="1">
        <f t="array" aca="1" ref="A125" ca="1">HYPERLINK(CONCATENATE("#",CELL("address",IF(SUM($O125:$O125)=0,A125,INDEX($O125:$O125,MATCH(1,$O125:$O125,0))))),SUM($O125:$O125))</f>
        <v>0</v>
      </c>
      <c r="B125"/>
      <c r="C125" s="331" t="s">
        <v>1141</v>
      </c>
      <c r="D125" s="184"/>
      <c r="E125" s="374"/>
      <c r="F125" s="29"/>
      <c r="G125" s="29"/>
      <c r="H125" s="29"/>
      <c r="O125" s="14"/>
    </row>
    <row r="126" spans="1:15" x14ac:dyDescent="0.35">
      <c r="A126" s="72" cm="1">
        <f t="array" aca="1" ref="A126" ca="1">HYPERLINK(CONCATENATE("#",CELL("address",IF(SUM($O126:$O126)=0,A126,INDEX($O126:$O126,MATCH(1,$O126:$O126,0))))),SUM($O126:$O126))</f>
        <v>0</v>
      </c>
      <c r="B126"/>
      <c r="C126" s="331" t="s">
        <v>1142</v>
      </c>
      <c r="D126" s="184"/>
      <c r="E126" s="374"/>
      <c r="F126" s="29"/>
      <c r="G126" s="29"/>
      <c r="H126" s="29"/>
      <c r="O126" s="14"/>
    </row>
    <row r="127" spans="1:15" x14ac:dyDescent="0.35">
      <c r="A127" s="72" cm="1">
        <f t="array" aca="1" ref="A127" ca="1">HYPERLINK(CONCATENATE("#",CELL("address",IF(SUM($O127:$O127)=0,A127,INDEX($O127:$O127,MATCH(1,$O127:$O127,0))))),SUM($O127:$O127))</f>
        <v>0</v>
      </c>
      <c r="B127"/>
      <c r="C127" s="331" t="s">
        <v>1143</v>
      </c>
      <c r="D127" s="184"/>
      <c r="E127" s="374"/>
      <c r="F127" s="29"/>
      <c r="G127" s="29"/>
      <c r="H127" s="29"/>
      <c r="O127" s="14"/>
    </row>
    <row r="128" spans="1:15" x14ac:dyDescent="0.35">
      <c r="A128" s="72" cm="1">
        <f t="array" aca="1" ref="A128" ca="1">HYPERLINK(CONCATENATE("#",CELL("address",IF(SUM($O128:$O128)=0,A128,INDEX($O128:$O128,MATCH(1,$O128:$O128,0))))),SUM($O128:$O128))</f>
        <v>0</v>
      </c>
      <c r="B128"/>
      <c r="C128" s="331" t="s">
        <v>1144</v>
      </c>
      <c r="D128" s="184"/>
      <c r="E128" s="374"/>
      <c r="F128" s="29"/>
      <c r="G128" s="29"/>
      <c r="H128" s="29"/>
      <c r="O128" s="14"/>
    </row>
    <row r="129" spans="1:15" x14ac:dyDescent="0.35">
      <c r="A129" s="72" cm="1">
        <f t="array" aca="1" ref="A129" ca="1">HYPERLINK(CONCATENATE("#",CELL("address",IF(SUM($O129:$O129)=0,A129,INDEX($O129:$O129,MATCH(1,$O129:$O129,0))))),SUM($O129:$O129))</f>
        <v>0</v>
      </c>
      <c r="B129"/>
      <c r="C129" s="331" t="s">
        <v>1145</v>
      </c>
      <c r="D129" s="184"/>
      <c r="E129" s="374"/>
      <c r="F129" s="29"/>
      <c r="G129" s="29"/>
      <c r="H129" s="29"/>
      <c r="O129" s="14"/>
    </row>
    <row r="130" spans="1:15" x14ac:dyDescent="0.35">
      <c r="A130" s="72" cm="1">
        <f t="array" aca="1" ref="A130" ca="1">HYPERLINK(CONCATENATE("#",CELL("address",IF(SUM($O130:$O130)=0,A130,INDEX($O130:$O130,MATCH(1,$O130:$O130,0))))),SUM($O130:$O130))</f>
        <v>0</v>
      </c>
      <c r="B130"/>
      <c r="C130" s="331" t="s">
        <v>1146</v>
      </c>
      <c r="D130" s="184"/>
      <c r="E130" s="374"/>
      <c r="F130" s="29"/>
      <c r="G130" s="29"/>
      <c r="H130" s="29"/>
      <c r="O130" s="14"/>
    </row>
    <row r="131" spans="1:15" x14ac:dyDescent="0.35">
      <c r="A131" s="72" cm="1">
        <f t="array" aca="1" ref="A131" ca="1">HYPERLINK(CONCATENATE("#",CELL("address",IF(SUM($O131:$O131)=0,A131,INDEX($O131:$O131,MATCH(1,$O131:$O131,0))))),SUM($O131:$O131))</f>
        <v>0</v>
      </c>
      <c r="B131"/>
      <c r="C131" s="331" t="s">
        <v>1147</v>
      </c>
      <c r="D131" s="184"/>
      <c r="E131" s="374"/>
      <c r="F131" s="29"/>
      <c r="G131" s="29"/>
      <c r="H131" s="29"/>
      <c r="O131" s="14"/>
    </row>
    <row r="132" spans="1:15" x14ac:dyDescent="0.35">
      <c r="A132" s="72" cm="1">
        <f t="array" aca="1" ref="A132" ca="1">HYPERLINK(CONCATENATE("#",CELL("address",IF(SUM($O132:$O132)=0,A132,INDEX($O132:$O132,MATCH(1,$O132:$O132,0))))),SUM($O132:$O132))</f>
        <v>0</v>
      </c>
      <c r="B132"/>
      <c r="C132" s="331" t="s">
        <v>1148</v>
      </c>
      <c r="D132" s="184"/>
      <c r="E132" s="374"/>
      <c r="F132" s="29"/>
      <c r="G132" s="29"/>
      <c r="H132" s="29"/>
      <c r="O132" s="14"/>
    </row>
    <row r="133" spans="1:15" x14ac:dyDescent="0.35">
      <c r="A133" s="230"/>
      <c r="C133" s="230"/>
      <c r="D133" s="4"/>
      <c r="N133" s="14"/>
      <c r="O133" s="14"/>
    </row>
    <row r="134" spans="1:15" x14ac:dyDescent="0.35">
      <c r="A134" s="149"/>
      <c r="B134" s="334"/>
      <c r="C134" s="131"/>
      <c r="D134" s="335" t="s">
        <v>1149</v>
      </c>
      <c r="E134" s="333"/>
      <c r="F134" s="333"/>
      <c r="G134" s="279" t="s">
        <v>134</v>
      </c>
      <c r="H134" s="14"/>
      <c r="L134"/>
      <c r="M134" s="125"/>
      <c r="N134" s="14"/>
      <c r="O134" s="14"/>
    </row>
    <row r="135" spans="1:15" x14ac:dyDescent="0.35">
      <c r="A135" s="72" cm="1">
        <f t="array" aca="1" ref="A135" ca="1">HYPERLINK(CONCATENATE("#",CELL("address",IF(SUM($O135:$O135)=0,A135,INDEX($O135:$O135,MATCH(1,$O135:$O135,0))))),SUM($O135:$O135))</f>
        <v>0</v>
      </c>
      <c r="B135" s="149"/>
      <c r="C135" s="331" t="s">
        <v>1150</v>
      </c>
      <c r="D135" s="396" t="s">
        <v>1151</v>
      </c>
      <c r="E135" s="4"/>
      <c r="F135" s="4"/>
      <c r="G135" s="272"/>
      <c r="H135" s="14"/>
      <c r="L135"/>
      <c r="M135" s="125"/>
      <c r="N135" s="14"/>
      <c r="O135" s="115">
        <f>IF(OR(ISNUMBER(G135),ISBLANK(G135)),0,1)</f>
        <v>0</v>
      </c>
    </row>
    <row r="136" spans="1:15" x14ac:dyDescent="0.35">
      <c r="A136" s="72" cm="1">
        <f t="array" aca="1" ref="A136" ca="1">HYPERLINK(CONCATENATE("#",CELL("address",IF(SUM($O136:$O136)=0,A136,INDEX($O136:$O136,MATCH(1,$O136:$O136,0))))),SUM($O136:$O136))</f>
        <v>0</v>
      </c>
      <c r="B136" s="149"/>
      <c r="C136" s="331" t="s">
        <v>1152</v>
      </c>
      <c r="D136" s="396" t="s">
        <v>1153</v>
      </c>
      <c r="E136" s="4"/>
      <c r="F136" s="4"/>
      <c r="G136" s="272"/>
      <c r="H136" s="14"/>
      <c r="L136"/>
      <c r="M136" s="125"/>
      <c r="N136" s="14"/>
      <c r="O136" s="115">
        <f>IF(OR(ISNUMBER(G136),ISBLANK(G136)),0,1)</f>
        <v>0</v>
      </c>
    </row>
    <row r="137" spans="1:15" x14ac:dyDescent="0.35">
      <c r="B137" s="149"/>
      <c r="C137" s="331"/>
      <c r="D137" s="396"/>
      <c r="E137" s="4"/>
      <c r="F137" s="4"/>
      <c r="G137" s="29"/>
      <c r="H137" s="14"/>
      <c r="L137"/>
      <c r="M137" s="125"/>
      <c r="N137" s="14"/>
      <c r="O137" s="14"/>
    </row>
    <row r="138" spans="1:15" x14ac:dyDescent="0.35">
      <c r="B138" s="81" t="s">
        <v>5</v>
      </c>
      <c r="C138" s="331"/>
      <c r="D138" s="397" t="s">
        <v>1154</v>
      </c>
      <c r="E138" s="4"/>
      <c r="F138" s="4"/>
      <c r="G138" s="29"/>
      <c r="H138" s="14"/>
      <c r="L138"/>
      <c r="M138" s="125"/>
      <c r="N138" s="14"/>
      <c r="O138" s="14"/>
    </row>
    <row r="139" spans="1:15" x14ac:dyDescent="0.35">
      <c r="A139" s="72" cm="1">
        <f t="array" aca="1" ref="A139" ca="1">HYPERLINK(CONCATENATE("#",CELL("address",IF(SUM($O139:$O139)=0,A139,INDEX($O139:$O139,MATCH(1,$O139:$O139,0))))),SUM($O139:$O139))</f>
        <v>0</v>
      </c>
      <c r="B139" s="149"/>
      <c r="C139" s="331" t="s">
        <v>1155</v>
      </c>
      <c r="D139" s="396" t="s">
        <v>1156</v>
      </c>
      <c r="E139" s="4"/>
      <c r="F139" s="4"/>
      <c r="G139" s="272"/>
      <c r="H139" s="14"/>
      <c r="L139"/>
      <c r="M139" s="125"/>
      <c r="N139" s="14"/>
      <c r="O139" s="115">
        <f t="shared" ref="O139:O159" si="7">IF(OR(ISNUMBER(G139),ISBLANK(G139)),0,1)</f>
        <v>0</v>
      </c>
    </row>
    <row r="140" spans="1:15" x14ac:dyDescent="0.35">
      <c r="A140" s="72" cm="1">
        <f t="array" aca="1" ref="A140" ca="1">HYPERLINK(CONCATENATE("#",CELL("address",IF(SUM($O140:$O140)=0,A140,INDEX($O140:$O140,MATCH(1,$O140:$O140,0))))),SUM($O140:$O140))</f>
        <v>0</v>
      </c>
      <c r="B140" s="149"/>
      <c r="C140" s="331" t="s">
        <v>1157</v>
      </c>
      <c r="D140" s="396" t="s">
        <v>1158</v>
      </c>
      <c r="E140" s="4"/>
      <c r="F140" s="4"/>
      <c r="G140" s="272"/>
      <c r="H140" s="14"/>
      <c r="L140"/>
      <c r="M140" s="125"/>
      <c r="N140" s="14"/>
      <c r="O140" s="115">
        <f t="shared" si="7"/>
        <v>0</v>
      </c>
    </row>
    <row r="141" spans="1:15" x14ac:dyDescent="0.35">
      <c r="A141" s="72" cm="1">
        <f t="array" aca="1" ref="A141" ca="1">HYPERLINK(CONCATENATE("#",CELL("address",IF(SUM($O141:$O141)=0,A141,INDEX($O141:$O141,MATCH(1,$O141:$O141,0))))),SUM($O141:$O141))</f>
        <v>0</v>
      </c>
      <c r="B141" s="149"/>
      <c r="C141" s="331" t="s">
        <v>1159</v>
      </c>
      <c r="D141" s="396" t="s">
        <v>1160</v>
      </c>
      <c r="E141" s="4"/>
      <c r="F141" s="4"/>
      <c r="G141" s="272"/>
      <c r="H141" s="14"/>
      <c r="L141"/>
      <c r="M141" s="125"/>
      <c r="N141" s="14"/>
      <c r="O141" s="115">
        <f t="shared" si="7"/>
        <v>0</v>
      </c>
    </row>
    <row r="142" spans="1:15" x14ac:dyDescent="0.35">
      <c r="A142" s="72" cm="1">
        <f t="array" aca="1" ref="A142" ca="1">HYPERLINK(CONCATENATE("#",CELL("address",IF(SUM($O142:$O142)=0,A142,INDEX($O142:$O142,MATCH(1,$O142:$O142,0))))),SUM($O142:$O142))</f>
        <v>0</v>
      </c>
      <c r="B142" s="149"/>
      <c r="C142" s="331" t="s">
        <v>1161</v>
      </c>
      <c r="D142" s="396" t="s">
        <v>1162</v>
      </c>
      <c r="E142" s="4"/>
      <c r="F142" s="4"/>
      <c r="G142" s="272"/>
      <c r="H142" s="14"/>
      <c r="L142"/>
      <c r="M142" s="125"/>
      <c r="N142" s="14"/>
      <c r="O142" s="115">
        <f t="shared" si="7"/>
        <v>0</v>
      </c>
    </row>
    <row r="143" spans="1:15" x14ac:dyDescent="0.35">
      <c r="B143" s="149"/>
      <c r="C143" s="404" t="s">
        <v>1163</v>
      </c>
      <c r="D143" s="397" t="s">
        <v>1164</v>
      </c>
      <c r="E143" s="4"/>
      <c r="F143" s="4"/>
      <c r="G143" s="269">
        <f>SUM(G139:G142)</f>
        <v>0</v>
      </c>
      <c r="H143" s="14"/>
      <c r="L143"/>
      <c r="M143" s="125"/>
      <c r="N143" s="14"/>
      <c r="O143" s="14"/>
    </row>
    <row r="144" spans="1:15" x14ac:dyDescent="0.35">
      <c r="A144" s="72" cm="1">
        <f t="array" aca="1" ref="A144" ca="1">HYPERLINK(CONCATENATE("#",CELL("address",IF(SUM($O144:$O144)=0,A144,INDEX($O144:$O144,MATCH(1,$O144:$O144,0))))),SUM($O144:$O144))</f>
        <v>0</v>
      </c>
      <c r="B144" s="149"/>
      <c r="C144" s="331" t="s">
        <v>1165</v>
      </c>
      <c r="D144" s="396" t="s">
        <v>1166</v>
      </c>
      <c r="E144" s="4"/>
      <c r="F144" s="4"/>
      <c r="G144" s="272"/>
      <c r="H144" s="14"/>
      <c r="L144"/>
      <c r="M144" s="125"/>
      <c r="N144" s="14"/>
      <c r="O144" s="115">
        <f t="shared" si="7"/>
        <v>0</v>
      </c>
    </row>
    <row r="145" spans="1:15" x14ac:dyDescent="0.35">
      <c r="A145" s="72" cm="1">
        <f t="array" aca="1" ref="A145" ca="1">HYPERLINK(CONCATENATE("#",CELL("address",IF(SUM($O145:$O145)=0,A145,INDEX($O145:$O145,MATCH(1,$O145:$O145,0))))),SUM($O145:$O145))</f>
        <v>0</v>
      </c>
      <c r="B145" s="149"/>
      <c r="C145" s="331" t="s">
        <v>1167</v>
      </c>
      <c r="D145" s="396" t="s">
        <v>1168</v>
      </c>
      <c r="E145" s="4"/>
      <c r="F145" s="4"/>
      <c r="G145" s="272"/>
      <c r="H145" s="14"/>
      <c r="L145"/>
      <c r="M145" s="125"/>
      <c r="N145" s="14"/>
      <c r="O145" s="115">
        <f t="shared" si="7"/>
        <v>0</v>
      </c>
    </row>
    <row r="146" spans="1:15" x14ac:dyDescent="0.35">
      <c r="A146" s="72" cm="1">
        <f t="array" aca="1" ref="A146" ca="1">HYPERLINK(CONCATENATE("#",CELL("address",IF(SUM($O146:$O146)=0,A146,INDEX($O146:$O146,MATCH(1,$O146:$O146,0))))),SUM($O146:$O146))</f>
        <v>0</v>
      </c>
      <c r="B146" s="149"/>
      <c r="C146" s="331" t="s">
        <v>1169</v>
      </c>
      <c r="D146" s="396" t="s">
        <v>1170</v>
      </c>
      <c r="E146" s="4"/>
      <c r="F146" s="4"/>
      <c r="G146" s="272"/>
      <c r="H146" s="14"/>
      <c r="L146"/>
      <c r="M146" s="125"/>
      <c r="N146" s="14"/>
      <c r="O146" s="115">
        <f t="shared" si="7"/>
        <v>0</v>
      </c>
    </row>
    <row r="147" spans="1:15" x14ac:dyDescent="0.35">
      <c r="A147" s="72" cm="1">
        <f t="array" aca="1" ref="A147" ca="1">HYPERLINK(CONCATENATE("#",CELL("address",IF(SUM($O147:$O147)=0,A147,INDEX($O147:$O147,MATCH(1,$O147:$O147,0))))),SUM($O147:$O147))</f>
        <v>0</v>
      </c>
      <c r="B147" s="149"/>
      <c r="C147" s="331" t="s">
        <v>1171</v>
      </c>
      <c r="D147" s="396" t="s">
        <v>1172</v>
      </c>
      <c r="E147" s="4"/>
      <c r="F147" s="4"/>
      <c r="G147" s="272"/>
      <c r="H147" s="14"/>
      <c r="L147"/>
      <c r="M147" s="125"/>
      <c r="N147" s="14"/>
      <c r="O147" s="115">
        <f t="shared" si="7"/>
        <v>0</v>
      </c>
    </row>
    <row r="148" spans="1:15" x14ac:dyDescent="0.35">
      <c r="A148" s="29"/>
      <c r="B148" s="149"/>
      <c r="C148" s="404" t="s">
        <v>1173</v>
      </c>
      <c r="D148" s="397" t="s">
        <v>1164</v>
      </c>
      <c r="E148" s="4"/>
      <c r="F148" s="4"/>
      <c r="G148" s="269">
        <f>SUM(G144:G147)</f>
        <v>0</v>
      </c>
      <c r="H148" s="14"/>
      <c r="L148"/>
      <c r="M148" s="125"/>
      <c r="N148" s="14"/>
      <c r="O148" s="29"/>
    </row>
    <row r="149" spans="1:15" x14ac:dyDescent="0.35">
      <c r="A149" s="29"/>
      <c r="B149" s="149"/>
      <c r="C149" s="331"/>
      <c r="D149" s="397"/>
      <c r="E149" s="4"/>
      <c r="F149" s="4"/>
      <c r="G149" s="29"/>
      <c r="H149" s="14"/>
      <c r="L149"/>
      <c r="M149" s="125"/>
      <c r="N149" s="14"/>
      <c r="O149" s="29"/>
    </row>
    <row r="150" spans="1:15" x14ac:dyDescent="0.35">
      <c r="A150" s="29"/>
      <c r="B150" s="81" t="s">
        <v>5</v>
      </c>
      <c r="C150" s="331"/>
      <c r="D150" s="397" t="s">
        <v>1174</v>
      </c>
      <c r="E150" s="4"/>
      <c r="F150" s="4"/>
      <c r="G150" s="29"/>
      <c r="H150" s="14"/>
      <c r="L150"/>
      <c r="M150" s="125"/>
      <c r="N150" s="14"/>
      <c r="O150" s="29"/>
    </row>
    <row r="151" spans="1:15" x14ac:dyDescent="0.35">
      <c r="A151" s="72" cm="1">
        <f t="array" aca="1" ref="A151" ca="1">HYPERLINK(CONCATENATE("#",CELL("address",IF(SUM($O151:$O151)=0,A151,INDEX($O151:$O151,MATCH(1,$O151:$O151,0))))),SUM($O151:$O151))</f>
        <v>0</v>
      </c>
      <c r="B151" s="149"/>
      <c r="C151" s="331" t="s">
        <v>1175</v>
      </c>
      <c r="D151" s="396" t="s">
        <v>1156</v>
      </c>
      <c r="E151" s="4"/>
      <c r="F151" s="4"/>
      <c r="G151" s="272"/>
      <c r="H151" s="14"/>
      <c r="L151"/>
      <c r="M151" s="125"/>
      <c r="N151" s="14"/>
      <c r="O151" s="115">
        <f t="shared" si="7"/>
        <v>0</v>
      </c>
    </row>
    <row r="152" spans="1:15" x14ac:dyDescent="0.35">
      <c r="A152" s="72" cm="1">
        <f t="array" aca="1" ref="A152" ca="1">HYPERLINK(CONCATENATE("#",CELL("address",IF(SUM($O152:$O152)=0,A152,INDEX($O152:$O152,MATCH(1,$O152:$O152,0))))),SUM($O152:$O152))</f>
        <v>0</v>
      </c>
      <c r="B152" s="149"/>
      <c r="C152" s="331" t="s">
        <v>1176</v>
      </c>
      <c r="D152" s="396" t="s">
        <v>1158</v>
      </c>
      <c r="E152" s="4"/>
      <c r="F152" s="4"/>
      <c r="G152" s="272"/>
      <c r="H152" s="14"/>
      <c r="L152"/>
      <c r="M152" s="125"/>
      <c r="N152" s="14"/>
      <c r="O152" s="115">
        <f t="shared" si="7"/>
        <v>0</v>
      </c>
    </row>
    <row r="153" spans="1:15" x14ac:dyDescent="0.35">
      <c r="A153" s="72" cm="1">
        <f t="array" aca="1" ref="A153" ca="1">HYPERLINK(CONCATENATE("#",CELL("address",IF(SUM($O153:$O153)=0,A153,INDEX($O153:$O153,MATCH(1,$O153:$O153,0))))),SUM($O153:$O153))</f>
        <v>0</v>
      </c>
      <c r="B153" s="149"/>
      <c r="C153" s="331" t="s">
        <v>1177</v>
      </c>
      <c r="D153" s="396" t="s">
        <v>1160</v>
      </c>
      <c r="E153" s="4"/>
      <c r="F153" s="4"/>
      <c r="G153" s="272"/>
      <c r="H153" s="14"/>
      <c r="L153"/>
      <c r="M153" s="125"/>
      <c r="N153" s="14"/>
      <c r="O153" s="115">
        <f t="shared" si="7"/>
        <v>0</v>
      </c>
    </row>
    <row r="154" spans="1:15" x14ac:dyDescent="0.35">
      <c r="A154" s="72" cm="1">
        <f t="array" aca="1" ref="A154" ca="1">HYPERLINK(CONCATENATE("#",CELL("address",IF(SUM($O154:$O154)=0,A154,INDEX($O154:$O154,MATCH(1,$O154:$O154,0))))),SUM($O154:$O154))</f>
        <v>0</v>
      </c>
      <c r="B154" s="149"/>
      <c r="C154" s="331" t="s">
        <v>1178</v>
      </c>
      <c r="D154" s="396" t="s">
        <v>1162</v>
      </c>
      <c r="E154" s="4"/>
      <c r="F154" s="4"/>
      <c r="G154" s="272"/>
      <c r="H154" s="14"/>
      <c r="L154"/>
      <c r="M154" s="125"/>
      <c r="N154" s="14"/>
      <c r="O154" s="115">
        <f t="shared" si="7"/>
        <v>0</v>
      </c>
    </row>
    <row r="155" spans="1:15" x14ac:dyDescent="0.35">
      <c r="A155" s="29"/>
      <c r="B155" s="149"/>
      <c r="C155" s="404" t="s">
        <v>1179</v>
      </c>
      <c r="D155" s="397" t="s">
        <v>1164</v>
      </c>
      <c r="E155" s="4"/>
      <c r="F155" s="4"/>
      <c r="G155" s="269">
        <f>SUM(G151:G154)</f>
        <v>0</v>
      </c>
      <c r="H155" s="14"/>
      <c r="L155"/>
      <c r="M155" s="125"/>
      <c r="N155" s="14"/>
      <c r="O155" s="29"/>
    </row>
    <row r="156" spans="1:15" x14ac:dyDescent="0.35">
      <c r="A156" s="72" cm="1">
        <f t="array" aca="1" ref="A156" ca="1">HYPERLINK(CONCATENATE("#",CELL("address",IF(SUM($O156:$O156)=0,A156,INDEX($O156:$O156,MATCH(1,$O156:$O156,0))))),SUM($O156:$O156))</f>
        <v>0</v>
      </c>
      <c r="B156" s="149"/>
      <c r="C156" s="331" t="s">
        <v>1180</v>
      </c>
      <c r="D156" s="396" t="s">
        <v>1166</v>
      </c>
      <c r="E156" s="4"/>
      <c r="F156" s="4"/>
      <c r="G156" s="272"/>
      <c r="H156" s="14"/>
      <c r="L156"/>
      <c r="M156" s="125"/>
      <c r="N156" s="14"/>
      <c r="O156" s="115">
        <f t="shared" si="7"/>
        <v>0</v>
      </c>
    </row>
    <row r="157" spans="1:15" x14ac:dyDescent="0.35">
      <c r="A157" s="72" cm="1">
        <f t="array" aca="1" ref="A157" ca="1">HYPERLINK(CONCATENATE("#",CELL("address",IF(SUM($O157:$O157)=0,A157,INDEX($O157:$O157,MATCH(1,$O157:$O157,0))))),SUM($O157:$O157))</f>
        <v>0</v>
      </c>
      <c r="B157" s="149"/>
      <c r="C157" s="331" t="s">
        <v>1181</v>
      </c>
      <c r="D157" s="396" t="s">
        <v>1168</v>
      </c>
      <c r="E157" s="4"/>
      <c r="F157" s="4"/>
      <c r="G157" s="272"/>
      <c r="H157" s="14"/>
      <c r="L157"/>
      <c r="M157" s="125"/>
      <c r="N157" s="14"/>
      <c r="O157" s="115">
        <f t="shared" si="7"/>
        <v>0</v>
      </c>
    </row>
    <row r="158" spans="1:15" x14ac:dyDescent="0.35">
      <c r="A158" s="72" cm="1">
        <f t="array" aca="1" ref="A158" ca="1">HYPERLINK(CONCATENATE("#",CELL("address",IF(SUM($O158:$O158)=0,A158,INDEX($O158:$O158,MATCH(1,$O158:$O158,0))))),SUM($O158:$O158))</f>
        <v>0</v>
      </c>
      <c r="B158" s="149"/>
      <c r="C158" s="331" t="s">
        <v>1182</v>
      </c>
      <c r="D158" s="396" t="s">
        <v>1170</v>
      </c>
      <c r="E158" s="4"/>
      <c r="F158" s="4"/>
      <c r="G158" s="272"/>
      <c r="H158" s="14"/>
      <c r="L158"/>
      <c r="M158" s="125"/>
      <c r="N158" s="14"/>
      <c r="O158" s="115">
        <f t="shared" si="7"/>
        <v>0</v>
      </c>
    </row>
    <row r="159" spans="1:15" x14ac:dyDescent="0.35">
      <c r="A159" s="72" cm="1">
        <f t="array" aca="1" ref="A159" ca="1">HYPERLINK(CONCATENATE("#",CELL("address",IF(SUM($O159:$O159)=0,A159,INDEX($O159:$O159,MATCH(1,$O159:$O159,0))))),SUM($O159:$O159))</f>
        <v>0</v>
      </c>
      <c r="B159" s="149"/>
      <c r="C159" s="331" t="s">
        <v>1183</v>
      </c>
      <c r="D159" s="396" t="s">
        <v>1172</v>
      </c>
      <c r="E159" s="4"/>
      <c r="F159" s="4"/>
      <c r="G159" s="272"/>
      <c r="H159" s="14"/>
      <c r="L159"/>
      <c r="M159" s="125"/>
      <c r="N159" s="14"/>
      <c r="O159" s="115">
        <f t="shared" si="7"/>
        <v>0</v>
      </c>
    </row>
    <row r="160" spans="1:15" x14ac:dyDescent="0.35">
      <c r="A160" s="29"/>
      <c r="B160" s="149"/>
      <c r="C160" s="404" t="s">
        <v>1184</v>
      </c>
      <c r="D160" s="397" t="s">
        <v>1164</v>
      </c>
      <c r="E160" s="4"/>
      <c r="F160" s="4"/>
      <c r="G160" s="269">
        <f>SUM(G156:G159)</f>
        <v>0</v>
      </c>
      <c r="H160" s="14"/>
      <c r="L160"/>
      <c r="M160" s="125"/>
      <c r="N160" s="14"/>
      <c r="O160" s="29"/>
    </row>
    <row r="161" spans="1:15" ht="15" thickBot="1" x14ac:dyDescent="0.4">
      <c r="A161" s="29"/>
      <c r="B161" s="149"/>
      <c r="C161" s="331"/>
      <c r="D161" s="397"/>
      <c r="E161" s="4"/>
      <c r="F161" s="4"/>
      <c r="H161" s="14"/>
      <c r="L161"/>
      <c r="M161" s="125"/>
      <c r="N161" s="14"/>
      <c r="O161" s="29"/>
    </row>
    <row r="162" spans="1:15" ht="15" thickBot="1" x14ac:dyDescent="0.4">
      <c r="A162" s="29"/>
      <c r="B162" s="149"/>
      <c r="C162" s="331"/>
      <c r="D162" s="511" t="s">
        <v>1185</v>
      </c>
      <c r="E162" s="512"/>
      <c r="F162" s="4"/>
      <c r="G162" s="29"/>
      <c r="H162" s="14"/>
      <c r="L162"/>
      <c r="M162" s="125"/>
      <c r="N162" s="14"/>
      <c r="O162" s="29"/>
    </row>
    <row r="163" spans="1:15" x14ac:dyDescent="0.35">
      <c r="A163" s="29"/>
      <c r="B163" s="149"/>
      <c r="C163" s="331"/>
      <c r="D163" s="231"/>
      <c r="E163" s="4"/>
      <c r="F163" s="4"/>
      <c r="G163" s="29"/>
      <c r="H163" s="14"/>
      <c r="L163"/>
      <c r="M163" s="125"/>
      <c r="N163" s="14"/>
      <c r="O163" s="29"/>
    </row>
    <row r="164" spans="1:15" x14ac:dyDescent="0.35">
      <c r="A164" s="29"/>
      <c r="B164" s="149"/>
      <c r="C164" s="331"/>
      <c r="D164" s="397" t="s">
        <v>1186</v>
      </c>
      <c r="E164" s="4"/>
      <c r="F164" s="4"/>
      <c r="G164" s="29"/>
      <c r="H164" s="14"/>
      <c r="L164"/>
      <c r="M164" s="125"/>
      <c r="N164" s="14"/>
      <c r="O164" s="29"/>
    </row>
    <row r="165" spans="1:15" x14ac:dyDescent="0.35">
      <c r="A165" s="72" cm="1">
        <f t="array" aca="1" ref="A165" ca="1">HYPERLINK(CONCATENATE("#",CELL("address",IF(SUM($O165:$O165)=0,A165,INDEX($O165:$O165,MATCH(1,$O165:$O165,0))))),SUM($O165:$O165))</f>
        <v>0</v>
      </c>
      <c r="B165" s="149"/>
      <c r="C165" s="331" t="s">
        <v>1187</v>
      </c>
      <c r="D165" s="396" t="s">
        <v>1188</v>
      </c>
      <c r="E165" s="4"/>
      <c r="F165" s="4"/>
      <c r="G165" s="272"/>
      <c r="H165" s="14"/>
      <c r="L165"/>
      <c r="M165" s="125"/>
      <c r="N165" s="117">
        <f t="shared" ref="N165" si="8">IF(G165=0, 1, 0)</f>
        <v>1</v>
      </c>
      <c r="O165" s="126">
        <f>IF(AND(ISBLANK(G165),'I&amp;E'!$G$102&lt;&gt;0), 1,0)</f>
        <v>0</v>
      </c>
    </row>
    <row r="166" spans="1:15" x14ac:dyDescent="0.35">
      <c r="A166" s="149"/>
      <c r="B166" s="149"/>
      <c r="C166" s="331"/>
      <c r="D166" s="396"/>
      <c r="E166" s="4"/>
      <c r="F166" s="4"/>
      <c r="H166" s="14"/>
      <c r="L166"/>
      <c r="M166" s="125"/>
      <c r="N166" s="14"/>
      <c r="O166" s="29"/>
    </row>
    <row r="167" spans="1:15" hidden="1" x14ac:dyDescent="0.35">
      <c r="A167" s="149"/>
      <c r="B167" s="149"/>
      <c r="C167" s="331"/>
      <c r="D167" s="396"/>
      <c r="E167" s="4"/>
      <c r="F167" s="4"/>
      <c r="H167" s="14"/>
      <c r="L167"/>
      <c r="M167" s="125"/>
      <c r="N167" s="14"/>
      <c r="O167" s="29"/>
    </row>
    <row r="168" spans="1:15" x14ac:dyDescent="0.35">
      <c r="A168" s="149"/>
      <c r="B168" s="149"/>
      <c r="C168" s="331"/>
      <c r="D168" s="397" t="s">
        <v>1189</v>
      </c>
      <c r="E168" s="4"/>
      <c r="F168" s="4"/>
      <c r="G168" s="29"/>
      <c r="H168" s="14"/>
      <c r="L168"/>
      <c r="M168" s="125"/>
      <c r="N168" s="14"/>
      <c r="O168" s="29"/>
    </row>
    <row r="169" spans="1:15" ht="32.25" customHeight="1" x14ac:dyDescent="0.35">
      <c r="A169" s="72" cm="1">
        <f t="array" aca="1" ref="A169" ca="1">HYPERLINK(CONCATENATE("#",CELL("address",IF(SUM($O169:$O169)=0,A169,INDEX($O169:$O169,MATCH(1,$O169:$O169,0))))),SUM($O169:$O169))</f>
        <v>0</v>
      </c>
      <c r="B169" s="149"/>
      <c r="C169" s="132" t="s">
        <v>1190</v>
      </c>
      <c r="D169" s="456" t="s">
        <v>1872</v>
      </c>
      <c r="E169" s="456"/>
      <c r="F169" s="401"/>
      <c r="G169" s="272"/>
      <c r="H169" s="14"/>
      <c r="L169"/>
      <c r="M169" s="125"/>
      <c r="N169" s="117">
        <f t="shared" ref="N169" si="9">IF(G169=0, 1, 0)</f>
        <v>1</v>
      </c>
      <c r="O169" s="126">
        <f>IF(AND(ISBLANK(G169),'I&amp;E'!$G$102&lt;&gt;0), 1,0)</f>
        <v>0</v>
      </c>
    </row>
    <row r="170" spans="1:15" x14ac:dyDescent="0.35">
      <c r="A170" s="72" cm="1">
        <f t="array" aca="1" ref="A170" ca="1">HYPERLINK(CONCATENATE("#",CELL("address",IF(SUM($O170:$O170)=0,A170,INDEX($O170:$O170,MATCH(1,$O170:$O170,0))))),SUM($O170:$O170))</f>
        <v>0</v>
      </c>
      <c r="B170" s="149"/>
      <c r="C170" s="331" t="s">
        <v>1191</v>
      </c>
      <c r="D170" s="526" t="s">
        <v>1192</v>
      </c>
      <c r="E170" s="456"/>
      <c r="F170" s="4"/>
      <c r="G170" s="272"/>
      <c r="H170" s="14"/>
      <c r="L170"/>
      <c r="M170" s="125"/>
      <c r="N170" s="117">
        <f>IF(AND(G170=0,$G$169="Yes"), 1, 0)</f>
        <v>0</v>
      </c>
      <c r="O170" s="126">
        <f>IF(ISBLANK(G170), 0, IF(OR(ISTEXT(G170),ISERR(G170)),0,1))</f>
        <v>0</v>
      </c>
    </row>
    <row r="171" spans="1:15" x14ac:dyDescent="0.35">
      <c r="A171" s="72" cm="1">
        <f t="array" aca="1" ref="A171" ca="1">HYPERLINK(CONCATENATE("#",CELL("address",IF(SUM($O171:$O171)=0,A171,INDEX($O171:$O171,MATCH(1,$O171:$O171,0))))),SUM($O171:$O171))</f>
        <v>0</v>
      </c>
      <c r="B171" s="149"/>
      <c r="C171" s="331" t="s">
        <v>1193</v>
      </c>
      <c r="D171" s="399" t="s">
        <v>1194</v>
      </c>
      <c r="E171" s="4"/>
      <c r="F171" s="4"/>
      <c r="G171" s="272"/>
      <c r="H171" s="14"/>
      <c r="L171"/>
      <c r="M171" s="125"/>
      <c r="N171" s="14"/>
      <c r="O171" s="115">
        <f>IF(OR(ISNUMBER(G171),ISBLANK(G171)),0,1)</f>
        <v>0</v>
      </c>
    </row>
    <row r="172" spans="1:15" x14ac:dyDescent="0.35">
      <c r="A172" s="72" cm="1">
        <f t="array" aca="1" ref="A172" ca="1">HYPERLINK(CONCATENATE("#",CELL("address",IF(SUM($O172:$O172)=0,A172,INDEX($O172:$O172,MATCH(1,$O172:$O172,0))))),SUM($O172:$O172))</f>
        <v>0</v>
      </c>
      <c r="B172" s="149"/>
      <c r="C172" s="331" t="s">
        <v>1195</v>
      </c>
      <c r="D172" s="527" t="s">
        <v>1196</v>
      </c>
      <c r="E172" s="528"/>
      <c r="F172" s="4"/>
      <c r="G172" s="272"/>
      <c r="H172" s="14"/>
      <c r="L172"/>
      <c r="M172" s="125"/>
      <c r="N172" s="117">
        <f>IF(AND(G172=0,$G$169="Yes"), 1, 0)</f>
        <v>0</v>
      </c>
      <c r="O172" s="126">
        <f>IF(ISBLANK(G172), 0, IF(OR(ISTEXT(G172),ISERR(G172)),0,1))</f>
        <v>0</v>
      </c>
    </row>
    <row r="173" spans="1:15" x14ac:dyDescent="0.35">
      <c r="A173" s="72" cm="1">
        <f t="array" aca="1" ref="A173" ca="1">HYPERLINK(CONCATENATE("#",CELL("address",IF(SUM($O173:$O173)=0,A173,INDEX($O173:$O173,MATCH(1,$O173:$O173,0))))),SUM($O173:$O173))</f>
        <v>0</v>
      </c>
      <c r="B173" s="149"/>
      <c r="C173" s="331" t="s">
        <v>1197</v>
      </c>
      <c r="D173" s="399" t="s">
        <v>1198</v>
      </c>
      <c r="E173" s="400"/>
      <c r="F173" s="4"/>
      <c r="G173" s="272"/>
      <c r="H173" s="14"/>
      <c r="L173"/>
      <c r="M173" s="125"/>
      <c r="N173" s="14"/>
      <c r="O173" s="115">
        <f t="shared" ref="O173" si="10">IF(OR(ISNUMBER(G173),ISBLANK(G173)),0,1)</f>
        <v>0</v>
      </c>
    </row>
    <row r="174" spans="1:15" x14ac:dyDescent="0.35">
      <c r="A174" s="72" cm="1">
        <f t="array" aca="1" ref="A174" ca="1">HYPERLINK(CONCATENATE("#",CELL("address",IF(SUM($O174:$O174)=0,A174,INDEX($O174:$O174,MATCH(1,$O174:$O174,0))))),SUM($O174:$O174))</f>
        <v>0</v>
      </c>
      <c r="B174" s="149"/>
      <c r="C174" s="331" t="s">
        <v>1199</v>
      </c>
      <c r="D174" s="526" t="s">
        <v>1200</v>
      </c>
      <c r="E174" s="456"/>
      <c r="F174" s="4"/>
      <c r="G174" s="272"/>
      <c r="H174" s="14"/>
      <c r="L174"/>
      <c r="M174" s="125"/>
      <c r="N174" s="117">
        <f t="shared" ref="N174" si="11">IF(AND(G174=0,$G$169="Yes"), 1, 0)</f>
        <v>0</v>
      </c>
      <c r="O174" s="126">
        <f>IF(ISBLANK(G174), 0, IF(OR(ISTEXT(G174),ISERR(G174)),0,1))</f>
        <v>0</v>
      </c>
    </row>
    <row r="175" spans="1:15" x14ac:dyDescent="0.35">
      <c r="A175" s="72" cm="1">
        <f t="array" aca="1" ref="A175" ca="1">HYPERLINK(CONCATENATE("#",CELL("address",IF(SUM($O175:$O175)=0,A175,INDEX($O175:$O175,MATCH(1,$O175:$O175,0))))),SUM($O175:$O175))</f>
        <v>0</v>
      </c>
      <c r="B175" s="149"/>
      <c r="C175" s="331" t="s">
        <v>1201</v>
      </c>
      <c r="D175" s="399" t="s">
        <v>1202</v>
      </c>
      <c r="E175" s="4"/>
      <c r="F175" s="4"/>
      <c r="G175" s="272"/>
      <c r="H175" s="14"/>
      <c r="L175"/>
      <c r="M175" s="125"/>
      <c r="N175" s="14"/>
      <c r="O175" s="115">
        <f t="shared" ref="O175" si="12">IF(OR(ISNUMBER(G175),ISBLANK(G175)),0,1)</f>
        <v>0</v>
      </c>
    </row>
    <row r="176" spans="1:15" x14ac:dyDescent="0.35">
      <c r="A176" s="32"/>
      <c r="B176" s="149"/>
      <c r="C176" s="32"/>
      <c r="D176" s="32"/>
      <c r="E176" s="32"/>
      <c r="F176" s="32"/>
      <c r="G176" s="180"/>
      <c r="H176" s="14"/>
      <c r="L176"/>
      <c r="M176" s="125"/>
      <c r="N176" s="14"/>
      <c r="O176" s="14"/>
    </row>
    <row r="177" spans="1:15" x14ac:dyDescent="0.35">
      <c r="A177" s="149"/>
      <c r="B177" s="29"/>
      <c r="C177" s="132" t="s">
        <v>1203</v>
      </c>
      <c r="D177" s="31" t="s">
        <v>382</v>
      </c>
      <c r="E177" s="29"/>
      <c r="F177" s="29"/>
      <c r="N177" s="14"/>
    </row>
    <row r="178" spans="1:15" x14ac:dyDescent="0.35">
      <c r="A178" s="29"/>
      <c r="B178" s="29"/>
      <c r="D178" s="518"/>
      <c r="E178" s="519"/>
      <c r="F178" s="519"/>
      <c r="G178" s="520"/>
      <c r="H178" s="125"/>
      <c r="N178" s="14"/>
    </row>
    <row r="179" spans="1:15" x14ac:dyDescent="0.35">
      <c r="A179" s="29"/>
      <c r="B179" s="29"/>
      <c r="D179" s="521"/>
      <c r="E179" s="506"/>
      <c r="F179" s="506"/>
      <c r="G179" s="522"/>
      <c r="H179" s="125"/>
    </row>
    <row r="180" spans="1:15" x14ac:dyDescent="0.35">
      <c r="A180" s="29"/>
      <c r="B180" s="29"/>
      <c r="D180" s="521"/>
      <c r="E180" s="506"/>
      <c r="F180" s="506"/>
      <c r="G180" s="522"/>
      <c r="H180" s="125"/>
    </row>
    <row r="181" spans="1:15" x14ac:dyDescent="0.35">
      <c r="A181" s="29"/>
      <c r="B181" s="29"/>
      <c r="D181" s="521"/>
      <c r="E181" s="506"/>
      <c r="F181" s="506"/>
      <c r="G181" s="522"/>
      <c r="H181" s="125"/>
    </row>
    <row r="182" spans="1:15" x14ac:dyDescent="0.35">
      <c r="A182" s="29"/>
      <c r="B182" s="29"/>
      <c r="D182" s="521"/>
      <c r="E182" s="506"/>
      <c r="F182" s="506"/>
      <c r="G182" s="522"/>
      <c r="H182" s="125"/>
    </row>
    <row r="183" spans="1:15" x14ac:dyDescent="0.35">
      <c r="A183" s="29"/>
      <c r="B183" s="29"/>
      <c r="D183" s="521"/>
      <c r="E183" s="506"/>
      <c r="F183" s="506"/>
      <c r="G183" s="522"/>
      <c r="H183" s="125"/>
    </row>
    <row r="184" spans="1:15" x14ac:dyDescent="0.35">
      <c r="A184" s="29"/>
      <c r="B184" s="29"/>
      <c r="D184" s="521"/>
      <c r="E184" s="506"/>
      <c r="F184" s="506"/>
      <c r="G184" s="522"/>
      <c r="H184" s="125"/>
    </row>
    <row r="185" spans="1:15" x14ac:dyDescent="0.35">
      <c r="A185" s="29"/>
      <c r="B185" s="29"/>
      <c r="D185" s="523"/>
      <c r="E185" s="524"/>
      <c r="F185" s="524"/>
      <c r="G185" s="525"/>
      <c r="H185" s="125"/>
    </row>
    <row r="186" spans="1:15" ht="15" thickBot="1" x14ac:dyDescent="0.4">
      <c r="A186" s="29"/>
      <c r="B186" s="29"/>
      <c r="C186" s="29"/>
      <c r="D186" s="46"/>
      <c r="E186" s="29"/>
      <c r="F186" s="29"/>
    </row>
    <row r="187" spans="1:15" ht="42.75" customHeight="1" thickBot="1" x14ac:dyDescent="0.4">
      <c r="D187" s="511" t="s">
        <v>1974</v>
      </c>
      <c r="E187" s="512"/>
    </row>
    <row r="189" spans="1:15" x14ac:dyDescent="0.35">
      <c r="A189" s="72" cm="1">
        <f t="array" aca="1" ref="A189" ca="1">HYPERLINK(CONCATENATE("#",CELL("address",IF(SUM($O189:$O189)=0,A189,INDEX($O189:$O189,MATCH(1,$O189:$O189,0))))),SUM($O189:$O189))</f>
        <v>0</v>
      </c>
      <c r="C189" s="331" t="s">
        <v>1931</v>
      </c>
      <c r="D189" s="399" t="s">
        <v>1932</v>
      </c>
      <c r="E189" s="4"/>
      <c r="F189" s="4"/>
      <c r="G189" s="272"/>
      <c r="I189"/>
      <c r="J189"/>
      <c r="N189" s="117">
        <f>IF(ISBLANK(G189), 1, 0)</f>
        <v>1</v>
      </c>
      <c r="O189" s="115">
        <f t="shared" ref="O189:O192" si="13">IF(OR(ISNUMBER(G189),ISBLANK(G189)),0,1)</f>
        <v>0</v>
      </c>
    </row>
    <row r="190" spans="1:15" x14ac:dyDescent="0.35">
      <c r="C190" s="331" t="s">
        <v>1933</v>
      </c>
      <c r="D190" s="399" t="s">
        <v>1934</v>
      </c>
      <c r="E190" s="435" t="str" cm="1">
        <f t="array" aca="1" ref="E190" ca="1">IF(AND($G$189=0,G190&lt;&gt;0),"G"&amp;CELL("row",$G$189)&amp;" is zero!","")</f>
        <v/>
      </c>
      <c r="F190" s="4"/>
      <c r="G190" s="272"/>
      <c r="I190"/>
      <c r="J190"/>
      <c r="N190" s="117">
        <f>IF(OR(AND($G$189&gt;0,G190=0),AND(G190&gt;0,$G$189=0)), 1, 0)</f>
        <v>0</v>
      </c>
      <c r="O190" s="115">
        <f t="shared" si="13"/>
        <v>0</v>
      </c>
    </row>
    <row r="191" spans="1:15" x14ac:dyDescent="0.35">
      <c r="C191" s="331" t="s">
        <v>1935</v>
      </c>
      <c r="D191" s="399" t="s">
        <v>1936</v>
      </c>
      <c r="E191" s="435" t="str" cm="1">
        <f t="array" aca="1" ref="E191" ca="1">IF(G191&gt;G189,"Check G"&amp;CELL("row",$G$189),"")</f>
        <v/>
      </c>
      <c r="F191" s="4"/>
      <c r="G191" s="272"/>
      <c r="I191"/>
      <c r="J191"/>
      <c r="N191" s="117">
        <f>IF(OR(AND($G$189&gt;0,G191=0),G191&gt;G189), 1, 0)</f>
        <v>0</v>
      </c>
      <c r="O191" s="115">
        <f t="shared" si="13"/>
        <v>0</v>
      </c>
    </row>
    <row r="192" spans="1:15" ht="29" x14ac:dyDescent="0.35">
      <c r="C192" s="331" t="s">
        <v>1937</v>
      </c>
      <c r="D192" s="399" t="s">
        <v>1938</v>
      </c>
      <c r="E192" s="435" t="str" cm="1">
        <f t="array" aca="1" ref="E192" ca="1">IF(G192&gt;G190,"Check G"&amp;CELL("row",$G$190),"")</f>
        <v/>
      </c>
      <c r="F192" s="4"/>
      <c r="G192" s="272"/>
      <c r="I192"/>
      <c r="J192"/>
      <c r="N192" s="117">
        <f>IF(OR(AND($G$189&gt;0,G192=0),G192&gt;G190), 1, 0)</f>
        <v>0</v>
      </c>
      <c r="O192" s="115">
        <f t="shared" si="13"/>
        <v>0</v>
      </c>
    </row>
    <row r="194" spans="3:15" x14ac:dyDescent="0.35">
      <c r="D194" s="83" t="s">
        <v>1939</v>
      </c>
    </row>
    <row r="195" spans="3:15" ht="36.75" customHeight="1" x14ac:dyDescent="0.35">
      <c r="D195" s="515" t="s">
        <v>1940</v>
      </c>
      <c r="E195" s="515"/>
    </row>
    <row r="196" spans="3:15" x14ac:dyDescent="0.35">
      <c r="D196" s="430"/>
    </row>
    <row r="198" spans="3:15" x14ac:dyDescent="0.35">
      <c r="C198" s="331" t="s">
        <v>1941</v>
      </c>
      <c r="D198" s="14" t="s">
        <v>1942</v>
      </c>
      <c r="G198" s="272"/>
      <c r="N198" s="117">
        <f>IF(AND($G$191&gt;0,G198=0), 1, 0)</f>
        <v>0</v>
      </c>
      <c r="O198" s="115">
        <f t="shared" ref="O198:O200" si="14">IF(OR(ISNUMBER(G198),ISBLANK(G198)),0,1)</f>
        <v>0</v>
      </c>
    </row>
    <row r="199" spans="3:15" x14ac:dyDescent="0.35">
      <c r="C199" s="331" t="s">
        <v>1943</v>
      </c>
      <c r="D199" s="14" t="s">
        <v>1944</v>
      </c>
      <c r="G199" s="434"/>
      <c r="N199" s="117">
        <f t="shared" ref="N199:N200" si="15">IF(AND($G$191&gt;0,G199=0), 1, 0)</f>
        <v>0</v>
      </c>
      <c r="O199" s="115">
        <f t="shared" si="14"/>
        <v>0</v>
      </c>
    </row>
    <row r="200" spans="3:15" x14ac:dyDescent="0.35">
      <c r="C200" s="331" t="s">
        <v>1945</v>
      </c>
      <c r="D200" s="14" t="s">
        <v>1946</v>
      </c>
      <c r="G200" s="429"/>
      <c r="N200" s="117">
        <f t="shared" si="15"/>
        <v>0</v>
      </c>
      <c r="O200" s="115">
        <f t="shared" si="14"/>
        <v>0</v>
      </c>
    </row>
    <row r="202" spans="3:15" x14ac:dyDescent="0.35">
      <c r="C202" s="331" t="s">
        <v>1947</v>
      </c>
      <c r="D202" s="14" t="s">
        <v>1969</v>
      </c>
      <c r="G202" s="272"/>
      <c r="N202" s="117">
        <f>IF(AND($G$191&gt;1,G202=0), 1, 0)</f>
        <v>0</v>
      </c>
      <c r="O202" s="115">
        <f t="shared" ref="O202:O204" si="16">IF(OR(ISNUMBER(G202),ISBLANK(G202)),0,1)</f>
        <v>0</v>
      </c>
    </row>
    <row r="203" spans="3:15" x14ac:dyDescent="0.35">
      <c r="C203" s="331" t="s">
        <v>1948</v>
      </c>
      <c r="D203" s="14" t="s">
        <v>1949</v>
      </c>
      <c r="G203" s="434"/>
      <c r="N203" s="117">
        <f t="shared" ref="N203:N204" si="17">IF(AND($G$191&gt;1,G203=0), 1, 0)</f>
        <v>0</v>
      </c>
      <c r="O203" s="115">
        <f t="shared" si="16"/>
        <v>0</v>
      </c>
    </row>
    <row r="204" spans="3:15" x14ac:dyDescent="0.35">
      <c r="C204" s="331" t="s">
        <v>1950</v>
      </c>
      <c r="D204" s="14" t="s">
        <v>1951</v>
      </c>
      <c r="G204" s="429"/>
      <c r="N204" s="117">
        <f t="shared" si="17"/>
        <v>0</v>
      </c>
      <c r="O204" s="115">
        <f t="shared" si="16"/>
        <v>0</v>
      </c>
    </row>
    <row r="205" spans="3:15" x14ac:dyDescent="0.35">
      <c r="C205" s="331"/>
    </row>
    <row r="206" spans="3:15" x14ac:dyDescent="0.35">
      <c r="C206" s="331" t="s">
        <v>1952</v>
      </c>
      <c r="D206" s="14" t="s">
        <v>1970</v>
      </c>
      <c r="G206" s="272"/>
      <c r="N206" s="117">
        <f>IF(AND($G$191&gt;2,G206=0), 1, 0)</f>
        <v>0</v>
      </c>
      <c r="O206" s="115">
        <f t="shared" ref="O206:O208" si="18">IF(OR(ISNUMBER(G206),ISBLANK(G206)),0,1)</f>
        <v>0</v>
      </c>
    </row>
    <row r="207" spans="3:15" x14ac:dyDescent="0.35">
      <c r="C207" s="331" t="s">
        <v>1953</v>
      </c>
      <c r="D207" s="14" t="s">
        <v>1954</v>
      </c>
      <c r="G207" s="434"/>
      <c r="N207" s="117">
        <f t="shared" ref="N207:N208" si="19">IF(AND($G$191&gt;2,G207=0), 1, 0)</f>
        <v>0</v>
      </c>
      <c r="O207" s="115">
        <f t="shared" si="18"/>
        <v>0</v>
      </c>
    </row>
    <row r="208" spans="3:15" x14ac:dyDescent="0.35">
      <c r="C208" s="331" t="s">
        <v>1955</v>
      </c>
      <c r="D208" s="14" t="s">
        <v>1956</v>
      </c>
      <c r="G208" s="429"/>
      <c r="N208" s="117">
        <f t="shared" si="19"/>
        <v>0</v>
      </c>
      <c r="O208" s="115">
        <f t="shared" si="18"/>
        <v>0</v>
      </c>
    </row>
    <row r="209" spans="3:15" x14ac:dyDescent="0.35">
      <c r="C209" s="331"/>
    </row>
    <row r="210" spans="3:15" x14ac:dyDescent="0.35">
      <c r="C210" s="331" t="s">
        <v>1957</v>
      </c>
      <c r="D210" s="14" t="s">
        <v>1971</v>
      </c>
      <c r="G210" s="272"/>
      <c r="N210" s="117">
        <f>IF(AND($G$191&gt;3,G210=0), 1, 0)</f>
        <v>0</v>
      </c>
      <c r="O210" s="115">
        <f t="shared" ref="O210:O212" si="20">IF(OR(ISNUMBER(G210),ISBLANK(G210)),0,1)</f>
        <v>0</v>
      </c>
    </row>
    <row r="211" spans="3:15" x14ac:dyDescent="0.35">
      <c r="C211" s="331" t="s">
        <v>1958</v>
      </c>
      <c r="D211" s="14" t="s">
        <v>1959</v>
      </c>
      <c r="G211" s="434"/>
      <c r="N211" s="117">
        <f t="shared" ref="N211:N212" si="21">IF(AND($G$191&gt;3,G211=0), 1, 0)</f>
        <v>0</v>
      </c>
      <c r="O211" s="115">
        <f t="shared" si="20"/>
        <v>0</v>
      </c>
    </row>
    <row r="212" spans="3:15" x14ac:dyDescent="0.35">
      <c r="C212" s="331" t="s">
        <v>1960</v>
      </c>
      <c r="D212" s="14" t="s">
        <v>1961</v>
      </c>
      <c r="G212" s="429"/>
      <c r="N212" s="117">
        <f t="shared" si="21"/>
        <v>0</v>
      </c>
      <c r="O212" s="115">
        <f t="shared" si="20"/>
        <v>0</v>
      </c>
    </row>
    <row r="213" spans="3:15" x14ac:dyDescent="0.35">
      <c r="C213" s="331"/>
    </row>
    <row r="214" spans="3:15" x14ac:dyDescent="0.35">
      <c r="C214" s="331" t="s">
        <v>1962</v>
      </c>
      <c r="D214" s="14" t="s">
        <v>1972</v>
      </c>
      <c r="G214" s="272"/>
      <c r="N214" s="117">
        <f>IF(AND($G$191&gt;4,G214=0), 1, 0)</f>
        <v>0</v>
      </c>
      <c r="O214" s="115">
        <f t="shared" ref="O214:O216" si="22">IF(OR(ISNUMBER(G214),ISBLANK(G214)),0,1)</f>
        <v>0</v>
      </c>
    </row>
    <row r="215" spans="3:15" x14ac:dyDescent="0.35">
      <c r="C215" s="331" t="s">
        <v>1963</v>
      </c>
      <c r="D215" s="14" t="s">
        <v>1964</v>
      </c>
      <c r="G215" s="434"/>
      <c r="N215" s="117">
        <f t="shared" ref="N215:N216" si="23">IF(AND($G$191&gt;4,G215=0), 1, 0)</f>
        <v>0</v>
      </c>
      <c r="O215" s="115">
        <f t="shared" si="22"/>
        <v>0</v>
      </c>
    </row>
    <row r="216" spans="3:15" x14ac:dyDescent="0.35">
      <c r="C216" s="331" t="s">
        <v>1965</v>
      </c>
      <c r="D216" s="14" t="s">
        <v>1966</v>
      </c>
      <c r="G216" s="429"/>
      <c r="N216" s="117">
        <f t="shared" si="23"/>
        <v>0</v>
      </c>
      <c r="O216" s="115">
        <f t="shared" si="22"/>
        <v>0</v>
      </c>
    </row>
    <row r="217" spans="3:15" ht="15" thickBot="1" x14ac:dyDescent="0.4"/>
    <row r="218" spans="3:15" ht="50.25" customHeight="1" thickBot="1" x14ac:dyDescent="0.4">
      <c r="D218" s="511" t="s">
        <v>2009</v>
      </c>
      <c r="E218" s="512"/>
    </row>
    <row r="220" spans="3:15" ht="29" x14ac:dyDescent="0.35">
      <c r="C220" s="404"/>
      <c r="D220" s="437" t="s">
        <v>1980</v>
      </c>
      <c r="E220" s="4"/>
      <c r="F220" s="4"/>
      <c r="G220" s="29"/>
    </row>
    <row r="221" spans="3:15" x14ac:dyDescent="0.35">
      <c r="C221" s="537" t="s">
        <v>2025</v>
      </c>
      <c r="D221" s="396" t="s">
        <v>1981</v>
      </c>
      <c r="E221" s="438" t="s">
        <v>1982</v>
      </c>
      <c r="F221" s="4"/>
      <c r="G221" s="272"/>
      <c r="N221" s="117">
        <f>IF(ISBLANK(G221), 1, 0)</f>
        <v>1</v>
      </c>
      <c r="O221" s="126">
        <f>IF(AND('I&amp;E'!$G$102&lt;&gt;0,ISBLANK(Miscellaneous!G221)),1,0)</f>
        <v>0</v>
      </c>
    </row>
    <row r="222" spans="3:15" ht="29" x14ac:dyDescent="0.35">
      <c r="C222" s="537" t="s">
        <v>2026</v>
      </c>
      <c r="D222" s="396" t="s">
        <v>1983</v>
      </c>
      <c r="E222" s="438" t="s">
        <v>1982</v>
      </c>
      <c r="F222" s="4"/>
      <c r="G222" s="272"/>
      <c r="N222" s="117">
        <f t="shared" ref="N222:N227" si="24">IF(ISBLANK(G222), 1, 0)</f>
        <v>1</v>
      </c>
      <c r="O222" s="126">
        <f>IF(AND('I&amp;E'!$G$102&lt;&gt;0,ISBLANK(Miscellaneous!G222)),1,0)</f>
        <v>0</v>
      </c>
    </row>
    <row r="223" spans="3:15" ht="29" x14ac:dyDescent="0.35">
      <c r="C223" s="537" t="s">
        <v>2027</v>
      </c>
      <c r="D223" s="396" t="s">
        <v>1984</v>
      </c>
      <c r="E223" s="438" t="s">
        <v>822</v>
      </c>
      <c r="F223" s="4"/>
      <c r="G223" s="272"/>
      <c r="N223" s="117">
        <f t="shared" si="24"/>
        <v>1</v>
      </c>
      <c r="O223" s="126">
        <f>IF(AND('I&amp;E'!$G$102&lt;&gt;0,ISBLANK(Miscellaneous!G223)),1,0)</f>
        <v>0</v>
      </c>
    </row>
    <row r="224" spans="3:15" x14ac:dyDescent="0.35">
      <c r="C224" s="537" t="s">
        <v>2028</v>
      </c>
      <c r="D224" s="396" t="s">
        <v>1985</v>
      </c>
      <c r="E224" s="438" t="s">
        <v>822</v>
      </c>
      <c r="F224" s="4"/>
      <c r="G224" s="272"/>
      <c r="N224" s="117">
        <f t="shared" si="24"/>
        <v>1</v>
      </c>
      <c r="O224" s="126">
        <f>IF(AND('I&amp;E'!$G$102&lt;&gt;0,ISBLANK(Miscellaneous!G224)),1,0)</f>
        <v>0</v>
      </c>
    </row>
    <row r="225" spans="3:15" ht="29" x14ac:dyDescent="0.35">
      <c r="C225" s="537" t="s">
        <v>2029</v>
      </c>
      <c r="D225" s="396" t="s">
        <v>1986</v>
      </c>
      <c r="E225" s="438" t="s">
        <v>822</v>
      </c>
      <c r="F225" s="4"/>
      <c r="G225" s="272"/>
      <c r="N225" s="117">
        <f t="shared" si="24"/>
        <v>1</v>
      </c>
      <c r="O225" s="126">
        <f>IF(AND('I&amp;E'!$G$102&lt;&gt;0,ISBLANK(Miscellaneous!G225)),1,0)</f>
        <v>0</v>
      </c>
    </row>
    <row r="226" spans="3:15" ht="29" x14ac:dyDescent="0.35">
      <c r="C226" s="538" t="s">
        <v>2023</v>
      </c>
      <c r="D226" s="396" t="s">
        <v>1987</v>
      </c>
      <c r="E226" s="4"/>
      <c r="F226" s="4"/>
      <c r="G226" s="19">
        <f>SUM(G221:G225)</f>
        <v>0</v>
      </c>
      <c r="O226" s="126"/>
    </row>
    <row r="227" spans="3:15" x14ac:dyDescent="0.35">
      <c r="C227" s="537" t="s">
        <v>2030</v>
      </c>
      <c r="D227" s="396" t="s">
        <v>1988</v>
      </c>
      <c r="E227" s="4"/>
      <c r="F227" s="4"/>
      <c r="G227" s="272"/>
      <c r="N227" s="117">
        <f t="shared" si="24"/>
        <v>1</v>
      </c>
      <c r="O227" s="126">
        <f>IF(AND('I&amp;E'!$G$102&lt;&gt;0,ISBLANK(Miscellaneous!G227)),1,0)</f>
        <v>0</v>
      </c>
    </row>
    <row r="228" spans="3:15" x14ac:dyDescent="0.35">
      <c r="C228" s="18"/>
    </row>
    <row r="229" spans="3:15" ht="29" x14ac:dyDescent="0.35">
      <c r="C229" s="18"/>
      <c r="D229" s="437" t="s">
        <v>1989</v>
      </c>
      <c r="E229" s="4"/>
      <c r="F229" s="4"/>
      <c r="G229" s="29"/>
    </row>
    <row r="230" spans="3:15" x14ac:dyDescent="0.35">
      <c r="C230" s="18" t="s">
        <v>2031</v>
      </c>
      <c r="D230" s="396" t="s">
        <v>1981</v>
      </c>
      <c r="E230" s="438" t="s">
        <v>1982</v>
      </c>
      <c r="F230" s="4"/>
      <c r="G230" s="272"/>
      <c r="N230" s="117">
        <f t="shared" ref="N230:N234" si="25">IF(ISBLANK(G230), 1, 0)</f>
        <v>1</v>
      </c>
      <c r="O230" s="126">
        <f>IF(AND('I&amp;E'!$G$102&lt;&gt;0,ISBLANK(Miscellaneous!G230)),1,0)</f>
        <v>0</v>
      </c>
    </row>
    <row r="231" spans="3:15" ht="29" x14ac:dyDescent="0.35">
      <c r="C231" s="18" t="s">
        <v>2032</v>
      </c>
      <c r="D231" s="396" t="s">
        <v>1990</v>
      </c>
      <c r="E231" s="438" t="s">
        <v>1982</v>
      </c>
      <c r="F231" s="4"/>
      <c r="G231" s="272"/>
      <c r="N231" s="117">
        <f t="shared" si="25"/>
        <v>1</v>
      </c>
      <c r="O231" s="126">
        <f>IF(AND('I&amp;E'!$G$102&lt;&gt;0,ISBLANK(Miscellaneous!G231)),1,0)</f>
        <v>0</v>
      </c>
    </row>
    <row r="232" spans="3:15" ht="29" x14ac:dyDescent="0.35">
      <c r="C232" s="18" t="s">
        <v>2033</v>
      </c>
      <c r="D232" s="396" t="s">
        <v>1991</v>
      </c>
      <c r="E232" s="438" t="s">
        <v>822</v>
      </c>
      <c r="F232" s="4"/>
      <c r="G232" s="272"/>
      <c r="N232" s="117">
        <f t="shared" si="25"/>
        <v>1</v>
      </c>
      <c r="O232" s="126">
        <f>IF(AND('I&amp;E'!$G$102&lt;&gt;0,ISBLANK(Miscellaneous!G232)),1,0)</f>
        <v>0</v>
      </c>
    </row>
    <row r="233" spans="3:15" x14ac:dyDescent="0.35">
      <c r="C233" s="18" t="s">
        <v>2034</v>
      </c>
      <c r="D233" s="396" t="s">
        <v>1985</v>
      </c>
      <c r="E233" s="438" t="s">
        <v>822</v>
      </c>
      <c r="F233" s="4"/>
      <c r="G233" s="272"/>
      <c r="N233" s="117">
        <f t="shared" si="25"/>
        <v>1</v>
      </c>
      <c r="O233" s="126">
        <f>IF(AND('I&amp;E'!$G$102&lt;&gt;0,ISBLANK(Miscellaneous!G233)),1,0)</f>
        <v>0</v>
      </c>
    </row>
    <row r="234" spans="3:15" ht="29" x14ac:dyDescent="0.35">
      <c r="C234" s="18" t="s">
        <v>2035</v>
      </c>
      <c r="D234" s="396" t="s">
        <v>1992</v>
      </c>
      <c r="E234" s="438" t="s">
        <v>822</v>
      </c>
      <c r="F234" s="4"/>
      <c r="G234" s="272"/>
      <c r="N234" s="117">
        <f t="shared" si="25"/>
        <v>1</v>
      </c>
      <c r="O234" s="126">
        <f>IF(AND('I&amp;E'!$G$102&lt;&gt;0,ISBLANK(Miscellaneous!G234)),1,0)</f>
        <v>0</v>
      </c>
    </row>
    <row r="235" spans="3:15" ht="29" x14ac:dyDescent="0.35">
      <c r="C235" s="539" t="s">
        <v>2024</v>
      </c>
      <c r="D235" s="396" t="s">
        <v>1993</v>
      </c>
      <c r="E235" s="4"/>
      <c r="F235" s="4"/>
      <c r="G235" s="19">
        <f>SUM(G230:G234)</f>
        <v>0</v>
      </c>
    </row>
    <row r="236" spans="3:15" x14ac:dyDescent="0.35">
      <c r="C236" s="18" t="s">
        <v>2036</v>
      </c>
      <c r="D236" s="396" t="s">
        <v>1994</v>
      </c>
      <c r="E236" s="4"/>
      <c r="F236" s="4"/>
      <c r="G236" s="272"/>
      <c r="N236" s="117">
        <f t="shared" ref="N236" si="26">IF(ISBLANK(G236), 1, 0)</f>
        <v>1</v>
      </c>
      <c r="O236" s="126">
        <f>IF(AND('I&amp;E'!$G$102&lt;&gt;0,ISBLANK(Miscellaneous!G236)),1,0)</f>
        <v>0</v>
      </c>
    </row>
  </sheetData>
  <sheetProtection algorithmName="SHA-512" hashValue="MdHGEJg198Blvn5P6Xsyol+wf4DyIgkIxIARwCpOz58MG2qGOTTGpCtC0hJyjFRv/AxdYwB3Ml80cM1nAQHn4g==" saltValue="rJ+ZPsQ/moA8tFuuHonkvQ==" spinCount="100000" sheet="1" objects="1" scenarios="1"/>
  <mergeCells count="12">
    <mergeCell ref="D218:E218"/>
    <mergeCell ref="D88:E88"/>
    <mergeCell ref="D187:E187"/>
    <mergeCell ref="D195:E195"/>
    <mergeCell ref="G94:H94"/>
    <mergeCell ref="D178:G185"/>
    <mergeCell ref="D101:G104"/>
    <mergeCell ref="D162:E162"/>
    <mergeCell ref="D169:E169"/>
    <mergeCell ref="D170:E170"/>
    <mergeCell ref="D172:E172"/>
    <mergeCell ref="D174:E174"/>
  </mergeCells>
  <phoneticPr fontId="12" type="noConversion"/>
  <conditionalFormatting sqref="A1:A2 A81:A95">
    <cfRule type="cellIs" dxfId="90" priority="207" operator="equal">
      <formula>0</formula>
    </cfRule>
    <cfRule type="cellIs" dxfId="89" priority="208" operator="greaterThan">
      <formula>0</formula>
    </cfRule>
  </conditionalFormatting>
  <conditionalFormatting sqref="A11:A16 A32:A34 A37:A43 O37:O43">
    <cfRule type="cellIs" dxfId="88" priority="236" operator="greaterThan">
      <formula>0</formula>
    </cfRule>
    <cfRule type="cellIs" dxfId="87" priority="235" operator="equal">
      <formula>0</formula>
    </cfRule>
  </conditionalFormatting>
  <conditionalFormatting sqref="A18:A19 A22:A26 A29 A46:A58">
    <cfRule type="cellIs" dxfId="86" priority="221" operator="equal">
      <formula>0</formula>
    </cfRule>
    <cfRule type="cellIs" dxfId="85" priority="222" operator="greaterThan">
      <formula>0</formula>
    </cfRule>
  </conditionalFormatting>
  <conditionalFormatting sqref="A61:A67">
    <cfRule type="cellIs" dxfId="84" priority="203" operator="equal">
      <formula>0</formula>
    </cfRule>
    <cfRule type="cellIs" dxfId="83" priority="204" operator="greaterThan">
      <formula>0</formula>
    </cfRule>
  </conditionalFormatting>
  <conditionalFormatting sqref="A70:A77 A107:A110 A113:A114 A117:A121 A124:A132 A135:A136 A139:A142 A144:A147 A151:A154 A156:A159 A165">
    <cfRule type="cellIs" dxfId="82" priority="192" operator="greaterThan">
      <formula>0</formula>
    </cfRule>
    <cfRule type="cellIs" dxfId="81" priority="191" operator="equal">
      <formula>0</formula>
    </cfRule>
  </conditionalFormatting>
  <conditionalFormatting sqref="A169:A175">
    <cfRule type="cellIs" dxfId="80" priority="159" operator="greaterThan">
      <formula>0</formula>
    </cfRule>
    <cfRule type="cellIs" dxfId="79" priority="158" operator="equal">
      <formula>0</formula>
    </cfRule>
  </conditionalFormatting>
  <conditionalFormatting sqref="A189">
    <cfRule type="cellIs" dxfId="78" priority="41" operator="equal">
      <formula>0</formula>
    </cfRule>
    <cfRule type="cellIs" dxfId="77" priority="42" operator="greaterThan">
      <formula>0</formula>
    </cfRule>
  </conditionalFormatting>
  <conditionalFormatting sqref="G170:G175">
    <cfRule type="expression" dxfId="76" priority="137" stopIfTrue="1">
      <formula>$G$169="No"</formula>
    </cfRule>
  </conditionalFormatting>
  <conditionalFormatting sqref="G171">
    <cfRule type="expression" dxfId="75" priority="144">
      <formula>$G$170="No"</formula>
    </cfRule>
  </conditionalFormatting>
  <conditionalFormatting sqref="G173">
    <cfRule type="expression" dxfId="74" priority="141">
      <formula>$G$172="No"</formula>
    </cfRule>
  </conditionalFormatting>
  <conditionalFormatting sqref="G175">
    <cfRule type="expression" dxfId="73" priority="139">
      <formula>$G$174="No"</formula>
    </cfRule>
  </conditionalFormatting>
  <conditionalFormatting sqref="N3">
    <cfRule type="cellIs" dxfId="72" priority="183" operator="greaterThan">
      <formula>0</formula>
    </cfRule>
    <cfRule type="cellIs" dxfId="71" priority="184" operator="equal">
      <formula>0</formula>
    </cfRule>
  </conditionalFormatting>
  <conditionalFormatting sqref="N29">
    <cfRule type="cellIs" dxfId="70" priority="187" operator="greaterThan">
      <formula>0</formula>
    </cfRule>
  </conditionalFormatting>
  <conditionalFormatting sqref="N32">
    <cfRule type="cellIs" dxfId="69" priority="186" operator="equal">
      <formula>0</formula>
    </cfRule>
    <cfRule type="cellIs" dxfId="68" priority="185" operator="greaterThan">
      <formula>0</formula>
    </cfRule>
  </conditionalFormatting>
  <conditionalFormatting sqref="N107:N110 N117:N121">
    <cfRule type="cellIs" dxfId="67" priority="177" operator="greaterThan">
      <formula>0</formula>
    </cfRule>
  </conditionalFormatting>
  <conditionalFormatting sqref="N165 N169:N170 N172 N174">
    <cfRule type="cellIs" dxfId="66" priority="164" operator="greaterThan">
      <formula>0</formula>
    </cfRule>
  </conditionalFormatting>
  <conditionalFormatting sqref="N189:N192">
    <cfRule type="cellIs" dxfId="65" priority="73" operator="greaterThan">
      <formula>0</formula>
    </cfRule>
  </conditionalFormatting>
  <conditionalFormatting sqref="N198:N200">
    <cfRule type="cellIs" dxfId="64" priority="55" operator="greaterThan">
      <formula>0</formula>
    </cfRule>
  </conditionalFormatting>
  <conditionalFormatting sqref="N202:N204">
    <cfRule type="cellIs" dxfId="63" priority="52" operator="greaterThan">
      <formula>0</formula>
    </cfRule>
  </conditionalFormatting>
  <conditionalFormatting sqref="N206:N208">
    <cfRule type="cellIs" dxfId="62" priority="49" operator="greaterThan">
      <formula>0</formula>
    </cfRule>
  </conditionalFormatting>
  <conditionalFormatting sqref="N210:N212">
    <cfRule type="cellIs" dxfId="61" priority="46" operator="greaterThan">
      <formula>0</formula>
    </cfRule>
  </conditionalFormatting>
  <conditionalFormatting sqref="N214:N216">
    <cfRule type="cellIs" dxfId="60" priority="43" operator="greaterThan">
      <formula>0</formula>
    </cfRule>
  </conditionalFormatting>
  <conditionalFormatting sqref="N221:N225">
    <cfRule type="cellIs" dxfId="59" priority="8" operator="greaterThan">
      <formula>0</formula>
    </cfRule>
    <cfRule type="cellIs" dxfId="58" priority="7" operator="equal">
      <formula>0</formula>
    </cfRule>
  </conditionalFormatting>
  <conditionalFormatting sqref="N227">
    <cfRule type="cellIs" dxfId="57" priority="5" operator="equal">
      <formula>0</formula>
    </cfRule>
    <cfRule type="cellIs" dxfId="56" priority="6" operator="greaterThan">
      <formula>0</formula>
    </cfRule>
  </conditionalFormatting>
  <conditionalFormatting sqref="N230:N234">
    <cfRule type="cellIs" dxfId="55" priority="4" operator="greaterThan">
      <formula>0</formula>
    </cfRule>
  </conditionalFormatting>
  <conditionalFormatting sqref="N236">
    <cfRule type="cellIs" dxfId="54" priority="2" operator="greaterThan">
      <formula>0</formula>
    </cfRule>
  </conditionalFormatting>
  <conditionalFormatting sqref="N29:O29">
    <cfRule type="cellIs" dxfId="53" priority="188" operator="equal">
      <formula>0</formula>
    </cfRule>
  </conditionalFormatting>
  <conditionalFormatting sqref="N107:O110 N117:O121">
    <cfRule type="cellIs" dxfId="52" priority="178" operator="equal">
      <formula>0</formula>
    </cfRule>
  </conditionalFormatting>
  <conditionalFormatting sqref="N165:O165">
    <cfRule type="cellIs" dxfId="51" priority="35" operator="equal">
      <formula>0</formula>
    </cfRule>
  </conditionalFormatting>
  <conditionalFormatting sqref="N169:O170">
    <cfRule type="cellIs" dxfId="50" priority="37" operator="equal">
      <formula>0</formula>
    </cfRule>
  </conditionalFormatting>
  <conditionalFormatting sqref="N172:O172 N174:O174">
    <cfRule type="cellIs" dxfId="49" priority="157" operator="equal">
      <formula>0</formula>
    </cfRule>
  </conditionalFormatting>
  <conditionalFormatting sqref="N189:O192">
    <cfRule type="cellIs" dxfId="48" priority="29" operator="equal">
      <formula>0</formula>
    </cfRule>
  </conditionalFormatting>
  <conditionalFormatting sqref="N198:O200">
    <cfRule type="cellIs" dxfId="47" priority="27" operator="equal">
      <formula>0</formula>
    </cfRule>
  </conditionalFormatting>
  <conditionalFormatting sqref="N202:O204">
    <cfRule type="cellIs" dxfId="46" priority="25" operator="equal">
      <formula>0</formula>
    </cfRule>
  </conditionalFormatting>
  <conditionalFormatting sqref="N206:O208">
    <cfRule type="cellIs" dxfId="45" priority="23" operator="equal">
      <formula>0</formula>
    </cfRule>
  </conditionalFormatting>
  <conditionalFormatting sqref="N210:O212">
    <cfRule type="cellIs" dxfId="44" priority="21" operator="equal">
      <formula>0</formula>
    </cfRule>
  </conditionalFormatting>
  <conditionalFormatting sqref="N214:O216">
    <cfRule type="cellIs" dxfId="43" priority="19" operator="equal">
      <formula>0</formula>
    </cfRule>
  </conditionalFormatting>
  <conditionalFormatting sqref="N230:O234">
    <cfRule type="cellIs" dxfId="42" priority="3" operator="equal">
      <formula>0</formula>
    </cfRule>
  </conditionalFormatting>
  <conditionalFormatting sqref="N236:O236">
    <cfRule type="cellIs" dxfId="41" priority="1" operator="equal">
      <formula>0</formula>
    </cfRule>
  </conditionalFormatting>
  <conditionalFormatting sqref="O11:O16">
    <cfRule type="cellIs" dxfId="40" priority="18" operator="greaterThan">
      <formula>0</formula>
    </cfRule>
    <cfRule type="cellIs" dxfId="39" priority="17" operator="equal">
      <formula>0</formula>
    </cfRule>
  </conditionalFormatting>
  <conditionalFormatting sqref="O18:O19">
    <cfRule type="cellIs" dxfId="38" priority="234" operator="greaterThan">
      <formula>0</formula>
    </cfRule>
    <cfRule type="cellIs" dxfId="37" priority="233" operator="equal">
      <formula>0</formula>
    </cfRule>
  </conditionalFormatting>
  <conditionalFormatting sqref="O22:O26">
    <cfRule type="cellIs" dxfId="36" priority="232" operator="greaterThan">
      <formula>0</formula>
    </cfRule>
    <cfRule type="cellIs" dxfId="35" priority="231" operator="equal">
      <formula>0</formula>
    </cfRule>
  </conditionalFormatting>
  <conditionalFormatting sqref="O29">
    <cfRule type="cellIs" dxfId="34" priority="230" operator="greaterThan">
      <formula>0</formula>
    </cfRule>
  </conditionalFormatting>
  <conditionalFormatting sqref="O32:O34">
    <cfRule type="cellIs" dxfId="33" priority="190" operator="greaterThan">
      <formula>0</formula>
    </cfRule>
    <cfRule type="cellIs" dxfId="32" priority="189" operator="equal">
      <formula>0</formula>
    </cfRule>
  </conditionalFormatting>
  <conditionalFormatting sqref="O46:O58">
    <cfRule type="cellIs" dxfId="31" priority="224" operator="greaterThan">
      <formula>0</formula>
    </cfRule>
    <cfRule type="cellIs" dxfId="30" priority="223" operator="equal">
      <formula>0</formula>
    </cfRule>
  </conditionalFormatting>
  <conditionalFormatting sqref="O61:O67">
    <cfRule type="cellIs" dxfId="29" priority="199" operator="equal">
      <formula>0</formula>
    </cfRule>
    <cfRule type="cellIs" dxfId="28" priority="200" operator="greaterThan">
      <formula>0</formula>
    </cfRule>
  </conditionalFormatting>
  <conditionalFormatting sqref="O70:O77">
    <cfRule type="cellIs" dxfId="27" priority="197" operator="equal">
      <formula>0</formula>
    </cfRule>
    <cfRule type="cellIs" dxfId="26" priority="198" operator="greaterThan">
      <formula>0</formula>
    </cfRule>
  </conditionalFormatting>
  <conditionalFormatting sqref="O81:O95">
    <cfRule type="cellIs" dxfId="25" priority="32" operator="greaterThan">
      <formula>0</formula>
    </cfRule>
    <cfRule type="cellIs" dxfId="24" priority="31" operator="equal">
      <formula>0</formula>
    </cfRule>
  </conditionalFormatting>
  <conditionalFormatting sqref="O107:O110 O117:O121">
    <cfRule type="cellIs" dxfId="23" priority="180" operator="greaterThan">
      <formula>0</formula>
    </cfRule>
  </conditionalFormatting>
  <conditionalFormatting sqref="O113:O114">
    <cfRule type="cellIs" dxfId="22" priority="15" operator="equal">
      <formula>0</formula>
    </cfRule>
    <cfRule type="cellIs" dxfId="21" priority="16" operator="greaterThan">
      <formula>0</formula>
    </cfRule>
  </conditionalFormatting>
  <conditionalFormatting sqref="O135:O136 O139:O142 O144:O147 O151:O154 O156:O159">
    <cfRule type="cellIs" dxfId="20" priority="171" operator="equal">
      <formula>0</formula>
    </cfRule>
    <cfRule type="cellIs" dxfId="19" priority="172" operator="greaterThan">
      <formula>0</formula>
    </cfRule>
  </conditionalFormatting>
  <conditionalFormatting sqref="O165">
    <cfRule type="cellIs" dxfId="18" priority="36" operator="greaterThan">
      <formula>0</formula>
    </cfRule>
  </conditionalFormatting>
  <conditionalFormatting sqref="O169:O175">
    <cfRule type="cellIs" dxfId="17" priority="38" operator="greaterThan">
      <formula>0</formula>
    </cfRule>
  </conditionalFormatting>
  <conditionalFormatting sqref="O171">
    <cfRule type="cellIs" dxfId="16" priority="155" operator="equal">
      <formula>0</formula>
    </cfRule>
  </conditionalFormatting>
  <conditionalFormatting sqref="O173">
    <cfRule type="cellIs" dxfId="15" priority="153" operator="equal">
      <formula>0</formula>
    </cfRule>
  </conditionalFormatting>
  <conditionalFormatting sqref="O175">
    <cfRule type="cellIs" dxfId="14" priority="151" operator="equal">
      <formula>0</formula>
    </cfRule>
  </conditionalFormatting>
  <conditionalFormatting sqref="O189:O192">
    <cfRule type="cellIs" dxfId="13" priority="30" operator="greaterThan">
      <formula>0</formula>
    </cfRule>
  </conditionalFormatting>
  <conditionalFormatting sqref="O198:O200">
    <cfRule type="cellIs" dxfId="12" priority="28" operator="greaterThan">
      <formula>0</formula>
    </cfRule>
  </conditionalFormatting>
  <conditionalFormatting sqref="O202:O204">
    <cfRule type="cellIs" dxfId="11" priority="26" operator="greaterThan">
      <formula>0</formula>
    </cfRule>
  </conditionalFormatting>
  <conditionalFormatting sqref="O206:O208">
    <cfRule type="cellIs" dxfId="10" priority="24" operator="greaterThan">
      <formula>0</formula>
    </cfRule>
  </conditionalFormatting>
  <conditionalFormatting sqref="O210:O212">
    <cfRule type="cellIs" dxfId="9" priority="22" operator="greaterThan">
      <formula>0</formula>
    </cfRule>
  </conditionalFormatting>
  <conditionalFormatting sqref="O214:O216">
    <cfRule type="cellIs" dxfId="8" priority="20" operator="greaterThan">
      <formula>0</formula>
    </cfRule>
  </conditionalFormatting>
  <conditionalFormatting sqref="O221:O227">
    <cfRule type="cellIs" dxfId="7" priority="14" operator="greaterThan">
      <formula>0</formula>
    </cfRule>
    <cfRule type="cellIs" dxfId="6" priority="13" operator="equal">
      <formula>0</formula>
    </cfRule>
  </conditionalFormatting>
  <conditionalFormatting sqref="O230:O234">
    <cfRule type="cellIs" dxfId="5" priority="12" operator="greaterThan">
      <formula>0</formula>
    </cfRule>
  </conditionalFormatting>
  <conditionalFormatting sqref="O236">
    <cfRule type="cellIs" dxfId="4" priority="10" operator="greaterThan">
      <formula>0</formula>
    </cfRule>
  </conditionalFormatting>
  <dataValidations xWindow="1696" yWindow="1199" count="41">
    <dataValidation operator="lessThan" allowBlank="1" showInputMessage="1" showErrorMessage="1" sqref="G18:G19" xr:uid="{FAB52CB6-03CD-47E3-A5EA-E2E92711B2E2}"/>
    <dataValidation type="whole" operator="lessThan" allowBlank="1" showInputMessage="1" showErrorMessage="1" error="Please input in £000s" prompt="Please input in £000s" sqref="G22:G26" xr:uid="{3A9196F6-D73C-40A1-8D3D-3FF819CABF43}">
      <formula1>1000</formula1>
    </dataValidation>
    <dataValidation type="list" allowBlank="1" showInputMessage="1" showErrorMessage="1" prompt="Select from list" sqref="G16" xr:uid="{A5EDFA57-BE50-4C1A-819F-4D05BB49C9EF}">
      <formula1>$Q$6:$Q$7</formula1>
    </dataValidation>
    <dataValidation type="custom" allowBlank="1" showInputMessage="1" showErrorMessage="1" sqref="G45" xr:uid="{38980CAC-A535-43F5-B762-8C524CB03DE5}">
      <formula1>ISNUMBER(G45)</formula1>
    </dataValidation>
    <dataValidation type="custom" allowBlank="1" showInputMessage="1" showErrorMessage="1" error="Please enter numeric value" sqref="G33 G37 G39:G40 H116 H122:H132 G46:G57" xr:uid="{0F38B8D6-D893-4BEB-91F3-3561E514F1A8}">
      <formula1>ISNUMBER(G33)</formula1>
    </dataValidation>
    <dataValidation allowBlank="1" showErrorMessage="1" sqref="D52:D53 E13 D11:D13 D39" xr:uid="{5E5BB317-A382-4B4F-A18D-4BE2D015CD6B}"/>
    <dataValidation type="custom" allowBlank="1" showInputMessage="1" showErrorMessage="1" error="Please enter text" sqref="D178" xr:uid="{5748487F-9EF9-4EC0-8675-38169D07A37C}">
      <formula1>ISTEXT(D178)</formula1>
    </dataValidation>
    <dataValidation allowBlank="1" sqref="B13:B14" xr:uid="{A561CE66-805C-4525-8F40-3AA7CE573129}"/>
    <dataValidation allowBlank="1" showInputMessage="1" promptTitle="AO's Pension Contribution" prompt="Contributions paid under a pension scheme (not employers' national insurance contributions). This should not include payments made in lieu of pension contributions." sqref="B15" xr:uid="{264E0D36-B3BB-40A8-9017-876EA45DAF7C}"/>
    <dataValidation allowBlank="1" showInputMessage="1" sqref="B11 B65" xr:uid="{A4092BF3-4FD1-4E21-950A-F5E181B60388}"/>
    <dataValidation allowBlank="1" promptTitle="Principal's Other Emoluments" prompt="Please include payments made to principals in lieu of pension contributions as other emoluments. Please include further details of such payments in the narrative box." sqref="B12" xr:uid="{155D72C7-4A92-44F2-B843-81295D0621C4}"/>
    <dataValidation allowBlank="1" showInputMessage="1" promptTitle="Pay Multiple" prompt="This should replicate the data in the audited financial statements." sqref="B18:B19" xr:uid="{132C3C4C-97E0-437F-BEF7-DEFFD5BFEF8A}"/>
    <dataValidation allowBlank="1" showInputMessage="1" promptTitle="Input Validation Check" prompt="Flags where a cell contains invalid characters, such as full stops, dashes and spaces._x000a_" sqref="O2" xr:uid="{B9C30672-FA47-4E0D-A787-29D930AC1995}"/>
    <dataValidation allowBlank="1" showInputMessage="1" promptTitle="Regularity Engagement" prompt="This is the cost of the regularity engagement that has been included in line 2a." sqref="B23" xr:uid="{8B3BBAFB-F4F1-4518-A63E-4A1704D27A37}"/>
    <dataValidation allowBlank="1" showInputMessage="1" promptTitle="Restricted Reserve Transfers" prompt="Include any sums brought back from restricted reserves to match specific items of expenditure and all appropriations of income to restricted reserves." sqref="B39" xr:uid="{98B8D9C9-C67D-4542-A382-BF360DC33607}"/>
    <dataValidation allowBlank="1" showInputMessage="1" promptTitle="Expected Return" prompt="Under FRS102, the actuarial report will typically show a single figure for the net return - enter as positive or a negative as appropriate_x000a_If the actuarial report continues to split these balances, enter the split." sqref="B52" xr:uid="{7CA8F5DE-3025-44BF-B010-0FD478716CF5}"/>
    <dataValidation allowBlank="1" showInputMessage="1" promptTitle="Interest on Pension Liabilities" prompt="Under FRS102, the actuarial report will typically show a single figure for the net return - enter as positive or a negative as appropriate_x000a_If the actuarial report continues to split these balances, enter the split." sqref="B53" xr:uid="{2712C3C0-6ED1-4258-BC87-BE298CE3F0E1}"/>
    <dataValidation allowBlank="1" showInputMessage="1" promptTitle="Prior Year Balance check" prompt="If the optional prior year is used, it checks that:_x000a__x000a_Prior Year Opening Balance input + Prior year movement = Prior Year Closing Balance _x000a__x000a_If flagged, make sure that Opening Balalnces inputs are aligned with movements in Prior Year." sqref="B74" xr:uid="{339D1588-4BD1-48A0-9C0D-CA8FFB0FDDC1}"/>
    <dataValidation allowBlank="1" showInputMessage="1" promptTitle="Please Complete" prompt="Warnings will be trigerred where no data has been entered or where totals do not reconcile." sqref="N2" xr:uid="{577B1D4F-3F02-45B4-B5CA-364DBE966B9F}"/>
    <dataValidation type="custom" allowBlank="1" showInputMessage="1" showErrorMessage="1" error="Please input numeric value" sqref="G83" xr:uid="{0242DADD-D61D-45E9-A396-464F12225D6D}">
      <formula1>ISNUMBER(G83)</formula1>
    </dataValidation>
    <dataValidation type="decimal" allowBlank="1" showInputMessage="1" showErrorMessage="1" prompt="Input number of years" sqref="G82" xr:uid="{FB8B6D39-A443-45D0-93CD-E247F79D2B96}">
      <formula1>0</formula1>
      <formula2>100</formula2>
    </dataValidation>
    <dataValidation allowBlank="1" showInputMessage="1" promptTitle="RPTs" prompt="Organisations whose results have been consolidated into the corporation’s financial statements (for example those of a subsidiary) are classed as internal related parties and purchases from such entities should be omitted from the value reported.  " sqref="B114" xr:uid="{D8D3FFDD-A75C-40C8-94C6-B5F733EB2F0A}"/>
    <dataValidation allowBlank="1" showInputMessage="1" showErrorMessage="1" promptTitle="RPTs - enter zero if none" prompt="Please report only external related party expenditure. This figure should exclude, for example:_x000a_- expenses and other payments made to governors/trustees_x000a_- income received by the corporation_x000a_- loan and interest payments made by the corporation._x000a_See B105_x000a__x000a_" sqref="G114" xr:uid="{8B3C0AAD-A5B5-41A7-975E-8E2165019563}"/>
    <dataValidation allowBlank="1" showInputMessage="1" showErrorMessage="1" prompt="For the purposes of the Finance Record, a net asset for the LGPS will be shown as a negative liability in the balance sheet." sqref="G58" xr:uid="{078C91F9-F1ED-471E-A7E8-44AD5FE68CAC}"/>
    <dataValidation type="textLength" allowBlank="1" showInputMessage="1" showErrorMessage="1" error="Enter the figure as a positive number" sqref="D124:D132" xr:uid="{64ABCD1E-9310-4945-AF69-A303CAA341AE}">
      <formula1>0</formula1>
      <formula2>100</formula2>
    </dataValidation>
    <dataValidation type="whole" operator="greaterThan" allowBlank="1" showInputMessage="1" showErrorMessage="1" sqref="E124:E132" xr:uid="{7281EE55-683F-40AA-B3FD-DCBE824E2519}">
      <formula1>0</formula1>
    </dataValidation>
    <dataValidation type="list" allowBlank="1" showInputMessage="1" showErrorMessage="1" sqref="G165" xr:uid="{36A1094B-FA19-4A22-A354-CA2AC0D8DD84}">
      <formula1>"Yes, No, N/A"</formula1>
    </dataValidation>
    <dataValidation type="list" allowBlank="1" showInputMessage="1" showErrorMessage="1" sqref="G169" xr:uid="{38BC3D9A-2935-4782-8615-54144C797697}">
      <formula1>"Yes, No"</formula1>
    </dataValidation>
    <dataValidation allowBlank="1" showInputMessage="1" promptTitle="Note" prompt="This section (loans: amounts falling due within one year) will not be published" sqref="B138" xr:uid="{75B4E1D8-5102-412D-9442-171819C45F97}"/>
    <dataValidation allowBlank="1" showInputMessage="1" promptTitle="Note" prompt="This section (loans: amounts falling due after one year) will not be published" sqref="B150" xr:uid="{326C45E2-E093-47F7-B939-6D987477B687}"/>
    <dataValidation allowBlank="1" showInputMessage="1" showErrorMessage="1" promptTitle="Irrecoverabal VAT" prompt="Ensure value is entered in £000s" sqref="G113" xr:uid="{996F3033-A6F7-4893-B00F-1D899A060AB5}"/>
    <dataValidation type="custom" allowBlank="1" showInputMessage="1" showErrorMessage="1" error="Please enter as a percentage" sqref="H89 H91" xr:uid="{F73C9180-0936-471A-8121-723D6067D651}">
      <formula1>H89&lt;1</formula1>
    </dataValidation>
    <dataValidation type="list" allowBlank="1" showInputMessage="1" showErrorMessage="1" sqref="G93" xr:uid="{B67ADF12-B7E6-49EE-8FE4-7D7D6546D77B}">
      <formula1>"Yes,No"</formula1>
    </dataValidation>
    <dataValidation type="decimal" allowBlank="1" showInputMessage="1" showErrorMessage="1" error="Please enter as a percentage" sqref="G89" xr:uid="{BB8F93EA-AF99-420C-A1A3-0D910D763FE0}">
      <formula1>0</formula1>
      <formula2>0.99999999999</formula2>
    </dataValidation>
    <dataValidation type="decimal" operator="lessThan" allowBlank="1" showInputMessage="1" showErrorMessage="1" error="Please enter as a percentage" prompt="Please enter percentage. If no secondary contribution rate, enter zero." sqref="G91" xr:uid="{4499AFBE-2F65-4A0A-B21E-04D4BC729D43}">
      <formula1>1</formula1>
    </dataValidation>
    <dataValidation type="whole" showInputMessage="1" showErrorMessage="1" error="Please enter the value disclosed in the Financial Statements in £000" sqref="G90" xr:uid="{67297439-2033-42A0-9779-BC272D555174}">
      <formula1>1</formula1>
      <formula2>1000</formula2>
    </dataValidation>
    <dataValidation type="whole" showInputMessage="1" showErrorMessage="1" error="Please enter a value in £000" sqref="H90" xr:uid="{D3E4BD35-6951-4A48-8208-12FF512BB5E7}">
      <formula1>1</formula1>
      <formula2>1000</formula2>
    </dataValidation>
    <dataValidation allowBlank="1" showInputMessage="1" showErrorMessage="1" prompt="Please enter a value in £000" sqref="H92" xr:uid="{4F796E08-3029-49E7-9B54-A5D326F200DF}"/>
    <dataValidation type="date" allowBlank="1" showInputMessage="1" showErrorMessage="1" error="Please enter a valid date" sqref="G108 G110" xr:uid="{A5C1B455-A277-4203-8E00-0B1805C23449}">
      <formula1>43831</formula1>
      <formula2>47848</formula2>
    </dataValidation>
    <dataValidation allowBlank="1" showInputMessage="1" showErrorMessage="1" prompt="Please enter a value in £000. If no secondary contribution rate, please enter zero." sqref="G92" xr:uid="{48D09D90-0C9F-4CC8-84E6-5EAF01DE5AB1}"/>
    <dataValidation type="list" allowBlank="1" showInputMessage="1" showErrorMessage="1" sqref="G170 G172 G174" xr:uid="{B6AE2FAE-8691-4DF6-AADB-8D8F444B74CA}">
      <formula1>"Yes, No, No proceeds"</formula1>
    </dataValidation>
  </dataValidations>
  <pageMargins left="0.7" right="0.7" top="0.75" bottom="0.75" header="0.3" footer="0.3"/>
  <pageSetup paperSize="9" orientation="portrait" r:id="rId1"/>
  <ignoredErrors>
    <ignoredError sqref="G134" numberStoredAsText="1"/>
    <ignoredError sqref="E191" formula="1"/>
  </ignoredErrors>
  <legacyDrawing r:id="rId2"/>
  <extLst>
    <ext xmlns:x14="http://schemas.microsoft.com/office/spreadsheetml/2009/9/main" uri="{CCE6A557-97BC-4b89-ADB6-D9C93CAAB3DF}">
      <x14:dataValidations xmlns:xm="http://schemas.microsoft.com/office/excel/2006/main" xWindow="1696" yWindow="1199" count="15">
        <x14:dataValidation type="list" allowBlank="1" showInputMessage="1" showErrorMessage="1" xr:uid="{93BDB3AD-FCA2-4EDB-8AE5-E020D675BEF2}">
          <x14:formula1>
            <xm:f>Parameters!$D$232:$D$256</xm:f>
          </x14:formula1>
          <xm:sqref>G29</xm:sqref>
        </x14:dataValidation>
        <x14:dataValidation type="list" allowBlank="1" showInputMessage="1" showErrorMessage="1" xr:uid="{89809031-6347-4479-8525-7F26ADA63D34}">
          <x14:formula1>
            <xm:f>Parameters!$E$232:$E$253</xm:f>
          </x14:formula1>
          <xm:sqref>G32</xm:sqref>
        </x14:dataValidation>
        <x14:dataValidation type="list" allowBlank="1" showInputMessage="1" showErrorMessage="1" xr:uid="{CBF418BC-75BC-4F74-A4AD-2531D5EA984C}">
          <x14:formula1>
            <xm:f>Parameters!$D$24:$D$25</xm:f>
          </x14:formula1>
          <xm:sqref>G107</xm:sqref>
        </x14:dataValidation>
        <x14:dataValidation type="list" allowBlank="1" showInputMessage="1" showErrorMessage="1" xr:uid="{73769199-469A-4559-8A43-AD2B7B4EDE45}">
          <x14:formula1>
            <xm:f>Parameters!$D$28:$D$30</xm:f>
          </x14:formula1>
          <xm:sqref>G109</xm:sqref>
        </x14:dataValidation>
        <x14:dataValidation type="list" allowBlank="1" showInputMessage="1" showErrorMessage="1" xr:uid="{D57948E8-9E40-4862-B27D-210E8696B3A8}">
          <x14:formula1>
            <xm:f>Parameters!$D$199:$D$200</xm:f>
          </x14:formula1>
          <xm:sqref>G117</xm:sqref>
        </x14:dataValidation>
        <x14:dataValidation type="list" allowBlank="1" showInputMessage="1" showErrorMessage="1" xr:uid="{F8DF1406-09A2-452E-812B-E997B5341CB6}">
          <x14:formula1>
            <xm:f>Parameters!$D$259:$D$268</xm:f>
          </x14:formula1>
          <xm:sqref>G119:G120</xm:sqref>
        </x14:dataValidation>
        <x14:dataValidation type="list" allowBlank="1" showInputMessage="1" showErrorMessage="1" xr:uid="{45820C13-F6C2-424E-A71B-9EAAC7B6FAD0}">
          <x14:formula1>
            <xm:f>Parameters!$F$199:$F$201</xm:f>
          </x14:formula1>
          <xm:sqref>G121 G118</xm:sqref>
        </x14:dataValidation>
        <x14:dataValidation type="list" allowBlank="1" showInputMessage="1" showErrorMessage="1" xr:uid="{A9A1D5F8-2E89-4D36-BBBE-7B34D22E2661}">
          <x14:formula1>
            <xm:f>Parameters!$D$272:$D$358</xm:f>
          </x14:formula1>
          <xm:sqref>G85:G87</xm:sqref>
        </x14:dataValidation>
        <x14:dataValidation type="decimal" allowBlank="1" showInputMessage="1" showErrorMessage="1" error="Pleaese enter rate as %" xr:uid="{99F46EB6-FDC3-4965-844F-87DCFF823B8A}">
          <x14:formula1>
            <xm:f>Parameters!$E$428</xm:f>
          </x14:formula1>
          <x14:formula2>
            <xm:f>Parameters!$F$428</xm:f>
          </x14:formula2>
          <xm:sqref>G199 G203 G211 G207 G215</xm:sqref>
        </x14:dataValidation>
        <x14:dataValidation type="whole" allowBlank="1" showInputMessage="1" showErrorMessage="1" error="Please enter value as £000" xr:uid="{717052EB-49C8-4EE4-812C-1718FF40B34C}">
          <x14:formula1>
            <xm:f>Parameters!$E$427</xm:f>
          </x14:formula1>
          <x14:formula2>
            <xm:f>Parameters!$F$427</xm:f>
          </x14:formula2>
          <xm:sqref>G198 G202 G206 G210 G214</xm:sqref>
        </x14:dataValidation>
        <x14:dataValidation type="whole" allowBlank="1" showInputMessage="1" showErrorMessage="1" error="Pleaes enter a whole number" xr:uid="{A0ABFC91-C917-44D1-9E7D-B6B31E87DE66}">
          <x14:formula1>
            <xm:f>Parameters!$E$429</xm:f>
          </x14:formula1>
          <x14:formula2>
            <xm:f>Parameters!$F$429</xm:f>
          </x14:formula2>
          <xm:sqref>G200 G204 G208 G212 G216</xm:sqref>
        </x14:dataValidation>
        <x14:dataValidation type="whole" allowBlank="1" showInputMessage="1" showErrorMessage="1" error="Please enter the total value in £000" xr:uid="{557C983E-EA05-4FCA-99D7-DFDCDC2272F7}">
          <x14:formula1>
            <xm:f>Parameters!E423</xm:f>
          </x14:formula1>
          <x14:formula2>
            <xm:f>Parameters!F423</xm:f>
          </x14:formula2>
          <xm:sqref>G192 G190</xm:sqref>
        </x14:dataValidation>
        <x14:dataValidation type="whole" allowBlank="1" showInputMessage="1" showErrorMessage="1" error="Please enter a whole number" xr:uid="{E3CF8259-4CDA-491D-87A3-FDAF72DCF8B6}">
          <x14:formula1>
            <xm:f>Parameters!E422</xm:f>
          </x14:formula1>
          <x14:formula2>
            <xm:f>Parameters!F422</xm:f>
          </x14:formula2>
          <xm:sqref>G189 G191</xm:sqref>
        </x14:dataValidation>
        <x14:dataValidation type="whole" operator="lessThanOrEqual" allowBlank="1" showInputMessage="1" showErrorMessage="1" error="Enter round number, in £000s" xr:uid="{9B7B5FCC-92CF-4A92-B4B3-3DB1C0A5B4A6}">
          <x14:formula1>
            <xm:f>Parameters!E418</xm:f>
          </x14:formula1>
          <xm:sqref>G84</xm:sqref>
        </x14:dataValidation>
        <x14:dataValidation type="decimal" operator="lessThan" allowBlank="1" showInputMessage="1" showErrorMessage="1" error="Must be entered as £000s" xr:uid="{FCCB3B3B-228F-41CD-B102-81416E3121F8}">
          <x14:formula1>
            <xm:f>Parameters!E413</xm:f>
          </x14:formula1>
          <xm:sqref>G11:G15</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D2750-6C10-496C-9930-9AD48B7819EE}">
  <sheetPr codeName="Sheet16">
    <tabColor rgb="FF00B050"/>
  </sheetPr>
  <dimension ref="A1:R429"/>
  <sheetViews>
    <sheetView showGridLines="0" zoomScaleNormal="100" workbookViewId="0"/>
  </sheetViews>
  <sheetFormatPr defaultColWidth="0" defaultRowHeight="14.5" x14ac:dyDescent="0.35"/>
  <cols>
    <col min="1" max="1" width="6.7265625" bestFit="1" customWidth="1"/>
    <col min="2" max="2" width="9.453125" bestFit="1" customWidth="1"/>
    <col min="3" max="3" width="25.81640625" customWidth="1"/>
    <col min="4" max="4" width="48.453125" customWidth="1"/>
    <col min="5" max="5" width="16.1796875" style="4" customWidth="1"/>
    <col min="6" max="6" width="14.1796875" style="379" customWidth="1"/>
    <col min="7" max="7" width="11.453125" style="379" customWidth="1"/>
    <col min="8" max="8" width="15" customWidth="1"/>
    <col min="9" max="9" width="17" customWidth="1"/>
    <col min="10" max="10" width="8.7265625" customWidth="1" collapsed="1"/>
    <col min="11" max="12" width="8.7265625" customWidth="1"/>
    <col min="13" max="16384" width="8.7265625" hidden="1"/>
  </cols>
  <sheetData>
    <row r="1" spans="1:18" x14ac:dyDescent="0.35">
      <c r="A1" s="147">
        <f ca="1">ToC!A1</f>
        <v>0</v>
      </c>
      <c r="B1" s="2" t="s">
        <v>1204</v>
      </c>
      <c r="C1" s="2"/>
      <c r="D1" s="2"/>
      <c r="E1" s="375"/>
      <c r="F1" s="391"/>
      <c r="G1" s="392"/>
      <c r="H1" s="146"/>
      <c r="I1" s="146"/>
      <c r="J1" s="2"/>
      <c r="K1" s="2"/>
      <c r="L1" s="2"/>
      <c r="M1" s="2"/>
      <c r="N1" s="2"/>
      <c r="O1" s="2"/>
      <c r="P1" s="2"/>
      <c r="Q1" s="2"/>
      <c r="R1" s="2"/>
    </row>
    <row r="2" spans="1:18" ht="14.65" customHeight="1" x14ac:dyDescent="0.35">
      <c r="A2" s="147">
        <f>SUM(A$7:A$353)</f>
        <v>0</v>
      </c>
      <c r="B2" s="205"/>
      <c r="C2" s="294"/>
      <c r="D2" s="294"/>
      <c r="E2" s="376"/>
      <c r="F2" s="391"/>
      <c r="G2" s="391"/>
      <c r="H2" s="2"/>
      <c r="I2" s="2"/>
      <c r="J2" s="2"/>
      <c r="K2" s="2"/>
      <c r="L2" s="2"/>
      <c r="M2" s="2"/>
      <c r="N2" s="2"/>
      <c r="O2" s="2"/>
      <c r="P2" s="2"/>
      <c r="Q2" s="2"/>
      <c r="R2" s="2"/>
    </row>
    <row r="3" spans="1:18" x14ac:dyDescent="0.35">
      <c r="A3" s="205"/>
      <c r="B3" s="2"/>
      <c r="C3" s="2"/>
      <c r="D3" s="293" t="s">
        <v>1205</v>
      </c>
      <c r="E3" s="2" t="s">
        <v>1905</v>
      </c>
      <c r="F3" s="391"/>
      <c r="G3" s="391"/>
      <c r="H3" s="2"/>
      <c r="I3" s="2"/>
      <c r="J3" s="2"/>
      <c r="K3" s="2"/>
      <c r="L3" s="2"/>
      <c r="M3" s="2"/>
      <c r="N3" s="2"/>
      <c r="O3" s="2"/>
      <c r="P3" s="2"/>
      <c r="Q3" s="2"/>
      <c r="R3" s="2"/>
    </row>
    <row r="4" spans="1:18" x14ac:dyDescent="0.35">
      <c r="A4" s="2"/>
      <c r="B4" s="2"/>
      <c r="C4" s="2"/>
      <c r="D4" s="293" t="s">
        <v>1206</v>
      </c>
      <c r="E4" s="2"/>
      <c r="F4" s="391"/>
      <c r="G4" s="391"/>
      <c r="H4" s="2"/>
      <c r="I4" s="2"/>
      <c r="J4" s="2"/>
      <c r="K4" s="2"/>
      <c r="L4" s="2"/>
      <c r="M4" s="2"/>
      <c r="N4" s="2"/>
      <c r="O4" s="2"/>
      <c r="P4" s="2"/>
      <c r="Q4" s="2"/>
      <c r="R4" s="2"/>
    </row>
    <row r="5" spans="1:18" x14ac:dyDescent="0.35">
      <c r="A5" s="2"/>
      <c r="B5" s="2"/>
      <c r="C5" s="2"/>
      <c r="D5" s="293" t="s">
        <v>1207</v>
      </c>
      <c r="E5" s="375">
        <v>45869</v>
      </c>
      <c r="F5" s="391"/>
      <c r="G5" s="391"/>
      <c r="H5" s="2"/>
      <c r="I5" s="2"/>
      <c r="J5" s="2"/>
      <c r="K5" s="2"/>
      <c r="L5" s="2"/>
      <c r="M5" s="2"/>
      <c r="N5" s="2"/>
      <c r="O5" s="2"/>
      <c r="P5" s="2"/>
      <c r="Q5" s="2"/>
      <c r="R5" s="2"/>
    </row>
    <row r="6" spans="1:18" x14ac:dyDescent="0.35">
      <c r="A6" s="206"/>
      <c r="B6" s="61"/>
      <c r="C6" s="2"/>
      <c r="D6" s="294" t="s">
        <v>9</v>
      </c>
      <c r="E6" s="2"/>
      <c r="F6" s="391"/>
      <c r="G6" s="391"/>
      <c r="H6" s="2"/>
      <c r="I6" s="2"/>
      <c r="J6" s="2"/>
      <c r="K6" s="2"/>
      <c r="L6" s="2"/>
      <c r="M6" s="2"/>
      <c r="N6" s="295"/>
      <c r="O6" s="2"/>
      <c r="P6" s="2"/>
      <c r="Q6" s="2"/>
      <c r="R6" s="2"/>
    </row>
    <row r="7" spans="1:18" x14ac:dyDescent="0.35">
      <c r="B7" s="207" t="s">
        <v>469</v>
      </c>
      <c r="D7" s="4"/>
      <c r="E7"/>
    </row>
    <row r="8" spans="1:18" x14ac:dyDescent="0.35">
      <c r="A8" s="5"/>
      <c r="B8" s="5"/>
      <c r="C8" s="5"/>
      <c r="D8" s="5" t="s">
        <v>1208</v>
      </c>
      <c r="E8" s="5"/>
      <c r="F8" s="393"/>
      <c r="G8" s="393"/>
      <c r="H8" s="5"/>
      <c r="I8" s="5"/>
      <c r="J8" s="5"/>
      <c r="K8" s="5"/>
      <c r="L8" s="5"/>
      <c r="M8" s="5"/>
      <c r="N8" s="5"/>
      <c r="O8" s="5"/>
      <c r="P8" s="5"/>
      <c r="Q8" s="5"/>
      <c r="R8" s="5"/>
    </row>
    <row r="9" spans="1:18" ht="6.75" customHeight="1" x14ac:dyDescent="0.35">
      <c r="D9" s="4"/>
      <c r="E9"/>
    </row>
    <row r="10" spans="1:18" x14ac:dyDescent="0.35">
      <c r="D10" s="2" t="s">
        <v>1209</v>
      </c>
    </row>
    <row r="11" spans="1:18" x14ac:dyDescent="0.35">
      <c r="D11" s="208" t="s">
        <v>1210</v>
      </c>
    </row>
    <row r="12" spans="1:18" ht="6.75" customHeight="1" x14ac:dyDescent="0.35">
      <c r="D12" s="4"/>
      <c r="E12"/>
    </row>
    <row r="13" spans="1:18" x14ac:dyDescent="0.35">
      <c r="D13" s="2" t="s">
        <v>1211</v>
      </c>
    </row>
    <row r="14" spans="1:18" x14ac:dyDescent="0.35">
      <c r="D14" s="209">
        <v>0.5</v>
      </c>
    </row>
    <row r="15" spans="1:18" ht="6.75" customHeight="1" x14ac:dyDescent="0.35">
      <c r="D15" s="4"/>
      <c r="E15"/>
    </row>
    <row r="16" spans="1:18" x14ac:dyDescent="0.35">
      <c r="D16" s="2" t="s">
        <v>1212</v>
      </c>
      <c r="E16"/>
    </row>
    <row r="17" spans="4:5" x14ac:dyDescent="0.35">
      <c r="D17" s="209">
        <v>0.5</v>
      </c>
      <c r="E17"/>
    </row>
    <row r="18" spans="4:5" ht="6.75" customHeight="1" x14ac:dyDescent="0.35">
      <c r="D18" s="4"/>
      <c r="E18"/>
    </row>
    <row r="19" spans="4:5" x14ac:dyDescent="0.35">
      <c r="D19" s="2" t="s">
        <v>1213</v>
      </c>
    </row>
    <row r="20" spans="4:5" x14ac:dyDescent="0.35">
      <c r="D20" s="208" t="s">
        <v>1214</v>
      </c>
    </row>
    <row r="21" spans="4:5" x14ac:dyDescent="0.35">
      <c r="D21" s="208" t="s">
        <v>1215</v>
      </c>
    </row>
    <row r="22" spans="4:5" ht="6.75" customHeight="1" x14ac:dyDescent="0.35">
      <c r="D22" s="4"/>
      <c r="E22"/>
    </row>
    <row r="23" spans="4:5" x14ac:dyDescent="0.35">
      <c r="D23" s="2" t="s">
        <v>1216</v>
      </c>
    </row>
    <row r="24" spans="4:5" x14ac:dyDescent="0.35">
      <c r="D24" s="210" t="s">
        <v>995</v>
      </c>
    </row>
    <row r="25" spans="4:5" x14ac:dyDescent="0.35">
      <c r="D25" s="210" t="s">
        <v>996</v>
      </c>
    </row>
    <row r="26" spans="4:5" ht="6.75" customHeight="1" x14ac:dyDescent="0.35">
      <c r="D26" s="4"/>
      <c r="E26"/>
    </row>
    <row r="27" spans="4:5" ht="14.5" customHeight="1" x14ac:dyDescent="0.35">
      <c r="D27" s="2" t="s">
        <v>1115</v>
      </c>
      <c r="E27"/>
    </row>
    <row r="28" spans="4:5" ht="14.5" customHeight="1" x14ac:dyDescent="0.35">
      <c r="D28" s="210" t="s">
        <v>995</v>
      </c>
      <c r="E28"/>
    </row>
    <row r="29" spans="4:5" ht="14.5" customHeight="1" x14ac:dyDescent="0.35">
      <c r="D29" s="210" t="s">
        <v>1217</v>
      </c>
      <c r="E29"/>
    </row>
    <row r="30" spans="4:5" ht="14.5" customHeight="1" x14ac:dyDescent="0.35">
      <c r="D30" s="210" t="s">
        <v>1218</v>
      </c>
      <c r="E30"/>
    </row>
    <row r="31" spans="4:5" ht="7" customHeight="1" x14ac:dyDescent="0.35">
      <c r="D31" s="4"/>
      <c r="E31"/>
    </row>
    <row r="32" spans="4:5" x14ac:dyDescent="0.35">
      <c r="D32" s="2" t="s">
        <v>1219</v>
      </c>
      <c r="E32" s="2"/>
    </row>
    <row r="33" spans="1:18" x14ac:dyDescent="0.35">
      <c r="D33" s="208" t="s">
        <v>1220</v>
      </c>
      <c r="E33" s="208">
        <v>365</v>
      </c>
    </row>
    <row r="34" spans="1:18" x14ac:dyDescent="0.35">
      <c r="D34" s="208" t="s">
        <v>1221</v>
      </c>
      <c r="E34" s="208">
        <v>30</v>
      </c>
    </row>
    <row r="35" spans="1:18" ht="6.75" customHeight="1" x14ac:dyDescent="0.35">
      <c r="D35" s="4"/>
      <c r="E35"/>
    </row>
    <row r="36" spans="1:18" ht="6.75" customHeight="1" x14ac:dyDescent="0.35">
      <c r="D36" s="4"/>
      <c r="F36" s="380"/>
    </row>
    <row r="37" spans="1:18" x14ac:dyDescent="0.35">
      <c r="A37" s="5"/>
      <c r="B37" s="5"/>
      <c r="C37" s="5"/>
      <c r="D37" s="5" t="s">
        <v>1222</v>
      </c>
      <c r="E37" s="5"/>
      <c r="F37" s="393"/>
      <c r="G37" s="393"/>
      <c r="H37" s="5"/>
      <c r="I37" s="5"/>
      <c r="J37" s="5"/>
      <c r="K37" s="5"/>
      <c r="L37" s="5"/>
      <c r="M37" s="5"/>
      <c r="N37" s="5"/>
      <c r="O37" s="5"/>
      <c r="P37" s="5"/>
      <c r="Q37" s="5"/>
      <c r="R37" s="5"/>
    </row>
    <row r="38" spans="1:18" ht="6.75" customHeight="1" x14ac:dyDescent="0.35">
      <c r="D38" s="4"/>
      <c r="E38"/>
    </row>
    <row r="39" spans="1:18" s="36" customFormat="1" x14ac:dyDescent="0.35">
      <c r="A39"/>
      <c r="B39"/>
      <c r="C39"/>
      <c r="D39" s="2" t="s">
        <v>389</v>
      </c>
      <c r="E39" s="2" t="s">
        <v>455</v>
      </c>
      <c r="F39" s="379"/>
      <c r="G39" s="379"/>
      <c r="H39"/>
      <c r="I39"/>
      <c r="J39"/>
      <c r="K39"/>
      <c r="L39"/>
      <c r="M39"/>
      <c r="N39"/>
      <c r="O39"/>
      <c r="P39"/>
      <c r="Q39"/>
      <c r="R39"/>
    </row>
    <row r="40" spans="1:18" x14ac:dyDescent="0.35">
      <c r="D40" s="211" t="s">
        <v>456</v>
      </c>
      <c r="E40" s="208">
        <v>110</v>
      </c>
    </row>
    <row r="41" spans="1:18" x14ac:dyDescent="0.35">
      <c r="D41" s="212" t="s">
        <v>459</v>
      </c>
      <c r="E41" s="208">
        <v>170</v>
      </c>
    </row>
    <row r="42" spans="1:18" x14ac:dyDescent="0.35">
      <c r="D42" s="213" t="s">
        <v>462</v>
      </c>
      <c r="E42" s="208">
        <v>230</v>
      </c>
    </row>
    <row r="43" spans="1:18" x14ac:dyDescent="0.35">
      <c r="D43" s="214" t="s">
        <v>463</v>
      </c>
      <c r="E43" s="208">
        <v>300</v>
      </c>
    </row>
    <row r="44" spans="1:18" ht="6.75" customHeight="1" x14ac:dyDescent="0.35">
      <c r="D44" s="4"/>
      <c r="E44"/>
    </row>
    <row r="45" spans="1:18" x14ac:dyDescent="0.35">
      <c r="C45" s="2"/>
      <c r="D45" s="2" t="s">
        <v>1223</v>
      </c>
      <c r="E45" s="2"/>
      <c r="F45" s="391"/>
      <c r="G45" s="391"/>
    </row>
    <row r="46" spans="1:18" x14ac:dyDescent="0.35">
      <c r="C46" s="36" t="s">
        <v>1224</v>
      </c>
      <c r="D46" s="36" t="s">
        <v>1225</v>
      </c>
      <c r="E46" s="36" t="s">
        <v>1226</v>
      </c>
      <c r="F46" s="381" t="s">
        <v>1227</v>
      </c>
      <c r="G46" s="381" t="s">
        <v>1228</v>
      </c>
    </row>
    <row r="47" spans="1:18" ht="58" x14ac:dyDescent="0.35">
      <c r="C47" s="215" t="s">
        <v>1229</v>
      </c>
      <c r="D47" s="215" t="s">
        <v>1230</v>
      </c>
      <c r="E47" s="208" t="s">
        <v>1231</v>
      </c>
      <c r="F47" s="382">
        <v>0.01</v>
      </c>
      <c r="G47" s="383"/>
    </row>
    <row r="48" spans="1:18" ht="58" x14ac:dyDescent="0.35">
      <c r="C48" s="208" t="s">
        <v>322</v>
      </c>
      <c r="D48" s="215" t="s">
        <v>1232</v>
      </c>
      <c r="E48" s="208" t="s">
        <v>1233</v>
      </c>
      <c r="F48" s="384">
        <v>2</v>
      </c>
      <c r="G48" s="383"/>
    </row>
    <row r="49" spans="3:7" ht="58" x14ac:dyDescent="0.35">
      <c r="C49" s="208" t="s">
        <v>1234</v>
      </c>
      <c r="D49" s="215" t="s">
        <v>1235</v>
      </c>
      <c r="E49" s="208" t="s">
        <v>1236</v>
      </c>
      <c r="F49" s="384">
        <v>25</v>
      </c>
      <c r="G49" s="383"/>
    </row>
    <row r="50" spans="3:7" ht="58" x14ac:dyDescent="0.35">
      <c r="C50" s="208" t="s">
        <v>1237</v>
      </c>
      <c r="D50" s="215" t="s">
        <v>1238</v>
      </c>
      <c r="E50" s="208" t="s">
        <v>1239</v>
      </c>
      <c r="F50" s="384">
        <v>1.4</v>
      </c>
      <c r="G50" s="383"/>
    </row>
    <row r="51" spans="3:7" ht="72.5" x14ac:dyDescent="0.35">
      <c r="C51" s="208" t="s">
        <v>1240</v>
      </c>
      <c r="D51" s="215" t="s">
        <v>1241</v>
      </c>
      <c r="E51" s="215" t="s">
        <v>1242</v>
      </c>
      <c r="F51" s="384">
        <v>0.65</v>
      </c>
      <c r="G51" s="385">
        <v>0.7</v>
      </c>
    </row>
    <row r="52" spans="3:7" ht="29" x14ac:dyDescent="0.35">
      <c r="C52" s="208" t="s">
        <v>21</v>
      </c>
      <c r="D52" s="215" t="s">
        <v>1243</v>
      </c>
      <c r="E52" s="208" t="s">
        <v>1244</v>
      </c>
      <c r="F52" s="383"/>
      <c r="G52" s="383"/>
    </row>
    <row r="54" spans="3:7" x14ac:dyDescent="0.35">
      <c r="C54" s="2"/>
      <c r="D54" s="2" t="s">
        <v>1237</v>
      </c>
      <c r="E54" s="2"/>
    </row>
    <row r="55" spans="3:7" x14ac:dyDescent="0.35">
      <c r="C55" s="218" t="s">
        <v>1245</v>
      </c>
      <c r="D55" s="219" t="s">
        <v>1246</v>
      </c>
      <c r="E55" s="220" t="s">
        <v>388</v>
      </c>
    </row>
    <row r="56" spans="3:7" x14ac:dyDescent="0.35">
      <c r="C56" s="221">
        <v>1</v>
      </c>
      <c r="D56" s="222">
        <v>2</v>
      </c>
      <c r="E56" s="223">
        <v>3</v>
      </c>
    </row>
    <row r="57" spans="3:7" x14ac:dyDescent="0.35">
      <c r="C57" s="217">
        <v>0</v>
      </c>
      <c r="D57" s="224" t="s">
        <v>1247</v>
      </c>
      <c r="E57" s="224">
        <v>0</v>
      </c>
    </row>
    <row r="58" spans="3:7" x14ac:dyDescent="0.35">
      <c r="C58" s="217">
        <v>0.5</v>
      </c>
      <c r="D58" s="208" t="s">
        <v>1248</v>
      </c>
      <c r="E58" s="208">
        <v>10</v>
      </c>
    </row>
    <row r="59" spans="3:7" x14ac:dyDescent="0.35">
      <c r="C59" s="217">
        <v>0.6</v>
      </c>
      <c r="D59" s="208" t="s">
        <v>1249</v>
      </c>
      <c r="E59" s="208">
        <v>20</v>
      </c>
    </row>
    <row r="60" spans="3:7" x14ac:dyDescent="0.35">
      <c r="C60" s="217">
        <v>0.7</v>
      </c>
      <c r="D60" s="208" t="s">
        <v>1250</v>
      </c>
      <c r="E60" s="208">
        <v>30</v>
      </c>
    </row>
    <row r="61" spans="3:7" x14ac:dyDescent="0.35">
      <c r="C61" s="217">
        <v>0.8</v>
      </c>
      <c r="D61" s="208" t="s">
        <v>1251</v>
      </c>
      <c r="E61" s="208">
        <v>40</v>
      </c>
    </row>
    <row r="62" spans="3:7" x14ac:dyDescent="0.35">
      <c r="C62" s="217">
        <v>1</v>
      </c>
      <c r="D62" s="208" t="s">
        <v>1252</v>
      </c>
      <c r="E62" s="208">
        <v>50</v>
      </c>
    </row>
    <row r="63" spans="3:7" x14ac:dyDescent="0.35">
      <c r="C63" s="217">
        <v>1.2</v>
      </c>
      <c r="D63" s="208" t="s">
        <v>1253</v>
      </c>
      <c r="E63" s="208">
        <v>60</v>
      </c>
    </row>
    <row r="64" spans="3:7" x14ac:dyDescent="0.35">
      <c r="C64" s="217">
        <v>1.4</v>
      </c>
      <c r="D64" s="208" t="s">
        <v>1254</v>
      </c>
      <c r="E64" s="208">
        <v>70</v>
      </c>
    </row>
    <row r="65" spans="1:5" x14ac:dyDescent="0.35">
      <c r="A65" s="36"/>
      <c r="C65" s="217">
        <v>1.6</v>
      </c>
      <c r="D65" s="208" t="s">
        <v>1255</v>
      </c>
      <c r="E65" s="208">
        <v>80</v>
      </c>
    </row>
    <row r="66" spans="1:5" x14ac:dyDescent="0.35">
      <c r="C66" s="217">
        <v>1.8</v>
      </c>
      <c r="D66" s="208" t="s">
        <v>1256</v>
      </c>
      <c r="E66" s="208">
        <v>90</v>
      </c>
    </row>
    <row r="67" spans="1:5" x14ac:dyDescent="0.35">
      <c r="C67" s="217">
        <v>2</v>
      </c>
      <c r="D67" s="208" t="s">
        <v>1257</v>
      </c>
      <c r="E67" s="208">
        <v>100</v>
      </c>
    </row>
    <row r="69" spans="1:5" x14ac:dyDescent="0.35">
      <c r="C69" s="2"/>
      <c r="D69" s="2" t="s">
        <v>1258</v>
      </c>
      <c r="E69" s="2"/>
    </row>
    <row r="70" spans="1:5" x14ac:dyDescent="0.35">
      <c r="C70" s="218" t="s">
        <v>1245</v>
      </c>
      <c r="D70" s="219" t="s">
        <v>1246</v>
      </c>
      <c r="E70" s="220" t="s">
        <v>388</v>
      </c>
    </row>
    <row r="71" spans="1:5" x14ac:dyDescent="0.35">
      <c r="C71" s="221">
        <v>1</v>
      </c>
      <c r="D71" s="222">
        <v>2</v>
      </c>
      <c r="E71" s="223">
        <v>3</v>
      </c>
    </row>
    <row r="72" spans="1:5" x14ac:dyDescent="0.35">
      <c r="C72" s="216">
        <v>0</v>
      </c>
      <c r="D72" s="208" t="s">
        <v>445</v>
      </c>
      <c r="E72" s="208">
        <v>0</v>
      </c>
    </row>
    <row r="73" spans="1:5" x14ac:dyDescent="0.35">
      <c r="C73" s="216">
        <v>0.01</v>
      </c>
      <c r="D73" s="208" t="s">
        <v>1259</v>
      </c>
      <c r="E73" s="208">
        <v>10</v>
      </c>
    </row>
    <row r="74" spans="1:5" x14ac:dyDescent="0.35">
      <c r="C74" s="216">
        <v>0.02</v>
      </c>
      <c r="D74" s="208" t="s">
        <v>1260</v>
      </c>
      <c r="E74" s="208">
        <v>20</v>
      </c>
    </row>
    <row r="75" spans="1:5" x14ac:dyDescent="0.35">
      <c r="C75" s="216">
        <v>0.03</v>
      </c>
      <c r="D75" s="208" t="s">
        <v>1261</v>
      </c>
      <c r="E75" s="208">
        <v>30</v>
      </c>
    </row>
    <row r="76" spans="1:5" x14ac:dyDescent="0.35">
      <c r="C76" s="216">
        <v>0.04</v>
      </c>
      <c r="D76" s="208" t="s">
        <v>1262</v>
      </c>
      <c r="E76" s="208">
        <v>40</v>
      </c>
    </row>
    <row r="77" spans="1:5" x14ac:dyDescent="0.35">
      <c r="C77" s="216">
        <v>0.05</v>
      </c>
      <c r="D77" s="208" t="s">
        <v>1263</v>
      </c>
      <c r="E77" s="208">
        <v>50</v>
      </c>
    </row>
    <row r="78" spans="1:5" x14ac:dyDescent="0.35">
      <c r="C78" s="216">
        <v>0.06</v>
      </c>
      <c r="D78" s="208" t="s">
        <v>1264</v>
      </c>
      <c r="E78" s="208">
        <v>60</v>
      </c>
    </row>
    <row r="79" spans="1:5" x14ac:dyDescent="0.35">
      <c r="C79" s="216">
        <v>7.0000000000000007E-2</v>
      </c>
      <c r="D79" s="208" t="s">
        <v>1265</v>
      </c>
      <c r="E79" s="208">
        <v>70</v>
      </c>
    </row>
    <row r="80" spans="1:5" x14ac:dyDescent="0.35">
      <c r="C80" s="216">
        <v>0.08</v>
      </c>
      <c r="D80" s="208" t="s">
        <v>1266</v>
      </c>
      <c r="E80" s="208">
        <v>80</v>
      </c>
    </row>
    <row r="81" spans="2:5" x14ac:dyDescent="0.35">
      <c r="C81" s="216">
        <v>0.09</v>
      </c>
      <c r="D81" s="208" t="s">
        <v>1267</v>
      </c>
      <c r="E81" s="208">
        <v>90</v>
      </c>
    </row>
    <row r="82" spans="2:5" x14ac:dyDescent="0.35">
      <c r="C82" s="216">
        <v>0.1</v>
      </c>
      <c r="D82" s="208" t="s">
        <v>1268</v>
      </c>
      <c r="E82" s="208">
        <v>100</v>
      </c>
    </row>
    <row r="83" spans="2:5" x14ac:dyDescent="0.35">
      <c r="C83" s="4"/>
    </row>
    <row r="84" spans="2:5" x14ac:dyDescent="0.35">
      <c r="B84" s="2"/>
      <c r="C84" s="2"/>
      <c r="D84" s="2" t="s">
        <v>1269</v>
      </c>
      <c r="E84" s="2"/>
    </row>
    <row r="85" spans="2:5" x14ac:dyDescent="0.35">
      <c r="B85" s="218"/>
      <c r="C85" s="218" t="s">
        <v>1245</v>
      </c>
      <c r="D85" s="219" t="s">
        <v>1246</v>
      </c>
      <c r="E85" s="220" t="s">
        <v>388</v>
      </c>
    </row>
    <row r="86" spans="2:5" x14ac:dyDescent="0.35">
      <c r="B86" s="221">
        <v>1</v>
      </c>
      <c r="C86" s="221">
        <v>2</v>
      </c>
      <c r="D86" s="222">
        <v>3</v>
      </c>
      <c r="E86" s="223">
        <v>4</v>
      </c>
    </row>
    <row r="87" spans="2:5" x14ac:dyDescent="0.35">
      <c r="B87" s="216">
        <f>C87</f>
        <v>0</v>
      </c>
      <c r="C87" s="216">
        <v>0</v>
      </c>
      <c r="D87" s="225" t="s">
        <v>1270</v>
      </c>
      <c r="E87" s="208">
        <v>100</v>
      </c>
    </row>
    <row r="88" spans="2:5" x14ac:dyDescent="0.35">
      <c r="B88" s="216">
        <v>9.9999999999999998E-13</v>
      </c>
      <c r="C88" s="216">
        <v>0.1</v>
      </c>
      <c r="D88" s="208" t="s">
        <v>398</v>
      </c>
      <c r="E88" s="208">
        <v>90</v>
      </c>
    </row>
    <row r="89" spans="2:5" x14ac:dyDescent="0.35">
      <c r="B89" s="216">
        <f>C88</f>
        <v>0.1</v>
      </c>
      <c r="C89" s="216">
        <v>0.2</v>
      </c>
      <c r="D89" s="208" t="s">
        <v>404</v>
      </c>
      <c r="E89" s="208">
        <v>80</v>
      </c>
    </row>
    <row r="90" spans="2:5" x14ac:dyDescent="0.35">
      <c r="B90" s="216">
        <f t="shared" ref="B90:B97" si="0">C89</f>
        <v>0.2</v>
      </c>
      <c r="C90" s="216">
        <v>0.3</v>
      </c>
      <c r="D90" s="208" t="s">
        <v>412</v>
      </c>
      <c r="E90" s="208">
        <v>70</v>
      </c>
    </row>
    <row r="91" spans="2:5" x14ac:dyDescent="0.35">
      <c r="B91" s="216">
        <f t="shared" si="0"/>
        <v>0.3</v>
      </c>
      <c r="C91" s="216">
        <v>0.35</v>
      </c>
      <c r="D91" s="208" t="s">
        <v>418</v>
      </c>
      <c r="E91" s="208">
        <v>60</v>
      </c>
    </row>
    <row r="92" spans="2:5" x14ac:dyDescent="0.35">
      <c r="B92" s="216">
        <f t="shared" si="0"/>
        <v>0.35</v>
      </c>
      <c r="C92" s="216">
        <v>0.4</v>
      </c>
      <c r="D92" s="208" t="s">
        <v>424</v>
      </c>
      <c r="E92" s="208">
        <v>50</v>
      </c>
    </row>
    <row r="93" spans="2:5" x14ac:dyDescent="0.35">
      <c r="B93" s="216">
        <f t="shared" si="0"/>
        <v>0.4</v>
      </c>
      <c r="C93" s="216">
        <v>0.45</v>
      </c>
      <c r="D93" s="208" t="s">
        <v>428</v>
      </c>
      <c r="E93" s="208">
        <v>40</v>
      </c>
    </row>
    <row r="94" spans="2:5" x14ac:dyDescent="0.35">
      <c r="B94" s="216">
        <f t="shared" si="0"/>
        <v>0.45</v>
      </c>
      <c r="C94" s="216">
        <v>0.5</v>
      </c>
      <c r="D94" s="208" t="s">
        <v>435</v>
      </c>
      <c r="E94" s="208">
        <v>30</v>
      </c>
    </row>
    <row r="95" spans="2:5" x14ac:dyDescent="0.35">
      <c r="B95" s="216">
        <f t="shared" si="0"/>
        <v>0.5</v>
      </c>
      <c r="C95" s="216">
        <v>0.55000000000000004</v>
      </c>
      <c r="D95" s="208" t="s">
        <v>438</v>
      </c>
      <c r="E95" s="208">
        <v>20</v>
      </c>
    </row>
    <row r="96" spans="2:5" x14ac:dyDescent="0.35">
      <c r="B96" s="216">
        <f t="shared" si="0"/>
        <v>0.55000000000000004</v>
      </c>
      <c r="C96" s="216">
        <v>0.6</v>
      </c>
      <c r="D96" s="208" t="s">
        <v>442</v>
      </c>
      <c r="E96" s="208">
        <v>10</v>
      </c>
    </row>
    <row r="97" spans="2:5" x14ac:dyDescent="0.35">
      <c r="B97" s="216">
        <f t="shared" si="0"/>
        <v>0.6</v>
      </c>
      <c r="C97" s="216">
        <v>0.61</v>
      </c>
      <c r="D97" s="208" t="s">
        <v>1271</v>
      </c>
      <c r="E97" s="208">
        <v>0</v>
      </c>
    </row>
    <row r="98" spans="2:5" x14ac:dyDescent="0.35">
      <c r="B98" s="216">
        <v>1</v>
      </c>
      <c r="C98" s="216">
        <v>0.61</v>
      </c>
      <c r="D98" s="208" t="s">
        <v>1271</v>
      </c>
      <c r="E98" s="208">
        <v>0</v>
      </c>
    </row>
    <row r="100" spans="2:5" x14ac:dyDescent="0.35">
      <c r="C100" s="2"/>
      <c r="D100" s="2" t="s">
        <v>1272</v>
      </c>
      <c r="E100" s="2"/>
    </row>
    <row r="101" spans="2:5" x14ac:dyDescent="0.35">
      <c r="C101" s="218" t="s">
        <v>1245</v>
      </c>
      <c r="D101" s="219" t="s">
        <v>1246</v>
      </c>
      <c r="E101" s="220" t="s">
        <v>388</v>
      </c>
    </row>
    <row r="102" spans="2:5" x14ac:dyDescent="0.35">
      <c r="C102" s="221">
        <v>1</v>
      </c>
      <c r="D102" s="222">
        <v>2</v>
      </c>
      <c r="E102" s="223">
        <v>3</v>
      </c>
    </row>
    <row r="103" spans="2:5" x14ac:dyDescent="0.35">
      <c r="C103" s="226">
        <v>0</v>
      </c>
      <c r="D103" s="225" t="s">
        <v>1273</v>
      </c>
      <c r="E103" s="208">
        <v>0</v>
      </c>
    </row>
    <row r="104" spans="2:5" x14ac:dyDescent="0.35">
      <c r="C104" s="226">
        <v>0.9</v>
      </c>
      <c r="D104" s="225" t="s">
        <v>429</v>
      </c>
      <c r="E104" s="208">
        <v>10</v>
      </c>
    </row>
    <row r="105" spans="2:5" x14ac:dyDescent="0.35">
      <c r="C105" s="226">
        <v>1</v>
      </c>
      <c r="D105" s="225" t="s">
        <v>423</v>
      </c>
      <c r="E105" s="208">
        <v>20</v>
      </c>
    </row>
    <row r="106" spans="2:5" x14ac:dyDescent="0.35">
      <c r="C106" s="226">
        <v>1.2</v>
      </c>
      <c r="D106" s="225" t="s">
        <v>417</v>
      </c>
      <c r="E106" s="208">
        <v>30</v>
      </c>
    </row>
    <row r="107" spans="2:5" x14ac:dyDescent="0.35">
      <c r="C107" s="226">
        <v>1.4</v>
      </c>
      <c r="D107" s="225" t="s">
        <v>411</v>
      </c>
      <c r="E107" s="208">
        <v>40</v>
      </c>
    </row>
    <row r="108" spans="2:5" x14ac:dyDescent="0.35">
      <c r="C108" s="226">
        <v>1.6</v>
      </c>
      <c r="D108" s="225" t="s">
        <v>403</v>
      </c>
      <c r="E108" s="208">
        <v>50</v>
      </c>
    </row>
    <row r="109" spans="2:5" x14ac:dyDescent="0.35">
      <c r="C109" s="226">
        <v>1.8</v>
      </c>
      <c r="D109" s="225" t="s">
        <v>397</v>
      </c>
      <c r="E109" s="208">
        <v>60</v>
      </c>
    </row>
    <row r="110" spans="2:5" x14ac:dyDescent="0.35">
      <c r="C110" s="226">
        <v>2</v>
      </c>
      <c r="D110" s="225" t="s">
        <v>393</v>
      </c>
      <c r="E110" s="208">
        <v>70</v>
      </c>
    </row>
    <row r="111" spans="2:5" x14ac:dyDescent="0.35">
      <c r="C111" s="226">
        <v>2.2000000000000002</v>
      </c>
      <c r="D111" s="225" t="s">
        <v>1274</v>
      </c>
      <c r="E111" s="208">
        <v>80</v>
      </c>
    </row>
    <row r="112" spans="2:5" x14ac:dyDescent="0.35">
      <c r="C112" s="226">
        <v>2.4</v>
      </c>
      <c r="D112" s="225" t="s">
        <v>1275</v>
      </c>
      <c r="E112" s="208">
        <v>90</v>
      </c>
    </row>
    <row r="113" spans="3:5" x14ac:dyDescent="0.35">
      <c r="C113" s="226">
        <v>2.6</v>
      </c>
      <c r="D113" s="225" t="s">
        <v>1276</v>
      </c>
      <c r="E113" s="208">
        <v>100</v>
      </c>
    </row>
    <row r="115" spans="3:5" x14ac:dyDescent="0.35">
      <c r="C115" s="2"/>
      <c r="D115" s="2" t="s">
        <v>1277</v>
      </c>
      <c r="E115" s="2"/>
    </row>
    <row r="116" spans="3:5" x14ac:dyDescent="0.35">
      <c r="C116" s="218" t="s">
        <v>1245</v>
      </c>
      <c r="D116" s="219" t="s">
        <v>1246</v>
      </c>
      <c r="E116" s="220" t="s">
        <v>388</v>
      </c>
    </row>
    <row r="117" spans="3:5" x14ac:dyDescent="0.35">
      <c r="C117" s="221">
        <v>1</v>
      </c>
      <c r="D117" s="222">
        <v>2</v>
      </c>
      <c r="E117" s="223">
        <v>3</v>
      </c>
    </row>
    <row r="118" spans="3:5" x14ac:dyDescent="0.35">
      <c r="C118" s="226">
        <v>0</v>
      </c>
      <c r="D118" s="208" t="s">
        <v>450</v>
      </c>
      <c r="E118" s="208">
        <v>0</v>
      </c>
    </row>
    <row r="119" spans="3:5" x14ac:dyDescent="0.35">
      <c r="C119" s="227">
        <v>5.0000000000000001E-3</v>
      </c>
      <c r="D119" s="208" t="s">
        <v>443</v>
      </c>
      <c r="E119" s="208">
        <v>10</v>
      </c>
    </row>
    <row r="120" spans="3:5" x14ac:dyDescent="0.35">
      <c r="C120" s="227">
        <v>0.01</v>
      </c>
      <c r="D120" s="208" t="s">
        <v>439</v>
      </c>
      <c r="E120" s="208">
        <v>20</v>
      </c>
    </row>
    <row r="121" spans="3:5" x14ac:dyDescent="0.35">
      <c r="C121" s="227">
        <v>1.4999999999999999E-2</v>
      </c>
      <c r="D121" s="208" t="s">
        <v>436</v>
      </c>
      <c r="E121" s="208">
        <v>30</v>
      </c>
    </row>
    <row r="122" spans="3:5" x14ac:dyDescent="0.35">
      <c r="C122" s="227">
        <v>0.02</v>
      </c>
      <c r="D122" s="208" t="s">
        <v>431</v>
      </c>
      <c r="E122" s="208">
        <v>40</v>
      </c>
    </row>
    <row r="123" spans="3:5" x14ac:dyDescent="0.35">
      <c r="C123" s="227">
        <v>2.5000000000000001E-2</v>
      </c>
      <c r="D123" s="208" t="s">
        <v>426</v>
      </c>
      <c r="E123" s="208">
        <v>50</v>
      </c>
    </row>
    <row r="124" spans="3:5" x14ac:dyDescent="0.35">
      <c r="C124" s="227">
        <v>0.03</v>
      </c>
      <c r="D124" s="208" t="s">
        <v>420</v>
      </c>
      <c r="E124" s="208">
        <v>60</v>
      </c>
    </row>
    <row r="125" spans="3:5" x14ac:dyDescent="0.35">
      <c r="C125" s="227">
        <v>3.5000000000000003E-2</v>
      </c>
      <c r="D125" s="208" t="s">
        <v>413</v>
      </c>
      <c r="E125" s="208">
        <v>70</v>
      </c>
    </row>
    <row r="126" spans="3:5" x14ac:dyDescent="0.35">
      <c r="C126" s="227">
        <v>0.04</v>
      </c>
      <c r="D126" s="208" t="s">
        <v>406</v>
      </c>
      <c r="E126" s="208">
        <v>80</v>
      </c>
    </row>
    <row r="127" spans="3:5" x14ac:dyDescent="0.35">
      <c r="C127" s="227">
        <v>4.4999999999999998E-2</v>
      </c>
      <c r="D127" s="208" t="s">
        <v>400</v>
      </c>
      <c r="E127" s="208">
        <v>90</v>
      </c>
    </row>
    <row r="128" spans="3:5" x14ac:dyDescent="0.35">
      <c r="C128" s="227">
        <v>0.05</v>
      </c>
      <c r="D128" s="225" t="s">
        <v>395</v>
      </c>
      <c r="E128" s="208">
        <v>100</v>
      </c>
    </row>
    <row r="129" spans="1:12" x14ac:dyDescent="0.35">
      <c r="E129"/>
    </row>
    <row r="130" spans="1:12" x14ac:dyDescent="0.35">
      <c r="A130" s="5"/>
      <c r="B130" s="5"/>
      <c r="C130" s="5"/>
      <c r="D130" s="5" t="s">
        <v>1278</v>
      </c>
      <c r="E130" s="5"/>
      <c r="F130" s="393"/>
      <c r="G130" s="393"/>
      <c r="H130" s="5"/>
      <c r="I130" s="5"/>
      <c r="J130" s="5"/>
      <c r="K130" s="5"/>
      <c r="L130" s="5"/>
    </row>
    <row r="131" spans="1:12" x14ac:dyDescent="0.35">
      <c r="D131" s="4"/>
      <c r="E131"/>
      <c r="J131" s="4"/>
    </row>
    <row r="132" spans="1:12" x14ac:dyDescent="0.35">
      <c r="C132" s="2"/>
      <c r="D132" s="2" t="s">
        <v>1237</v>
      </c>
      <c r="E132" s="2"/>
    </row>
    <row r="133" spans="1:12" x14ac:dyDescent="0.35">
      <c r="C133" s="218" t="s">
        <v>1245</v>
      </c>
      <c r="D133" s="219" t="s">
        <v>1246</v>
      </c>
      <c r="E133" s="220" t="s">
        <v>388</v>
      </c>
    </row>
    <row r="134" spans="1:12" x14ac:dyDescent="0.35">
      <c r="C134" s="221">
        <v>1</v>
      </c>
      <c r="D134" s="222">
        <v>2</v>
      </c>
      <c r="E134" s="223">
        <v>3</v>
      </c>
    </row>
    <row r="135" spans="1:12" x14ac:dyDescent="0.35">
      <c r="C135" s="297">
        <v>0</v>
      </c>
      <c r="D135" s="19" t="s">
        <v>448</v>
      </c>
      <c r="E135" s="19">
        <v>0</v>
      </c>
    </row>
    <row r="136" spans="1:12" x14ac:dyDescent="0.35">
      <c r="C136" s="297">
        <v>0.6</v>
      </c>
      <c r="D136" s="19" t="s">
        <v>437</v>
      </c>
      <c r="E136" s="19">
        <v>10</v>
      </c>
    </row>
    <row r="137" spans="1:12" x14ac:dyDescent="0.35">
      <c r="C137" s="297">
        <v>0.7</v>
      </c>
      <c r="D137" s="19" t="s">
        <v>434</v>
      </c>
      <c r="E137" s="19">
        <v>20</v>
      </c>
    </row>
    <row r="138" spans="1:12" ht="14.25" customHeight="1" x14ac:dyDescent="0.35">
      <c r="C138" s="297">
        <v>0.8</v>
      </c>
      <c r="D138" s="19" t="s">
        <v>427</v>
      </c>
      <c r="E138" s="19">
        <v>30</v>
      </c>
    </row>
    <row r="139" spans="1:12" x14ac:dyDescent="0.35">
      <c r="C139" s="297">
        <v>0.9</v>
      </c>
      <c r="D139" s="19" t="s">
        <v>429</v>
      </c>
      <c r="E139" s="19">
        <v>40</v>
      </c>
    </row>
    <row r="140" spans="1:12" x14ac:dyDescent="0.35">
      <c r="C140" s="297">
        <v>1.0000000000000002</v>
      </c>
      <c r="D140" s="19" t="s">
        <v>423</v>
      </c>
      <c r="E140" s="19">
        <v>50</v>
      </c>
    </row>
    <row r="141" spans="1:12" x14ac:dyDescent="0.35">
      <c r="C141" s="297">
        <v>1.2000000000000002</v>
      </c>
      <c r="D141" s="19" t="s">
        <v>417</v>
      </c>
      <c r="E141" s="19">
        <v>60</v>
      </c>
    </row>
    <row r="142" spans="1:12" x14ac:dyDescent="0.35">
      <c r="C142" s="297">
        <v>1.4000000000000001</v>
      </c>
      <c r="D142" s="19" t="s">
        <v>411</v>
      </c>
      <c r="E142" s="19">
        <v>70</v>
      </c>
    </row>
    <row r="143" spans="1:12" x14ac:dyDescent="0.35">
      <c r="A143" s="36"/>
      <c r="C143" s="297">
        <v>1.6</v>
      </c>
      <c r="D143" s="19" t="s">
        <v>403</v>
      </c>
      <c r="E143" s="19">
        <v>80</v>
      </c>
      <c r="G143" s="381"/>
    </row>
    <row r="144" spans="1:12" x14ac:dyDescent="0.35">
      <c r="C144" s="297">
        <v>1.8</v>
      </c>
      <c r="D144" s="19" t="s">
        <v>397</v>
      </c>
      <c r="E144" s="19">
        <v>90</v>
      </c>
    </row>
    <row r="145" spans="1:7" x14ac:dyDescent="0.35">
      <c r="C145" s="297">
        <v>2</v>
      </c>
      <c r="D145" s="19" t="s">
        <v>1279</v>
      </c>
      <c r="E145" s="19">
        <v>100</v>
      </c>
    </row>
    <row r="146" spans="1:7" x14ac:dyDescent="0.35">
      <c r="D146" s="4"/>
      <c r="E146"/>
    </row>
    <row r="147" spans="1:7" x14ac:dyDescent="0.35">
      <c r="D147" s="4"/>
      <c r="E147"/>
    </row>
    <row r="148" spans="1:7" x14ac:dyDescent="0.35">
      <c r="C148" s="2"/>
      <c r="D148" s="2" t="s">
        <v>1258</v>
      </c>
      <c r="E148" s="2"/>
    </row>
    <row r="149" spans="1:7" x14ac:dyDescent="0.35">
      <c r="C149" s="218" t="s">
        <v>1245</v>
      </c>
      <c r="D149" s="219" t="s">
        <v>1246</v>
      </c>
      <c r="E149" s="220" t="s">
        <v>388</v>
      </c>
    </row>
    <row r="150" spans="1:7" x14ac:dyDescent="0.35">
      <c r="C150" s="221">
        <v>1</v>
      </c>
      <c r="D150" s="222">
        <v>2</v>
      </c>
      <c r="E150" s="223">
        <v>3</v>
      </c>
    </row>
    <row r="151" spans="1:7" x14ac:dyDescent="0.35">
      <c r="C151" s="186">
        <v>0</v>
      </c>
      <c r="D151" s="19" t="s">
        <v>445</v>
      </c>
      <c r="E151" s="19">
        <v>0</v>
      </c>
    </row>
    <row r="152" spans="1:7" x14ac:dyDescent="0.35">
      <c r="C152" s="186">
        <v>0.01</v>
      </c>
      <c r="D152" s="19" t="s">
        <v>439</v>
      </c>
      <c r="E152" s="19">
        <v>10</v>
      </c>
    </row>
    <row r="153" spans="1:7" x14ac:dyDescent="0.35">
      <c r="C153" s="186">
        <v>0.02</v>
      </c>
      <c r="D153" s="19" t="s">
        <v>431</v>
      </c>
      <c r="E153" s="19">
        <v>20</v>
      </c>
    </row>
    <row r="154" spans="1:7" x14ac:dyDescent="0.35">
      <c r="C154" s="186">
        <v>0.03</v>
      </c>
      <c r="D154" s="19" t="s">
        <v>420</v>
      </c>
      <c r="E154" s="19">
        <v>30</v>
      </c>
    </row>
    <row r="155" spans="1:7" x14ac:dyDescent="0.35">
      <c r="C155" s="186">
        <v>0.04</v>
      </c>
      <c r="D155" s="19" t="s">
        <v>406</v>
      </c>
      <c r="E155" s="19">
        <v>40</v>
      </c>
    </row>
    <row r="156" spans="1:7" x14ac:dyDescent="0.35">
      <c r="C156" s="186">
        <v>0.05</v>
      </c>
      <c r="D156" s="19" t="s">
        <v>395</v>
      </c>
      <c r="E156" s="19">
        <v>50</v>
      </c>
    </row>
    <row r="157" spans="1:7" x14ac:dyDescent="0.35">
      <c r="C157" s="186">
        <v>0.06</v>
      </c>
      <c r="D157" s="19" t="s">
        <v>416</v>
      </c>
      <c r="E157" s="19">
        <v>60</v>
      </c>
    </row>
    <row r="158" spans="1:7" x14ac:dyDescent="0.35">
      <c r="A158" s="36"/>
      <c r="C158" s="186">
        <v>7.0000000000000007E-2</v>
      </c>
      <c r="D158" s="19" t="s">
        <v>410</v>
      </c>
      <c r="E158" s="19">
        <v>70</v>
      </c>
      <c r="G158" s="381"/>
    </row>
    <row r="159" spans="1:7" x14ac:dyDescent="0.35">
      <c r="C159" s="186">
        <v>0.08</v>
      </c>
      <c r="D159" s="19" t="s">
        <v>402</v>
      </c>
      <c r="E159" s="19">
        <v>80</v>
      </c>
    </row>
    <row r="160" spans="1:7" x14ac:dyDescent="0.35">
      <c r="C160" s="186">
        <v>0.09</v>
      </c>
      <c r="D160" s="19" t="s">
        <v>396</v>
      </c>
      <c r="E160" s="19">
        <v>90</v>
      </c>
    </row>
    <row r="161" spans="1:11" x14ac:dyDescent="0.35">
      <c r="C161" s="186">
        <v>0.1</v>
      </c>
      <c r="D161" s="19" t="s">
        <v>392</v>
      </c>
      <c r="E161" s="19">
        <v>100</v>
      </c>
    </row>
    <row r="162" spans="1:11" x14ac:dyDescent="0.35">
      <c r="D162" s="4"/>
      <c r="J162" s="4"/>
      <c r="K162" s="4"/>
    </row>
    <row r="163" spans="1:11" x14ac:dyDescent="0.35">
      <c r="D163" s="4"/>
      <c r="E163"/>
      <c r="J163" s="4"/>
    </row>
    <row r="164" spans="1:11" x14ac:dyDescent="0.35">
      <c r="C164" s="2"/>
      <c r="D164" s="2" t="s">
        <v>1272</v>
      </c>
      <c r="E164" s="2"/>
    </row>
    <row r="165" spans="1:11" x14ac:dyDescent="0.35">
      <c r="C165" s="218" t="s">
        <v>1245</v>
      </c>
      <c r="D165" s="219" t="s">
        <v>1246</v>
      </c>
      <c r="E165" s="220" t="s">
        <v>388</v>
      </c>
    </row>
    <row r="166" spans="1:11" x14ac:dyDescent="0.35">
      <c r="C166" s="221">
        <v>1</v>
      </c>
      <c r="D166" s="222">
        <v>2</v>
      </c>
      <c r="E166" s="223">
        <v>3</v>
      </c>
    </row>
    <row r="167" spans="1:11" x14ac:dyDescent="0.35">
      <c r="C167" s="298">
        <v>0</v>
      </c>
      <c r="D167" s="299" t="s">
        <v>449</v>
      </c>
      <c r="E167" s="19">
        <v>0</v>
      </c>
    </row>
    <row r="168" spans="1:11" x14ac:dyDescent="0.35">
      <c r="C168" s="298">
        <v>0.8</v>
      </c>
      <c r="D168" s="299" t="s">
        <v>427</v>
      </c>
      <c r="E168" s="19">
        <v>10</v>
      </c>
    </row>
    <row r="169" spans="1:11" x14ac:dyDescent="0.35">
      <c r="C169" s="298">
        <v>0.9</v>
      </c>
      <c r="D169" s="299" t="s">
        <v>429</v>
      </c>
      <c r="E169" s="19">
        <v>20</v>
      </c>
    </row>
    <row r="170" spans="1:11" x14ac:dyDescent="0.35">
      <c r="C170" s="298">
        <v>1</v>
      </c>
      <c r="D170" s="299" t="s">
        <v>423</v>
      </c>
      <c r="E170" s="19">
        <v>30</v>
      </c>
    </row>
    <row r="171" spans="1:11" x14ac:dyDescent="0.35">
      <c r="C171" s="298">
        <v>1.25</v>
      </c>
      <c r="D171" s="299" t="s">
        <v>430</v>
      </c>
      <c r="E171" s="19">
        <v>40</v>
      </c>
    </row>
    <row r="172" spans="1:11" x14ac:dyDescent="0.35">
      <c r="C172" s="298">
        <v>1.5</v>
      </c>
      <c r="D172" s="299" t="s">
        <v>425</v>
      </c>
      <c r="E172" s="19">
        <v>50</v>
      </c>
    </row>
    <row r="173" spans="1:11" x14ac:dyDescent="0.35">
      <c r="C173" s="298">
        <v>1.75</v>
      </c>
      <c r="D173" s="299" t="s">
        <v>419</v>
      </c>
      <c r="E173" s="19">
        <v>60</v>
      </c>
    </row>
    <row r="174" spans="1:11" x14ac:dyDescent="0.35">
      <c r="A174" s="36"/>
      <c r="C174" s="298">
        <v>2</v>
      </c>
      <c r="D174" s="299" t="s">
        <v>393</v>
      </c>
      <c r="E174" s="19">
        <v>70</v>
      </c>
      <c r="G174" s="381"/>
    </row>
    <row r="175" spans="1:11" x14ac:dyDescent="0.35">
      <c r="C175" s="298">
        <v>2.25</v>
      </c>
      <c r="D175" s="299" t="s">
        <v>405</v>
      </c>
      <c r="E175" s="19">
        <v>80</v>
      </c>
    </row>
    <row r="176" spans="1:11" x14ac:dyDescent="0.35">
      <c r="C176" s="298">
        <v>2.5</v>
      </c>
      <c r="D176" s="299" t="s">
        <v>399</v>
      </c>
      <c r="E176" s="19">
        <v>90</v>
      </c>
    </row>
    <row r="177" spans="1:7" x14ac:dyDescent="0.35">
      <c r="C177" s="298">
        <v>2.75</v>
      </c>
      <c r="D177" s="299" t="s">
        <v>394</v>
      </c>
      <c r="E177" s="19">
        <v>100</v>
      </c>
    </row>
    <row r="178" spans="1:7" x14ac:dyDescent="0.35">
      <c r="D178" s="4"/>
      <c r="E178"/>
    </row>
    <row r="179" spans="1:7" x14ac:dyDescent="0.35">
      <c r="D179" s="4"/>
      <c r="E179"/>
    </row>
    <row r="180" spans="1:7" x14ac:dyDescent="0.35">
      <c r="C180" s="2"/>
      <c r="D180" s="2" t="s">
        <v>1277</v>
      </c>
      <c r="E180" s="2"/>
    </row>
    <row r="181" spans="1:7" x14ac:dyDescent="0.35">
      <c r="C181" s="218" t="s">
        <v>1245</v>
      </c>
      <c r="D181" s="219" t="s">
        <v>1246</v>
      </c>
      <c r="E181" s="220" t="s">
        <v>388</v>
      </c>
    </row>
    <row r="182" spans="1:7" x14ac:dyDescent="0.35">
      <c r="C182" s="221">
        <v>1</v>
      </c>
      <c r="D182" s="222">
        <v>2</v>
      </c>
      <c r="E182" s="223">
        <v>3</v>
      </c>
    </row>
    <row r="183" spans="1:7" x14ac:dyDescent="0.35">
      <c r="C183" s="298">
        <v>0</v>
      </c>
      <c r="D183" s="19" t="s">
        <v>450</v>
      </c>
      <c r="E183" s="19">
        <v>0</v>
      </c>
    </row>
    <row r="184" spans="1:7" x14ac:dyDescent="0.35">
      <c r="C184" s="300">
        <v>5.0000000000000001E-3</v>
      </c>
      <c r="D184" s="19" t="s">
        <v>443</v>
      </c>
      <c r="E184" s="19">
        <v>10</v>
      </c>
    </row>
    <row r="185" spans="1:7" x14ac:dyDescent="0.35">
      <c r="C185" s="300">
        <v>0.01</v>
      </c>
      <c r="D185" s="19" t="s">
        <v>439</v>
      </c>
      <c r="E185" s="19">
        <v>20</v>
      </c>
    </row>
    <row r="186" spans="1:7" x14ac:dyDescent="0.35">
      <c r="C186" s="300">
        <v>1.4999999999999999E-2</v>
      </c>
      <c r="D186" s="19" t="s">
        <v>436</v>
      </c>
      <c r="E186" s="19">
        <v>30</v>
      </c>
    </row>
    <row r="187" spans="1:7" x14ac:dyDescent="0.35">
      <c r="C187" s="300">
        <v>0.02</v>
      </c>
      <c r="D187" s="19" t="s">
        <v>431</v>
      </c>
      <c r="E187" s="19">
        <v>40</v>
      </c>
    </row>
    <row r="188" spans="1:7" x14ac:dyDescent="0.35">
      <c r="C188" s="300">
        <v>2.5000000000000001E-2</v>
      </c>
      <c r="D188" s="19" t="s">
        <v>426</v>
      </c>
      <c r="E188" s="19">
        <v>50</v>
      </c>
    </row>
    <row r="189" spans="1:7" x14ac:dyDescent="0.35">
      <c r="C189" s="300">
        <v>0.03</v>
      </c>
      <c r="D189" s="19" t="s">
        <v>420</v>
      </c>
      <c r="E189" s="19">
        <v>60</v>
      </c>
    </row>
    <row r="190" spans="1:7" x14ac:dyDescent="0.35">
      <c r="A190" s="36"/>
      <c r="C190" s="300">
        <v>3.5000000000000003E-2</v>
      </c>
      <c r="D190" s="19" t="s">
        <v>413</v>
      </c>
      <c r="E190" s="19">
        <v>70</v>
      </c>
      <c r="G190" s="381"/>
    </row>
    <row r="191" spans="1:7" x14ac:dyDescent="0.35">
      <c r="C191" s="300">
        <v>0.04</v>
      </c>
      <c r="D191" s="19" t="s">
        <v>406</v>
      </c>
      <c r="E191" s="19">
        <v>80</v>
      </c>
    </row>
    <row r="192" spans="1:7" x14ac:dyDescent="0.35">
      <c r="C192" s="300">
        <v>4.4999999999999998E-2</v>
      </c>
      <c r="D192" s="19" t="s">
        <v>400</v>
      </c>
      <c r="E192" s="19">
        <v>90</v>
      </c>
    </row>
    <row r="193" spans="1:11" x14ac:dyDescent="0.35">
      <c r="C193" s="300">
        <v>0.05</v>
      </c>
      <c r="D193" s="299" t="s">
        <v>395</v>
      </c>
      <c r="E193" s="19">
        <v>100</v>
      </c>
    </row>
    <row r="194" spans="1:11" x14ac:dyDescent="0.35">
      <c r="K194" s="4"/>
    </row>
    <row r="196" spans="1:11" x14ac:dyDescent="0.35">
      <c r="A196" s="5"/>
      <c r="B196" s="5"/>
      <c r="C196" s="5"/>
      <c r="D196" s="5" t="s">
        <v>6</v>
      </c>
      <c r="E196" s="5"/>
      <c r="F196" s="393"/>
    </row>
    <row r="198" spans="1:11" x14ac:dyDescent="0.35">
      <c r="C198" s="4"/>
      <c r="D198" s="2" t="s">
        <v>1216</v>
      </c>
      <c r="F198" s="391" t="s">
        <v>1216</v>
      </c>
    </row>
    <row r="199" spans="1:11" x14ac:dyDescent="0.35">
      <c r="C199" s="4"/>
      <c r="D199" s="208" t="s">
        <v>995</v>
      </c>
      <c r="E199"/>
      <c r="F199" s="383" t="s">
        <v>995</v>
      </c>
    </row>
    <row r="200" spans="1:11" x14ac:dyDescent="0.35">
      <c r="C200" s="4"/>
      <c r="D200" s="208" t="s">
        <v>996</v>
      </c>
      <c r="E200"/>
      <c r="F200" s="383" t="s">
        <v>996</v>
      </c>
    </row>
    <row r="201" spans="1:11" x14ac:dyDescent="0.35">
      <c r="F201" s="383" t="s">
        <v>1280</v>
      </c>
    </row>
    <row r="203" spans="1:11" x14ac:dyDescent="0.35">
      <c r="C203" s="2" t="s">
        <v>1281</v>
      </c>
      <c r="D203" s="294"/>
      <c r="E203" s="535" t="s">
        <v>32</v>
      </c>
      <c r="F203" s="535"/>
      <c r="G203" s="535"/>
      <c r="H203" s="535"/>
    </row>
    <row r="204" spans="1:11" x14ac:dyDescent="0.35">
      <c r="C204" s="2" t="s">
        <v>30</v>
      </c>
      <c r="D204" s="294" t="s">
        <v>31</v>
      </c>
      <c r="E204" s="536"/>
      <c r="F204" s="536"/>
      <c r="G204" s="536"/>
      <c r="H204" s="536"/>
    </row>
    <row r="205" spans="1:11" x14ac:dyDescent="0.35">
      <c r="C205" s="208" t="s">
        <v>1282</v>
      </c>
      <c r="D205" s="208" t="s">
        <v>1283</v>
      </c>
      <c r="E205" s="208" t="s">
        <v>1284</v>
      </c>
      <c r="F205" s="383"/>
      <c r="G205" s="383"/>
      <c r="H205" s="208"/>
    </row>
    <row r="206" spans="1:11" x14ac:dyDescent="0.35">
      <c r="C206" s="208" t="s">
        <v>1285</v>
      </c>
      <c r="D206" s="208" t="s">
        <v>1286</v>
      </c>
      <c r="E206" s="208" t="s">
        <v>1287</v>
      </c>
      <c r="F206" s="383"/>
      <c r="G206" s="383"/>
      <c r="H206" s="208"/>
    </row>
    <row r="207" spans="1:11" x14ac:dyDescent="0.35">
      <c r="C207" s="208" t="s">
        <v>1288</v>
      </c>
      <c r="D207" s="208"/>
      <c r="E207" s="532"/>
      <c r="F207" s="533"/>
      <c r="G207" s="533"/>
      <c r="H207" s="534"/>
    </row>
    <row r="208" spans="1:11" x14ac:dyDescent="0.35">
      <c r="C208" s="208" t="s">
        <v>1289</v>
      </c>
      <c r="D208" s="208"/>
      <c r="E208" s="532"/>
      <c r="F208" s="533"/>
      <c r="G208" s="533"/>
      <c r="H208" s="534"/>
    </row>
    <row r="209" spans="4:5" x14ac:dyDescent="0.35">
      <c r="E209"/>
    </row>
    <row r="210" spans="4:5" x14ac:dyDescent="0.35">
      <c r="D210" s="294" t="s">
        <v>1290</v>
      </c>
      <c r="E210"/>
    </row>
    <row r="211" spans="4:5" x14ac:dyDescent="0.35">
      <c r="D211" s="208" t="s">
        <v>1291</v>
      </c>
    </row>
    <row r="212" spans="4:5" x14ac:dyDescent="0.35">
      <c r="D212" s="208" t="s">
        <v>1292</v>
      </c>
    </row>
    <row r="214" spans="4:5" x14ac:dyDescent="0.35">
      <c r="D214" s="294" t="s">
        <v>1293</v>
      </c>
    </row>
    <row r="215" spans="4:5" x14ac:dyDescent="0.35">
      <c r="D215" s="208" t="s">
        <v>1294</v>
      </c>
    </row>
    <row r="216" spans="4:5" x14ac:dyDescent="0.35">
      <c r="D216" s="208" t="s">
        <v>1295</v>
      </c>
    </row>
    <row r="218" spans="4:5" x14ac:dyDescent="0.35">
      <c r="D218" s="294" t="s">
        <v>1296</v>
      </c>
    </row>
    <row r="219" spans="4:5" x14ac:dyDescent="0.35">
      <c r="D219" s="208" t="s">
        <v>1297</v>
      </c>
    </row>
    <row r="220" spans="4:5" x14ac:dyDescent="0.35">
      <c r="D220" s="208" t="s">
        <v>1298</v>
      </c>
    </row>
    <row r="221" spans="4:5" x14ac:dyDescent="0.35">
      <c r="D221" s="208" t="s">
        <v>1299</v>
      </c>
    </row>
    <row r="222" spans="4:5" x14ac:dyDescent="0.35">
      <c r="D222" s="208" t="s">
        <v>1300</v>
      </c>
    </row>
    <row r="223" spans="4:5" x14ac:dyDescent="0.35">
      <c r="D223" s="369"/>
    </row>
    <row r="224" spans="4:5" x14ac:dyDescent="0.35">
      <c r="D224" s="294" t="s">
        <v>1301</v>
      </c>
    </row>
    <row r="225" spans="1:6" x14ac:dyDescent="0.35">
      <c r="D225" s="208" t="s">
        <v>1302</v>
      </c>
    </row>
    <row r="226" spans="1:6" x14ac:dyDescent="0.35">
      <c r="D226" s="208" t="s">
        <v>1303</v>
      </c>
    </row>
    <row r="228" spans="1:6" x14ac:dyDescent="0.35">
      <c r="A228" s="5"/>
      <c r="B228" s="5"/>
      <c r="C228" s="5"/>
      <c r="D228" s="5" t="s">
        <v>1304</v>
      </c>
      <c r="E228" s="5"/>
      <c r="F228" s="393"/>
    </row>
    <row r="231" spans="1:6" x14ac:dyDescent="0.35">
      <c r="D231" s="36" t="s">
        <v>1305</v>
      </c>
      <c r="E231" s="36" t="s">
        <v>1306</v>
      </c>
    </row>
    <row r="232" spans="1:6" x14ac:dyDescent="0.35">
      <c r="D232" t="s">
        <v>1307</v>
      </c>
      <c r="E232" t="s">
        <v>1308</v>
      </c>
    </row>
    <row r="233" spans="1:6" x14ac:dyDescent="0.35">
      <c r="D233" t="s">
        <v>1309</v>
      </c>
      <c r="E233" t="s">
        <v>1310</v>
      </c>
    </row>
    <row r="234" spans="1:6" x14ac:dyDescent="0.35">
      <c r="D234" t="s">
        <v>1311</v>
      </c>
      <c r="E234" t="s">
        <v>1312</v>
      </c>
    </row>
    <row r="235" spans="1:6" x14ac:dyDescent="0.35">
      <c r="D235" t="s">
        <v>1313</v>
      </c>
      <c r="E235" t="s">
        <v>1314</v>
      </c>
    </row>
    <row r="236" spans="1:6" x14ac:dyDescent="0.35">
      <c r="D236" t="s">
        <v>1312</v>
      </c>
      <c r="E236" t="s">
        <v>1315</v>
      </c>
    </row>
    <row r="237" spans="1:6" x14ac:dyDescent="0.35">
      <c r="D237" t="s">
        <v>1316</v>
      </c>
      <c r="E237" t="s">
        <v>1317</v>
      </c>
    </row>
    <row r="238" spans="1:6" x14ac:dyDescent="0.35">
      <c r="D238" t="s">
        <v>1314</v>
      </c>
      <c r="E238" t="s">
        <v>1318</v>
      </c>
    </row>
    <row r="239" spans="1:6" x14ac:dyDescent="0.35">
      <c r="D239" t="s">
        <v>1319</v>
      </c>
      <c r="E239" t="s">
        <v>1320</v>
      </c>
    </row>
    <row r="240" spans="1:6" x14ac:dyDescent="0.35">
      <c r="D240" t="s">
        <v>1321</v>
      </c>
      <c r="E240" t="s">
        <v>1322</v>
      </c>
    </row>
    <row r="241" spans="4:5" x14ac:dyDescent="0.35">
      <c r="D241" t="s">
        <v>1323</v>
      </c>
      <c r="E241" t="s">
        <v>1324</v>
      </c>
    </row>
    <row r="242" spans="4:5" x14ac:dyDescent="0.35">
      <c r="D242" t="s">
        <v>1325</v>
      </c>
      <c r="E242" t="s">
        <v>1326</v>
      </c>
    </row>
    <row r="243" spans="4:5" x14ac:dyDescent="0.35">
      <c r="D243" t="s">
        <v>1327</v>
      </c>
      <c r="E243" t="s">
        <v>1328</v>
      </c>
    </row>
    <row r="244" spans="4:5" x14ac:dyDescent="0.35">
      <c r="D244" t="s">
        <v>1329</v>
      </c>
      <c r="E244" t="s">
        <v>1330</v>
      </c>
    </row>
    <row r="245" spans="4:5" x14ac:dyDescent="0.35">
      <c r="D245" t="s">
        <v>1326</v>
      </c>
      <c r="E245" t="s">
        <v>1331</v>
      </c>
    </row>
    <row r="246" spans="4:5" x14ac:dyDescent="0.35">
      <c r="D246" t="s">
        <v>1328</v>
      </c>
      <c r="E246" t="s">
        <v>1332</v>
      </c>
    </row>
    <row r="247" spans="4:5" x14ac:dyDescent="0.35">
      <c r="D247" t="s">
        <v>1330</v>
      </c>
      <c r="E247" t="s">
        <v>1333</v>
      </c>
    </row>
    <row r="248" spans="4:5" x14ac:dyDescent="0.35">
      <c r="D248" t="s">
        <v>1334</v>
      </c>
      <c r="E248" t="s">
        <v>1335</v>
      </c>
    </row>
    <row r="249" spans="4:5" x14ac:dyDescent="0.35">
      <c r="D249" t="s">
        <v>1336</v>
      </c>
      <c r="E249" t="s">
        <v>1337</v>
      </c>
    </row>
    <row r="250" spans="4:5" x14ac:dyDescent="0.35">
      <c r="D250" t="s">
        <v>1338</v>
      </c>
      <c r="E250" t="s">
        <v>1339</v>
      </c>
    </row>
    <row r="251" spans="4:5" x14ac:dyDescent="0.35">
      <c r="D251" t="s">
        <v>1340</v>
      </c>
      <c r="E251" t="s">
        <v>1341</v>
      </c>
    </row>
    <row r="252" spans="4:5" x14ac:dyDescent="0.35">
      <c r="D252" t="s">
        <v>1332</v>
      </c>
      <c r="E252" t="s">
        <v>1898</v>
      </c>
    </row>
    <row r="253" spans="4:5" x14ac:dyDescent="0.35">
      <c r="D253" t="s">
        <v>1333</v>
      </c>
      <c r="E253" t="s">
        <v>67</v>
      </c>
    </row>
    <row r="254" spans="4:5" x14ac:dyDescent="0.35">
      <c r="D254" t="s">
        <v>1335</v>
      </c>
      <c r="E254"/>
    </row>
    <row r="255" spans="4:5" x14ac:dyDescent="0.35">
      <c r="D255" t="s">
        <v>1898</v>
      </c>
      <c r="E255"/>
    </row>
    <row r="256" spans="4:5" x14ac:dyDescent="0.35">
      <c r="D256" t="s">
        <v>67</v>
      </c>
      <c r="E256"/>
    </row>
    <row r="258" spans="1:6" x14ac:dyDescent="0.35">
      <c r="A258" s="5"/>
      <c r="B258" s="5"/>
      <c r="C258" s="5"/>
      <c r="D258" s="5" t="s">
        <v>1342</v>
      </c>
      <c r="E258" s="5"/>
      <c r="F258" s="393"/>
    </row>
    <row r="259" spans="1:6" x14ac:dyDescent="0.35">
      <c r="D259">
        <v>0</v>
      </c>
    </row>
    <row r="260" spans="1:6" x14ac:dyDescent="0.35">
      <c r="D260">
        <v>1</v>
      </c>
    </row>
    <row r="261" spans="1:6" x14ac:dyDescent="0.35">
      <c r="D261">
        <v>2</v>
      </c>
    </row>
    <row r="262" spans="1:6" x14ac:dyDescent="0.35">
      <c r="D262">
        <v>3</v>
      </c>
    </row>
    <row r="263" spans="1:6" x14ac:dyDescent="0.35">
      <c r="D263">
        <v>4</v>
      </c>
    </row>
    <row r="264" spans="1:6" x14ac:dyDescent="0.35">
      <c r="D264">
        <v>5</v>
      </c>
    </row>
    <row r="265" spans="1:6" x14ac:dyDescent="0.35">
      <c r="D265">
        <v>6</v>
      </c>
    </row>
    <row r="266" spans="1:6" x14ac:dyDescent="0.35">
      <c r="D266">
        <v>7</v>
      </c>
    </row>
    <row r="267" spans="1:6" x14ac:dyDescent="0.35">
      <c r="D267">
        <v>8</v>
      </c>
    </row>
    <row r="268" spans="1:6" x14ac:dyDescent="0.35">
      <c r="D268">
        <v>9</v>
      </c>
    </row>
    <row r="270" spans="1:6" x14ac:dyDescent="0.35">
      <c r="A270" s="5"/>
      <c r="B270" s="5"/>
      <c r="C270" s="5"/>
      <c r="D270" s="5" t="s">
        <v>1343</v>
      </c>
      <c r="E270" s="5"/>
      <c r="F270" s="393"/>
    </row>
    <row r="271" spans="1:6" x14ac:dyDescent="0.35">
      <c r="D271" s="228"/>
    </row>
    <row r="272" spans="1:6" x14ac:dyDescent="0.35">
      <c r="D272" t="s">
        <v>1344</v>
      </c>
    </row>
    <row r="273" spans="4:4" x14ac:dyDescent="0.35">
      <c r="D273" t="s">
        <v>1345</v>
      </c>
    </row>
    <row r="274" spans="4:4" x14ac:dyDescent="0.35">
      <c r="D274" t="s">
        <v>1346</v>
      </c>
    </row>
    <row r="275" spans="4:4" x14ac:dyDescent="0.35">
      <c r="D275" t="s">
        <v>1347</v>
      </c>
    </row>
    <row r="276" spans="4:4" x14ac:dyDescent="0.35">
      <c r="D276" t="s">
        <v>1348</v>
      </c>
    </row>
    <row r="277" spans="4:4" x14ac:dyDescent="0.35">
      <c r="D277" t="s">
        <v>1349</v>
      </c>
    </row>
    <row r="278" spans="4:4" x14ac:dyDescent="0.35">
      <c r="D278" t="s">
        <v>1350</v>
      </c>
    </row>
    <row r="279" spans="4:4" x14ac:dyDescent="0.35">
      <c r="D279" t="s">
        <v>1351</v>
      </c>
    </row>
    <row r="280" spans="4:4" x14ac:dyDescent="0.35">
      <c r="D280" t="s">
        <v>1352</v>
      </c>
    </row>
    <row r="281" spans="4:4" x14ac:dyDescent="0.35">
      <c r="D281" t="s">
        <v>1353</v>
      </c>
    </row>
    <row r="282" spans="4:4" x14ac:dyDescent="0.35">
      <c r="D282" t="s">
        <v>1354</v>
      </c>
    </row>
    <row r="283" spans="4:4" x14ac:dyDescent="0.35">
      <c r="D283" t="s">
        <v>1355</v>
      </c>
    </row>
    <row r="284" spans="4:4" x14ac:dyDescent="0.35">
      <c r="D284" t="s">
        <v>1356</v>
      </c>
    </row>
    <row r="285" spans="4:4" x14ac:dyDescent="0.35">
      <c r="D285" t="s">
        <v>1357</v>
      </c>
    </row>
    <row r="286" spans="4:4" x14ac:dyDescent="0.35">
      <c r="D286" t="s">
        <v>1358</v>
      </c>
    </row>
    <row r="287" spans="4:4" x14ac:dyDescent="0.35">
      <c r="D287" t="s">
        <v>1359</v>
      </c>
    </row>
    <row r="288" spans="4:4" x14ac:dyDescent="0.35">
      <c r="D288" t="s">
        <v>1360</v>
      </c>
    </row>
    <row r="289" spans="4:4" x14ac:dyDescent="0.35">
      <c r="D289" t="s">
        <v>1361</v>
      </c>
    </row>
    <row r="290" spans="4:4" x14ac:dyDescent="0.35">
      <c r="D290" t="s">
        <v>1362</v>
      </c>
    </row>
    <row r="291" spans="4:4" x14ac:dyDescent="0.35">
      <c r="D291" t="s">
        <v>1363</v>
      </c>
    </row>
    <row r="292" spans="4:4" x14ac:dyDescent="0.35">
      <c r="D292" t="s">
        <v>1364</v>
      </c>
    </row>
    <row r="293" spans="4:4" x14ac:dyDescent="0.35">
      <c r="D293" t="s">
        <v>1365</v>
      </c>
    </row>
    <row r="294" spans="4:4" x14ac:dyDescent="0.35">
      <c r="D294" t="s">
        <v>1366</v>
      </c>
    </row>
    <row r="295" spans="4:4" x14ac:dyDescent="0.35">
      <c r="D295" t="s">
        <v>1367</v>
      </c>
    </row>
    <row r="296" spans="4:4" x14ac:dyDescent="0.35">
      <c r="D296" t="s">
        <v>1368</v>
      </c>
    </row>
    <row r="297" spans="4:4" x14ac:dyDescent="0.35">
      <c r="D297" t="s">
        <v>1369</v>
      </c>
    </row>
    <row r="298" spans="4:4" x14ac:dyDescent="0.35">
      <c r="D298" t="s">
        <v>1370</v>
      </c>
    </row>
    <row r="299" spans="4:4" x14ac:dyDescent="0.35">
      <c r="D299" t="s">
        <v>1371</v>
      </c>
    </row>
    <row r="300" spans="4:4" x14ac:dyDescent="0.35">
      <c r="D300" t="s">
        <v>1372</v>
      </c>
    </row>
    <row r="301" spans="4:4" x14ac:dyDescent="0.35">
      <c r="D301" t="s">
        <v>1373</v>
      </c>
    </row>
    <row r="302" spans="4:4" x14ac:dyDescent="0.35">
      <c r="D302" t="s">
        <v>1396</v>
      </c>
    </row>
    <row r="303" spans="4:4" x14ac:dyDescent="0.35">
      <c r="D303" t="s">
        <v>1374</v>
      </c>
    </row>
    <row r="304" spans="4:4" x14ac:dyDescent="0.35">
      <c r="D304" t="s">
        <v>1375</v>
      </c>
    </row>
    <row r="305" spans="4:4" x14ac:dyDescent="0.35">
      <c r="D305" t="s">
        <v>1376</v>
      </c>
    </row>
    <row r="306" spans="4:4" x14ac:dyDescent="0.35">
      <c r="D306" t="s">
        <v>1377</v>
      </c>
    </row>
    <row r="307" spans="4:4" x14ac:dyDescent="0.35">
      <c r="D307" t="s">
        <v>1378</v>
      </c>
    </row>
    <row r="308" spans="4:4" x14ac:dyDescent="0.35">
      <c r="D308" t="s">
        <v>1379</v>
      </c>
    </row>
    <row r="309" spans="4:4" x14ac:dyDescent="0.35">
      <c r="D309" t="s">
        <v>1380</v>
      </c>
    </row>
    <row r="310" spans="4:4" x14ac:dyDescent="0.35">
      <c r="D310" t="s">
        <v>1381</v>
      </c>
    </row>
    <row r="311" spans="4:4" x14ac:dyDescent="0.35">
      <c r="D311" t="s">
        <v>1382</v>
      </c>
    </row>
    <row r="312" spans="4:4" x14ac:dyDescent="0.35">
      <c r="D312" t="s">
        <v>1383</v>
      </c>
    </row>
    <row r="313" spans="4:4" x14ac:dyDescent="0.35">
      <c r="D313" t="s">
        <v>1384</v>
      </c>
    </row>
    <row r="314" spans="4:4" x14ac:dyDescent="0.35">
      <c r="D314" t="s">
        <v>1385</v>
      </c>
    </row>
    <row r="315" spans="4:4" x14ac:dyDescent="0.35">
      <c r="D315" t="s">
        <v>1386</v>
      </c>
    </row>
    <row r="316" spans="4:4" x14ac:dyDescent="0.35">
      <c r="D316" t="s">
        <v>1387</v>
      </c>
    </row>
    <row r="317" spans="4:4" x14ac:dyDescent="0.35">
      <c r="D317" t="s">
        <v>1388</v>
      </c>
    </row>
    <row r="318" spans="4:4" x14ac:dyDescent="0.35">
      <c r="D318" t="s">
        <v>1389</v>
      </c>
    </row>
    <row r="319" spans="4:4" x14ac:dyDescent="0.35">
      <c r="D319" t="s">
        <v>1390</v>
      </c>
    </row>
    <row r="320" spans="4:4" x14ac:dyDescent="0.35">
      <c r="D320" t="s">
        <v>1391</v>
      </c>
    </row>
    <row r="321" spans="4:4" x14ac:dyDescent="0.35">
      <c r="D321" t="s">
        <v>1392</v>
      </c>
    </row>
    <row r="322" spans="4:4" x14ac:dyDescent="0.35">
      <c r="D322" t="s">
        <v>1393</v>
      </c>
    </row>
    <row r="323" spans="4:4" x14ac:dyDescent="0.35">
      <c r="D323" t="s">
        <v>1394</v>
      </c>
    </row>
    <row r="324" spans="4:4" x14ac:dyDescent="0.35">
      <c r="D324" t="s">
        <v>1395</v>
      </c>
    </row>
    <row r="325" spans="4:4" x14ac:dyDescent="0.35">
      <c r="D325" t="s">
        <v>1397</v>
      </c>
    </row>
    <row r="326" spans="4:4" x14ac:dyDescent="0.35">
      <c r="D326" t="s">
        <v>1398</v>
      </c>
    </row>
    <row r="327" spans="4:4" x14ac:dyDescent="0.35">
      <c r="D327" t="s">
        <v>1399</v>
      </c>
    </row>
    <row r="328" spans="4:4" x14ac:dyDescent="0.35">
      <c r="D328" t="s">
        <v>1400</v>
      </c>
    </row>
    <row r="329" spans="4:4" x14ac:dyDescent="0.35">
      <c r="D329" t="s">
        <v>1401</v>
      </c>
    </row>
    <row r="330" spans="4:4" x14ac:dyDescent="0.35">
      <c r="D330" t="s">
        <v>1402</v>
      </c>
    </row>
    <row r="331" spans="4:4" x14ac:dyDescent="0.35">
      <c r="D331" t="s">
        <v>1895</v>
      </c>
    </row>
    <row r="332" spans="4:4" x14ac:dyDescent="0.35">
      <c r="D332" t="s">
        <v>1403</v>
      </c>
    </row>
    <row r="333" spans="4:4" x14ac:dyDescent="0.35">
      <c r="D333" t="s">
        <v>1404</v>
      </c>
    </row>
    <row r="334" spans="4:4" x14ac:dyDescent="0.35">
      <c r="D334" t="s">
        <v>1405</v>
      </c>
    </row>
    <row r="335" spans="4:4" x14ac:dyDescent="0.35">
      <c r="D335" t="s">
        <v>1406</v>
      </c>
    </row>
    <row r="336" spans="4:4" x14ac:dyDescent="0.35">
      <c r="D336" t="s">
        <v>1407</v>
      </c>
    </row>
    <row r="337" spans="4:4" x14ac:dyDescent="0.35">
      <c r="D337" t="s">
        <v>1408</v>
      </c>
    </row>
    <row r="338" spans="4:4" x14ac:dyDescent="0.35">
      <c r="D338" t="s">
        <v>1409</v>
      </c>
    </row>
    <row r="339" spans="4:4" x14ac:dyDescent="0.35">
      <c r="D339" t="s">
        <v>1410</v>
      </c>
    </row>
    <row r="340" spans="4:4" x14ac:dyDescent="0.35">
      <c r="D340" t="s">
        <v>1411</v>
      </c>
    </row>
    <row r="341" spans="4:4" x14ac:dyDescent="0.35">
      <c r="D341" t="s">
        <v>1412</v>
      </c>
    </row>
    <row r="342" spans="4:4" x14ac:dyDescent="0.35">
      <c r="D342" t="s">
        <v>1413</v>
      </c>
    </row>
    <row r="343" spans="4:4" x14ac:dyDescent="0.35">
      <c r="D343" t="s">
        <v>1414</v>
      </c>
    </row>
    <row r="344" spans="4:4" x14ac:dyDescent="0.35">
      <c r="D344" t="s">
        <v>1415</v>
      </c>
    </row>
    <row r="345" spans="4:4" x14ac:dyDescent="0.35">
      <c r="D345" t="s">
        <v>1416</v>
      </c>
    </row>
    <row r="346" spans="4:4" x14ac:dyDescent="0.35">
      <c r="D346" t="s">
        <v>1417</v>
      </c>
    </row>
    <row r="347" spans="4:4" x14ac:dyDescent="0.35">
      <c r="D347" t="s">
        <v>1418</v>
      </c>
    </row>
    <row r="348" spans="4:4" x14ac:dyDescent="0.35">
      <c r="D348" t="s">
        <v>1419</v>
      </c>
    </row>
    <row r="349" spans="4:4" x14ac:dyDescent="0.35">
      <c r="D349" t="s">
        <v>1420</v>
      </c>
    </row>
    <row r="350" spans="4:4" x14ac:dyDescent="0.35">
      <c r="D350" t="s">
        <v>1421</v>
      </c>
    </row>
    <row r="351" spans="4:4" x14ac:dyDescent="0.35">
      <c r="D351" t="s">
        <v>1422</v>
      </c>
    </row>
    <row r="352" spans="4:4" x14ac:dyDescent="0.35">
      <c r="D352" t="s">
        <v>1423</v>
      </c>
    </row>
    <row r="353" spans="1:9" x14ac:dyDescent="0.35">
      <c r="D353" t="s">
        <v>1424</v>
      </c>
    </row>
    <row r="354" spans="1:9" x14ac:dyDescent="0.35">
      <c r="D354" t="s">
        <v>1425</v>
      </c>
    </row>
    <row r="355" spans="1:9" x14ac:dyDescent="0.35">
      <c r="D355" t="s">
        <v>1426</v>
      </c>
    </row>
    <row r="356" spans="1:9" x14ac:dyDescent="0.35">
      <c r="D356" t="s">
        <v>1427</v>
      </c>
    </row>
    <row r="357" spans="1:9" x14ac:dyDescent="0.35">
      <c r="D357" t="s">
        <v>1428</v>
      </c>
    </row>
    <row r="358" spans="1:9" x14ac:dyDescent="0.35">
      <c r="D358" t="s">
        <v>1429</v>
      </c>
    </row>
    <row r="359" spans="1:9" ht="15" thickBot="1" x14ac:dyDescent="0.4"/>
    <row r="360" spans="1:9" ht="15" thickBot="1" x14ac:dyDescent="0.4">
      <c r="A360" s="529" t="s">
        <v>1430</v>
      </c>
      <c r="B360" s="530"/>
      <c r="C360" s="530"/>
      <c r="D360" s="530"/>
      <c r="E360" s="530"/>
      <c r="F360" s="530"/>
      <c r="G360" s="530"/>
      <c r="H360" s="531"/>
    </row>
    <row r="362" spans="1:9" x14ac:dyDescent="0.35">
      <c r="C362" s="66"/>
      <c r="D362" s="378"/>
      <c r="E362" s="378"/>
      <c r="F362" s="386" t="s">
        <v>1431</v>
      </c>
      <c r="G362" s="387" t="s">
        <v>1432</v>
      </c>
      <c r="H362" s="66" t="s">
        <v>1433</v>
      </c>
      <c r="I362" s="66" t="s">
        <v>1434</v>
      </c>
    </row>
    <row r="363" spans="1:9" x14ac:dyDescent="0.35">
      <c r="C363" s="66" t="s">
        <v>135</v>
      </c>
      <c r="D363" s="378" t="s">
        <v>136</v>
      </c>
      <c r="E363" s="378"/>
      <c r="F363" s="387">
        <v>9999</v>
      </c>
      <c r="G363" s="387">
        <v>1</v>
      </c>
      <c r="H363" s="66"/>
      <c r="I363" s="66"/>
    </row>
    <row r="364" spans="1:9" ht="29" x14ac:dyDescent="0.35">
      <c r="C364" s="66" t="s">
        <v>160</v>
      </c>
      <c r="D364" s="378" t="s">
        <v>161</v>
      </c>
      <c r="E364" s="378"/>
      <c r="F364" s="387">
        <v>1500</v>
      </c>
      <c r="G364" s="387">
        <v>600</v>
      </c>
      <c r="H364" s="66"/>
      <c r="I364" s="66"/>
    </row>
    <row r="365" spans="1:9" ht="29" x14ac:dyDescent="0.35">
      <c r="C365" s="66" t="s">
        <v>175</v>
      </c>
      <c r="D365" s="378" t="s">
        <v>176</v>
      </c>
      <c r="E365" s="378"/>
      <c r="F365" s="387">
        <v>5000</v>
      </c>
      <c r="G365" s="387">
        <v>0</v>
      </c>
      <c r="H365" s="66">
        <v>1000</v>
      </c>
      <c r="I365" s="66"/>
    </row>
    <row r="366" spans="1:9" x14ac:dyDescent="0.35">
      <c r="C366" s="66" t="s">
        <v>189</v>
      </c>
      <c r="D366" s="378" t="s">
        <v>190</v>
      </c>
      <c r="E366" s="378"/>
      <c r="F366" s="387">
        <v>20000</v>
      </c>
      <c r="G366" s="387">
        <v>0</v>
      </c>
      <c r="H366" s="66"/>
      <c r="I366" s="66"/>
    </row>
    <row r="367" spans="1:9" x14ac:dyDescent="0.35">
      <c r="C367" s="66" t="s">
        <v>192</v>
      </c>
      <c r="D367" s="378" t="s">
        <v>193</v>
      </c>
      <c r="E367" s="378"/>
      <c r="F367" s="387"/>
      <c r="G367" s="387">
        <v>1000</v>
      </c>
      <c r="H367" s="66"/>
      <c r="I367" s="66"/>
    </row>
    <row r="368" spans="1:9" x14ac:dyDescent="0.35">
      <c r="C368" s="66" t="s">
        <v>202</v>
      </c>
      <c r="D368" s="378" t="s">
        <v>203</v>
      </c>
      <c r="E368" s="378"/>
      <c r="F368" s="387">
        <v>9999</v>
      </c>
      <c r="G368" s="387">
        <v>0</v>
      </c>
      <c r="H368" s="66"/>
      <c r="I368" s="66"/>
    </row>
    <row r="369" spans="3:9" x14ac:dyDescent="0.35">
      <c r="C369" s="66" t="s">
        <v>204</v>
      </c>
      <c r="D369" s="378" t="s">
        <v>205</v>
      </c>
      <c r="E369" s="378"/>
      <c r="F369" s="387">
        <v>9999</v>
      </c>
      <c r="G369" s="387">
        <v>0</v>
      </c>
      <c r="H369" s="66"/>
      <c r="I369" s="66"/>
    </row>
    <row r="370" spans="3:9" x14ac:dyDescent="0.35">
      <c r="C370" s="66" t="s">
        <v>206</v>
      </c>
      <c r="D370" s="378" t="s">
        <v>207</v>
      </c>
      <c r="E370" s="378"/>
      <c r="F370" s="387">
        <v>1000</v>
      </c>
      <c r="G370" s="387">
        <v>0</v>
      </c>
      <c r="H370" s="66"/>
      <c r="I370" s="66"/>
    </row>
    <row r="371" spans="3:9" x14ac:dyDescent="0.35">
      <c r="C371" s="66" t="s">
        <v>208</v>
      </c>
      <c r="D371" s="378" t="s">
        <v>209</v>
      </c>
      <c r="E371" s="378"/>
      <c r="F371" s="387"/>
      <c r="G371" s="387"/>
      <c r="H371" s="66">
        <v>16000</v>
      </c>
      <c r="I371" s="66"/>
    </row>
    <row r="372" spans="3:9" x14ac:dyDescent="0.35">
      <c r="C372" s="66" t="s">
        <v>212</v>
      </c>
      <c r="D372" s="378" t="s">
        <v>213</v>
      </c>
      <c r="E372" s="378"/>
      <c r="F372" s="387">
        <v>5000</v>
      </c>
      <c r="G372" s="387">
        <v>0</v>
      </c>
      <c r="H372" s="66"/>
      <c r="I372" s="66"/>
    </row>
    <row r="373" spans="3:9" ht="43.5" x14ac:dyDescent="0.35">
      <c r="C373" s="66" t="s">
        <v>226</v>
      </c>
      <c r="D373" s="378" t="s">
        <v>227</v>
      </c>
      <c r="E373" s="378"/>
      <c r="F373" s="387"/>
      <c r="G373" s="387">
        <v>1499</v>
      </c>
      <c r="H373" s="66"/>
      <c r="I373" s="66"/>
    </row>
    <row r="374" spans="3:9" ht="43.5" x14ac:dyDescent="0.35">
      <c r="C374" s="66" t="s">
        <v>228</v>
      </c>
      <c r="D374" s="378" t="s">
        <v>229</v>
      </c>
      <c r="E374" s="378"/>
      <c r="F374" s="387"/>
      <c r="G374" s="387">
        <v>1499</v>
      </c>
      <c r="H374" s="66"/>
      <c r="I374" s="66">
        <v>15000</v>
      </c>
    </row>
    <row r="375" spans="3:9" x14ac:dyDescent="0.35">
      <c r="C375" s="66" t="s">
        <v>230</v>
      </c>
      <c r="D375" s="378" t="s">
        <v>231</v>
      </c>
      <c r="E375" s="378"/>
      <c r="F375" s="387"/>
      <c r="G375" s="387"/>
      <c r="H375" s="66"/>
      <c r="I375" s="66"/>
    </row>
    <row r="376" spans="3:9" x14ac:dyDescent="0.35">
      <c r="C376" s="66" t="s">
        <v>232</v>
      </c>
      <c r="D376" s="378" t="s">
        <v>233</v>
      </c>
      <c r="E376" s="378"/>
      <c r="F376" s="387"/>
      <c r="G376" s="387"/>
      <c r="H376" s="388">
        <v>1.5</v>
      </c>
      <c r="I376" s="388">
        <v>0.5</v>
      </c>
    </row>
    <row r="377" spans="3:9" x14ac:dyDescent="0.35">
      <c r="C377" s="66" t="s">
        <v>234</v>
      </c>
      <c r="D377" s="378" t="s">
        <v>235</v>
      </c>
      <c r="E377" s="378"/>
      <c r="F377" s="387"/>
      <c r="G377" s="387"/>
      <c r="H377" s="388">
        <v>0.4</v>
      </c>
      <c r="I377" s="388"/>
    </row>
    <row r="378" spans="3:9" ht="43.5" x14ac:dyDescent="0.35">
      <c r="C378" s="66" t="s">
        <v>239</v>
      </c>
      <c r="D378" s="378" t="s">
        <v>240</v>
      </c>
      <c r="E378" s="378" t="s">
        <v>241</v>
      </c>
      <c r="F378" s="387"/>
      <c r="G378" s="387"/>
      <c r="H378" s="66"/>
      <c r="I378" s="66"/>
    </row>
    <row r="379" spans="3:9" ht="29" x14ac:dyDescent="0.35">
      <c r="C379" s="66" t="s">
        <v>242</v>
      </c>
      <c r="D379" s="378" t="s">
        <v>240</v>
      </c>
      <c r="E379" s="378" t="s">
        <v>243</v>
      </c>
      <c r="F379" s="387"/>
      <c r="G379" s="387"/>
      <c r="H379" s="66"/>
      <c r="I379" s="66"/>
    </row>
    <row r="380" spans="3:9" ht="29" x14ac:dyDescent="0.35">
      <c r="C380" s="66" t="s">
        <v>244</v>
      </c>
      <c r="D380" s="378" t="s">
        <v>240</v>
      </c>
      <c r="E380" s="378" t="s">
        <v>245</v>
      </c>
      <c r="F380" s="387"/>
      <c r="G380" s="387"/>
      <c r="H380" s="66"/>
      <c r="I380" s="66"/>
    </row>
    <row r="381" spans="3:9" x14ac:dyDescent="0.35">
      <c r="C381" s="66" t="s">
        <v>246</v>
      </c>
      <c r="D381" s="378" t="s">
        <v>240</v>
      </c>
      <c r="E381" s="378" t="s">
        <v>247</v>
      </c>
      <c r="F381" s="387"/>
      <c r="G381" s="387"/>
      <c r="H381" s="66"/>
      <c r="I381" s="66"/>
    </row>
    <row r="382" spans="3:9" ht="29" x14ac:dyDescent="0.35">
      <c r="C382" s="66" t="s">
        <v>248</v>
      </c>
      <c r="D382" s="378" t="s">
        <v>240</v>
      </c>
      <c r="E382" s="378" t="s">
        <v>249</v>
      </c>
      <c r="F382" s="387"/>
      <c r="G382" s="387"/>
      <c r="H382" s="66"/>
      <c r="I382" s="66"/>
    </row>
    <row r="383" spans="3:9" ht="29" x14ac:dyDescent="0.35">
      <c r="C383" s="66" t="s">
        <v>251</v>
      </c>
      <c r="D383" s="378" t="s">
        <v>252</v>
      </c>
      <c r="E383" s="378"/>
      <c r="F383" s="387">
        <v>2000</v>
      </c>
      <c r="G383" s="387">
        <v>50</v>
      </c>
      <c r="H383" s="66"/>
      <c r="I383" s="66"/>
    </row>
    <row r="384" spans="3:9" ht="29" x14ac:dyDescent="0.35">
      <c r="C384" s="66" t="s">
        <v>254</v>
      </c>
      <c r="D384" s="378" t="s">
        <v>252</v>
      </c>
      <c r="E384" s="378"/>
      <c r="F384" s="387">
        <v>2000</v>
      </c>
      <c r="G384" s="387">
        <v>100</v>
      </c>
      <c r="H384" s="66"/>
      <c r="I384" s="66"/>
    </row>
    <row r="385" spans="3:9" ht="29" x14ac:dyDescent="0.35">
      <c r="C385" s="66" t="s">
        <v>256</v>
      </c>
      <c r="D385" s="378" t="s">
        <v>252</v>
      </c>
      <c r="E385" s="378"/>
      <c r="F385" s="387">
        <v>2000</v>
      </c>
      <c r="G385" s="387">
        <v>100</v>
      </c>
      <c r="H385" s="66"/>
      <c r="I385" s="66"/>
    </row>
    <row r="386" spans="3:9" ht="29" x14ac:dyDescent="0.35">
      <c r="C386" s="66" t="s">
        <v>258</v>
      </c>
      <c r="D386" s="378" t="s">
        <v>252</v>
      </c>
      <c r="E386" s="378"/>
      <c r="F386" s="387">
        <v>2000</v>
      </c>
      <c r="G386" s="387">
        <v>100</v>
      </c>
      <c r="H386" s="66"/>
      <c r="I386" s="66"/>
    </row>
    <row r="387" spans="3:9" ht="29" x14ac:dyDescent="0.35">
      <c r="C387" s="66" t="s">
        <v>260</v>
      </c>
      <c r="D387" s="378" t="s">
        <v>261</v>
      </c>
      <c r="E387" s="378"/>
      <c r="F387" s="387"/>
      <c r="G387" s="387"/>
      <c r="H387" s="66"/>
      <c r="I387" s="388"/>
    </row>
    <row r="388" spans="3:9" ht="29" x14ac:dyDescent="0.35">
      <c r="C388" s="66" t="s">
        <v>262</v>
      </c>
      <c r="D388" s="378" t="s">
        <v>263</v>
      </c>
      <c r="E388" s="378"/>
      <c r="F388" s="387"/>
      <c r="G388" s="387"/>
      <c r="H388" s="66"/>
      <c r="I388" s="66"/>
    </row>
    <row r="389" spans="3:9" x14ac:dyDescent="0.35">
      <c r="C389" s="66" t="s">
        <v>264</v>
      </c>
      <c r="D389" s="378" t="s">
        <v>265</v>
      </c>
      <c r="E389" s="378"/>
      <c r="F389" s="387"/>
      <c r="G389" s="387"/>
      <c r="H389" s="66"/>
      <c r="I389" s="388">
        <v>0</v>
      </c>
    </row>
    <row r="390" spans="3:9" x14ac:dyDescent="0.35">
      <c r="C390" s="66" t="s">
        <v>266</v>
      </c>
      <c r="D390" s="378" t="s">
        <v>267</v>
      </c>
      <c r="E390" s="378"/>
      <c r="F390" s="387"/>
      <c r="G390" s="387">
        <v>0</v>
      </c>
      <c r="H390" s="66"/>
      <c r="I390" s="66"/>
    </row>
    <row r="391" spans="3:9" ht="29" x14ac:dyDescent="0.35">
      <c r="C391" s="66" t="s">
        <v>268</v>
      </c>
      <c r="D391" s="378" t="s">
        <v>269</v>
      </c>
      <c r="E391" s="378"/>
      <c r="F391" s="387"/>
      <c r="G391" s="387">
        <v>0</v>
      </c>
      <c r="H391" s="66"/>
      <c r="I391" s="66"/>
    </row>
    <row r="392" spans="3:9" x14ac:dyDescent="0.35">
      <c r="C392" s="66"/>
      <c r="D392" s="378"/>
      <c r="E392" s="378"/>
      <c r="F392" s="387"/>
      <c r="G392" s="387"/>
      <c r="H392" s="66"/>
    </row>
    <row r="393" spans="3:9" x14ac:dyDescent="0.35">
      <c r="C393" s="66"/>
      <c r="D393" s="378"/>
      <c r="E393" s="378"/>
      <c r="F393" s="387"/>
      <c r="G393" s="387"/>
      <c r="H393" s="66"/>
    </row>
    <row r="394" spans="3:9" x14ac:dyDescent="0.35">
      <c r="C394" s="66"/>
      <c r="D394" s="378"/>
      <c r="E394" s="378"/>
      <c r="F394" s="387"/>
      <c r="G394" s="387"/>
      <c r="H394" s="66"/>
    </row>
    <row r="395" spans="3:9" x14ac:dyDescent="0.35">
      <c r="C395" s="66"/>
      <c r="D395" s="378"/>
      <c r="E395" s="378"/>
      <c r="F395" s="387"/>
      <c r="G395" s="387"/>
      <c r="H395" s="66"/>
    </row>
    <row r="396" spans="3:9" x14ac:dyDescent="0.35">
      <c r="C396" s="66"/>
      <c r="D396" s="378"/>
      <c r="E396" s="378"/>
      <c r="F396" s="387"/>
      <c r="G396" s="387"/>
      <c r="H396" s="66"/>
    </row>
    <row r="397" spans="3:9" x14ac:dyDescent="0.35">
      <c r="C397" s="66"/>
      <c r="D397" s="378"/>
      <c r="E397" s="378"/>
      <c r="F397" s="387"/>
      <c r="G397" s="387"/>
      <c r="H397" s="66"/>
    </row>
    <row r="398" spans="3:9" x14ac:dyDescent="0.35">
      <c r="C398" s="66"/>
      <c r="D398" s="378"/>
      <c r="E398" s="378"/>
      <c r="F398" s="387"/>
      <c r="G398" s="387"/>
      <c r="H398" s="66"/>
    </row>
    <row r="399" spans="3:9" x14ac:dyDescent="0.35">
      <c r="C399" s="66"/>
      <c r="D399" s="378"/>
      <c r="E399" s="378"/>
      <c r="F399" s="387"/>
      <c r="G399" s="387"/>
      <c r="H399" s="66"/>
    </row>
    <row r="400" spans="3:9" x14ac:dyDescent="0.35">
      <c r="C400" s="66"/>
      <c r="D400" s="378"/>
      <c r="E400" s="378"/>
      <c r="F400" s="387"/>
      <c r="G400" s="387"/>
      <c r="H400" s="66"/>
    </row>
    <row r="401" spans="1:8" x14ac:dyDescent="0.35">
      <c r="C401" s="66"/>
      <c r="D401" s="378"/>
      <c r="E401" s="378"/>
      <c r="F401" s="387"/>
      <c r="G401" s="387"/>
      <c r="H401" s="66"/>
    </row>
    <row r="402" spans="1:8" x14ac:dyDescent="0.35">
      <c r="C402" s="66"/>
      <c r="D402" s="378"/>
      <c r="E402" s="378"/>
      <c r="F402" s="387"/>
      <c r="G402" s="387"/>
      <c r="H402" s="66"/>
    </row>
    <row r="403" spans="1:8" x14ac:dyDescent="0.35">
      <c r="C403" s="66"/>
      <c r="D403" s="378"/>
      <c r="E403" s="378"/>
      <c r="F403" s="387"/>
      <c r="G403" s="387"/>
      <c r="H403" s="66"/>
    </row>
    <row r="404" spans="1:8" x14ac:dyDescent="0.35">
      <c r="C404" s="66"/>
      <c r="D404" s="378"/>
      <c r="E404" s="378"/>
      <c r="F404" s="387"/>
      <c r="G404" s="387"/>
      <c r="H404" s="66"/>
    </row>
    <row r="405" spans="1:8" x14ac:dyDescent="0.35">
      <c r="C405" s="66"/>
      <c r="D405" s="378"/>
      <c r="E405" s="378"/>
      <c r="F405" s="387"/>
      <c r="G405" s="387"/>
      <c r="H405" s="66"/>
    </row>
    <row r="406" spans="1:8" x14ac:dyDescent="0.35">
      <c r="C406" s="66"/>
      <c r="D406" s="378"/>
      <c r="E406" s="378"/>
      <c r="F406" s="387"/>
      <c r="G406" s="387"/>
      <c r="H406" s="66"/>
    </row>
    <row r="407" spans="1:8" x14ac:dyDescent="0.35">
      <c r="C407" s="66"/>
      <c r="D407" s="378"/>
      <c r="E407" s="378"/>
      <c r="F407" s="387"/>
      <c r="G407" s="387"/>
      <c r="H407" s="66"/>
    </row>
    <row r="408" spans="1:8" x14ac:dyDescent="0.35">
      <c r="C408" s="66"/>
      <c r="D408" s="378"/>
      <c r="E408" s="378"/>
      <c r="F408" s="387"/>
      <c r="G408" s="387"/>
      <c r="H408" s="66"/>
    </row>
    <row r="409" spans="1:8" ht="15" thickBot="1" x14ac:dyDescent="0.4"/>
    <row r="410" spans="1:8" ht="15" thickBot="1" x14ac:dyDescent="0.4">
      <c r="A410" s="529" t="s">
        <v>1435</v>
      </c>
      <c r="B410" s="530"/>
      <c r="C410" s="530"/>
      <c r="D410" s="530"/>
      <c r="E410" s="530"/>
      <c r="F410" s="530"/>
      <c r="G410" s="530"/>
      <c r="H410" s="531"/>
    </row>
    <row r="412" spans="1:8" x14ac:dyDescent="0.35">
      <c r="C412" s="66"/>
      <c r="D412" s="378"/>
      <c r="E412" s="386" t="s">
        <v>1431</v>
      </c>
      <c r="F412" s="387" t="s">
        <v>1432</v>
      </c>
      <c r="G412"/>
    </row>
    <row r="413" spans="1:8" x14ac:dyDescent="0.35">
      <c r="C413" s="66" t="s">
        <v>998</v>
      </c>
      <c r="D413" s="378" t="s">
        <v>999</v>
      </c>
      <c r="E413" s="387">
        <v>500</v>
      </c>
      <c r="F413" s="387"/>
      <c r="G413"/>
    </row>
    <row r="414" spans="1:8" x14ac:dyDescent="0.35">
      <c r="C414" s="66" t="s">
        <v>1000</v>
      </c>
      <c r="D414" s="378" t="s">
        <v>1001</v>
      </c>
      <c r="E414" s="387">
        <v>100</v>
      </c>
      <c r="F414" s="387"/>
      <c r="G414"/>
    </row>
    <row r="415" spans="1:8" ht="29" x14ac:dyDescent="0.35">
      <c r="C415" s="66" t="s">
        <v>1002</v>
      </c>
      <c r="D415" s="378" t="s">
        <v>1003</v>
      </c>
      <c r="E415" s="387">
        <v>200</v>
      </c>
      <c r="F415" s="387"/>
      <c r="G415"/>
    </row>
    <row r="416" spans="1:8" ht="29" x14ac:dyDescent="0.35">
      <c r="C416" s="66" t="s">
        <v>1004</v>
      </c>
      <c r="D416" s="378" t="s">
        <v>1005</v>
      </c>
      <c r="E416" s="387">
        <v>200</v>
      </c>
      <c r="F416" s="387"/>
      <c r="G416"/>
    </row>
    <row r="417" spans="1:8" x14ac:dyDescent="0.35">
      <c r="C417" s="66" t="s">
        <v>1006</v>
      </c>
      <c r="D417" s="378" t="s">
        <v>1007</v>
      </c>
      <c r="E417" s="387">
        <v>200</v>
      </c>
      <c r="F417" s="387"/>
      <c r="G417"/>
    </row>
    <row r="418" spans="1:8" ht="29" x14ac:dyDescent="0.35">
      <c r="C418" s="66" t="s">
        <v>1105</v>
      </c>
      <c r="D418" s="378" t="s">
        <v>1871</v>
      </c>
      <c r="E418" s="387">
        <v>5000</v>
      </c>
      <c r="F418" s="387"/>
      <c r="G418"/>
    </row>
    <row r="419" spans="1:8" ht="15" thickBot="1" x14ac:dyDescent="0.4"/>
    <row r="420" spans="1:8" ht="15" thickBot="1" x14ac:dyDescent="0.4">
      <c r="A420" s="529" t="s">
        <v>1967</v>
      </c>
      <c r="B420" s="530"/>
      <c r="C420" s="530"/>
      <c r="D420" s="530"/>
      <c r="E420" s="530"/>
      <c r="F420" s="530"/>
      <c r="G420" s="530"/>
      <c r="H420" s="531"/>
    </row>
    <row r="421" spans="1:8" x14ac:dyDescent="0.35">
      <c r="E421" s="431" t="s">
        <v>1432</v>
      </c>
      <c r="F421" s="432" t="s">
        <v>1431</v>
      </c>
    </row>
    <row r="422" spans="1:8" x14ac:dyDescent="0.35">
      <c r="C422" t="s">
        <v>1931</v>
      </c>
      <c r="D422" s="4" t="s">
        <v>1932</v>
      </c>
      <c r="E422" s="386">
        <v>0</v>
      </c>
      <c r="F422" s="387">
        <v>299</v>
      </c>
    </row>
    <row r="423" spans="1:8" ht="29" x14ac:dyDescent="0.35">
      <c r="C423" t="s">
        <v>1933</v>
      </c>
      <c r="D423" s="4" t="s">
        <v>1934</v>
      </c>
      <c r="E423" s="386">
        <v>0</v>
      </c>
      <c r="F423" s="387">
        <v>9999</v>
      </c>
    </row>
    <row r="424" spans="1:8" ht="29" x14ac:dyDescent="0.35">
      <c r="C424" t="s">
        <v>1935</v>
      </c>
      <c r="D424" s="4" t="s">
        <v>1936</v>
      </c>
      <c r="E424" s="386">
        <v>0</v>
      </c>
      <c r="F424" s="387">
        <v>299</v>
      </c>
    </row>
    <row r="425" spans="1:8" ht="43.5" x14ac:dyDescent="0.35">
      <c r="C425" t="s">
        <v>1937</v>
      </c>
      <c r="D425" s="4" t="s">
        <v>1938</v>
      </c>
      <c r="E425" s="386">
        <v>0</v>
      </c>
      <c r="F425" s="387">
        <v>9999</v>
      </c>
    </row>
    <row r="426" spans="1:8" x14ac:dyDescent="0.35">
      <c r="D426" s="4"/>
    </row>
    <row r="427" spans="1:8" ht="29" x14ac:dyDescent="0.35">
      <c r="C427" s="331" t="s">
        <v>1941</v>
      </c>
      <c r="D427" s="17" t="s">
        <v>1942</v>
      </c>
      <c r="E427" s="386">
        <v>0</v>
      </c>
      <c r="F427" s="387">
        <v>9999</v>
      </c>
    </row>
    <row r="428" spans="1:8" ht="29" x14ac:dyDescent="0.35">
      <c r="C428" s="331" t="s">
        <v>1943</v>
      </c>
      <c r="D428" s="17" t="s">
        <v>1944</v>
      </c>
      <c r="E428" s="386">
        <v>0</v>
      </c>
      <c r="F428" s="433">
        <v>0.99990000000000001</v>
      </c>
    </row>
    <row r="429" spans="1:8" ht="29" x14ac:dyDescent="0.35">
      <c r="C429" s="331" t="s">
        <v>1945</v>
      </c>
      <c r="D429" s="17" t="s">
        <v>1946</v>
      </c>
      <c r="E429" s="386">
        <v>0</v>
      </c>
      <c r="F429" s="387">
        <v>100</v>
      </c>
    </row>
  </sheetData>
  <sheetProtection algorithmName="SHA-512" hashValue="O0MWwVqHHwFJz8C0bLEvVtgddYY5bqeIkJ1L6T9WTx22Zad4/YWSIdeOEemIxAttdKoyrb5YbN2Wg0EqFJZEUA==" saltValue="V/+ZNmkaqKN8Cc+mTUhmdg==" spinCount="100000" sheet="1" objects="1" scenarios="1"/>
  <sortState xmlns:xlrd2="http://schemas.microsoft.com/office/spreadsheetml/2017/richdata2" ref="D272:D358">
    <sortCondition ref="D272:D358"/>
  </sortState>
  <mergeCells count="6">
    <mergeCell ref="A420:H420"/>
    <mergeCell ref="E208:H208"/>
    <mergeCell ref="E203:H204"/>
    <mergeCell ref="E207:H207"/>
    <mergeCell ref="A360:H360"/>
    <mergeCell ref="A410:H410"/>
  </mergeCells>
  <conditionalFormatting sqref="A1:A2">
    <cfRule type="cellIs" dxfId="3" priority="1" operator="equal">
      <formula>0</formula>
    </cfRule>
    <cfRule type="cellIs" dxfId="2" priority="2" operator="greaterThan">
      <formula>0</formula>
    </cfRule>
  </conditionalFormatting>
  <dataValidations count="1">
    <dataValidation allowBlank="1" showErrorMessage="1" sqref="D413:D415" xr:uid="{CE6BFAFE-E07C-4A8B-834F-6E8E5F80612E}"/>
  </dataValidation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834D0-82D6-4CDB-AD99-3EDCF4FCF640}">
  <sheetPr codeName="Sheet17">
    <tabColor rgb="FF00B050"/>
  </sheetPr>
  <dimension ref="A1:E242"/>
  <sheetViews>
    <sheetView showGridLines="0" zoomScaleNormal="100" workbookViewId="0">
      <pane ySplit="1" topLeftCell="A2" activePane="bottomLeft" state="frozen"/>
      <selection activeCell="B29" sqref="B29"/>
      <selection pane="bottomLeft"/>
    </sheetView>
  </sheetViews>
  <sheetFormatPr defaultColWidth="9" defaultRowHeight="14" x14ac:dyDescent="0.3"/>
  <cols>
    <col min="1" max="1" width="71" style="286" bestFit="1" customWidth="1"/>
    <col min="2" max="3" width="19.26953125" style="286" customWidth="1"/>
    <col min="4" max="4" width="18.453125" style="286" customWidth="1"/>
    <col min="5" max="5" width="19.54296875" style="286" customWidth="1"/>
    <col min="6" max="7" width="9" style="286"/>
    <col min="8" max="8" width="10.54296875" style="286" customWidth="1"/>
    <col min="9" max="16384" width="9" style="286"/>
  </cols>
  <sheetData>
    <row r="1" spans="1:5" s="285" customFormat="1" x14ac:dyDescent="0.3">
      <c r="A1" s="289" t="s">
        <v>1436</v>
      </c>
      <c r="B1" s="290" t="s">
        <v>1437</v>
      </c>
      <c r="C1" s="290" t="s">
        <v>1438</v>
      </c>
      <c r="D1" s="290" t="s">
        <v>1439</v>
      </c>
      <c r="E1" s="290" t="s">
        <v>1440</v>
      </c>
    </row>
    <row r="2" spans="1:5" x14ac:dyDescent="0.3">
      <c r="A2" s="287" t="s">
        <v>1441</v>
      </c>
      <c r="B2" s="288" t="s">
        <v>1442</v>
      </c>
      <c r="C2" s="288" t="s">
        <v>1443</v>
      </c>
      <c r="D2" s="288">
        <v>112314</v>
      </c>
      <c r="E2" s="288">
        <v>10000055</v>
      </c>
    </row>
    <row r="3" spans="1:5" x14ac:dyDescent="0.3">
      <c r="A3" s="287" t="s">
        <v>1444</v>
      </c>
      <c r="B3" s="288" t="s">
        <v>1442</v>
      </c>
      <c r="C3" s="288" t="s">
        <v>1445</v>
      </c>
      <c r="D3" s="288">
        <v>116105</v>
      </c>
      <c r="E3" s="288">
        <v>10004927</v>
      </c>
    </row>
    <row r="4" spans="1:5" x14ac:dyDescent="0.3">
      <c r="A4" s="287" t="s">
        <v>1446</v>
      </c>
      <c r="B4" s="288" t="s">
        <v>1442</v>
      </c>
      <c r="C4" s="288" t="s">
        <v>1447</v>
      </c>
      <c r="D4" s="288">
        <v>134707</v>
      </c>
      <c r="E4" s="288">
        <v>10057981</v>
      </c>
    </row>
    <row r="5" spans="1:5" x14ac:dyDescent="0.3">
      <c r="A5" s="287" t="s">
        <v>1448</v>
      </c>
      <c r="B5" s="288" t="s">
        <v>1449</v>
      </c>
      <c r="C5" s="288" t="s">
        <v>1450</v>
      </c>
      <c r="D5" s="288">
        <v>108372</v>
      </c>
      <c r="E5" s="288">
        <v>10000330</v>
      </c>
    </row>
    <row r="6" spans="1:5" x14ac:dyDescent="0.3">
      <c r="A6" s="287" t="s">
        <v>1451</v>
      </c>
      <c r="B6" s="288" t="s">
        <v>1452</v>
      </c>
      <c r="C6" s="288" t="s">
        <v>1453</v>
      </c>
      <c r="D6" s="288">
        <v>105948</v>
      </c>
      <c r="E6" s="288">
        <v>10000415</v>
      </c>
    </row>
    <row r="7" spans="1:5" x14ac:dyDescent="0.3">
      <c r="A7" s="287" t="s">
        <v>1454</v>
      </c>
      <c r="B7" s="288" t="s">
        <v>1442</v>
      </c>
      <c r="C7" s="288" t="s">
        <v>1455</v>
      </c>
      <c r="D7" s="288">
        <v>108983</v>
      </c>
      <c r="E7" s="288">
        <v>10000473</v>
      </c>
    </row>
    <row r="8" spans="1:5" x14ac:dyDescent="0.3">
      <c r="A8" s="287" t="s">
        <v>1456</v>
      </c>
      <c r="B8" s="288" t="s">
        <v>1442</v>
      </c>
      <c r="C8" s="288" t="s">
        <v>1457</v>
      </c>
      <c r="D8" s="288">
        <v>106542</v>
      </c>
      <c r="E8" s="288">
        <v>10000528</v>
      </c>
    </row>
    <row r="9" spans="1:5" x14ac:dyDescent="0.3">
      <c r="A9" s="287" t="s">
        <v>1458</v>
      </c>
      <c r="B9" s="288" t="s">
        <v>1442</v>
      </c>
      <c r="C9" s="288" t="s">
        <v>1459</v>
      </c>
      <c r="D9" s="288">
        <v>108532</v>
      </c>
      <c r="E9" s="288">
        <v>10000533</v>
      </c>
    </row>
    <row r="10" spans="1:5" x14ac:dyDescent="0.3">
      <c r="A10" s="287" t="s">
        <v>1460</v>
      </c>
      <c r="B10" s="288" t="s">
        <v>1461</v>
      </c>
      <c r="C10" s="288" t="s">
        <v>1462</v>
      </c>
      <c r="D10" s="288">
        <v>107013</v>
      </c>
      <c r="E10" s="288">
        <v>10000536</v>
      </c>
    </row>
    <row r="11" spans="1:5" x14ac:dyDescent="0.3">
      <c r="A11" s="287" t="s">
        <v>1463</v>
      </c>
      <c r="B11" s="288" t="s">
        <v>1449</v>
      </c>
      <c r="C11" s="288" t="s">
        <v>1464</v>
      </c>
      <c r="D11" s="288">
        <v>108437</v>
      </c>
      <c r="E11" s="288">
        <v>10000552</v>
      </c>
    </row>
    <row r="12" spans="1:5" x14ac:dyDescent="0.3">
      <c r="A12" s="287" t="s">
        <v>1465</v>
      </c>
      <c r="B12" s="288" t="s">
        <v>1442</v>
      </c>
      <c r="C12" s="288" t="s">
        <v>1466</v>
      </c>
      <c r="D12" s="288">
        <v>106596</v>
      </c>
      <c r="E12" s="288">
        <v>10000560</v>
      </c>
    </row>
    <row r="13" spans="1:5" x14ac:dyDescent="0.3">
      <c r="A13" s="287" t="s">
        <v>1467</v>
      </c>
      <c r="B13" s="288" t="s">
        <v>1442</v>
      </c>
      <c r="C13" s="288" t="s">
        <v>1468</v>
      </c>
      <c r="D13" s="288">
        <v>105154</v>
      </c>
      <c r="E13" s="288">
        <v>10001465</v>
      </c>
    </row>
    <row r="14" spans="1:5" x14ac:dyDescent="0.3">
      <c r="A14" s="287" t="s">
        <v>1469</v>
      </c>
      <c r="B14" s="288" t="s">
        <v>1442</v>
      </c>
      <c r="C14" s="288" t="s">
        <v>1470</v>
      </c>
      <c r="D14" s="288">
        <v>106319</v>
      </c>
      <c r="E14" s="288">
        <v>10000610</v>
      </c>
    </row>
    <row r="15" spans="1:5" x14ac:dyDescent="0.3">
      <c r="A15" s="287" t="s">
        <v>1471</v>
      </c>
      <c r="B15" s="288" t="s">
        <v>1449</v>
      </c>
      <c r="C15" s="288" t="s">
        <v>1472</v>
      </c>
      <c r="D15" s="288">
        <v>108435</v>
      </c>
      <c r="E15" s="288">
        <v>10000670</v>
      </c>
    </row>
    <row r="16" spans="1:5" x14ac:dyDescent="0.3">
      <c r="A16" s="287" t="s">
        <v>1473</v>
      </c>
      <c r="B16" s="288" t="s">
        <v>1442</v>
      </c>
      <c r="C16" s="288" t="s">
        <v>1474</v>
      </c>
      <c r="D16" s="288">
        <v>106368</v>
      </c>
      <c r="E16" s="288">
        <v>10006442</v>
      </c>
    </row>
    <row r="17" spans="1:5" x14ac:dyDescent="0.3">
      <c r="A17" s="287" t="s">
        <v>1475</v>
      </c>
      <c r="B17" s="288" t="s">
        <v>1442</v>
      </c>
      <c r="C17" s="288" t="s">
        <v>1476</v>
      </c>
      <c r="D17" s="288">
        <v>108530</v>
      </c>
      <c r="E17" s="288">
        <v>10000720</v>
      </c>
    </row>
    <row r="18" spans="1:5" x14ac:dyDescent="0.3">
      <c r="A18" s="287" t="s">
        <v>1477</v>
      </c>
      <c r="B18" s="288" t="s">
        <v>1452</v>
      </c>
      <c r="C18" s="288" t="s">
        <v>1478</v>
      </c>
      <c r="D18" s="288">
        <v>105582</v>
      </c>
      <c r="E18" s="288">
        <v>10000721</v>
      </c>
    </row>
    <row r="19" spans="1:5" x14ac:dyDescent="0.3">
      <c r="A19" s="287" t="s">
        <v>1479</v>
      </c>
      <c r="B19" s="288" t="s">
        <v>1442</v>
      </c>
      <c r="C19" s="288" t="s">
        <v>1480</v>
      </c>
      <c r="D19" s="288">
        <v>106749</v>
      </c>
      <c r="E19" s="288">
        <v>10000747</v>
      </c>
    </row>
    <row r="20" spans="1:5" x14ac:dyDescent="0.3">
      <c r="A20" s="287" t="s">
        <v>1481</v>
      </c>
      <c r="B20" s="288" t="s">
        <v>1442</v>
      </c>
      <c r="C20" s="288" t="s">
        <v>1482</v>
      </c>
      <c r="D20" s="288">
        <v>108529</v>
      </c>
      <c r="E20" s="288">
        <v>10000754</v>
      </c>
    </row>
    <row r="21" spans="1:5" x14ac:dyDescent="0.3">
      <c r="A21" s="287" t="s">
        <v>1483</v>
      </c>
      <c r="B21" s="288" t="s">
        <v>1484</v>
      </c>
      <c r="C21" s="288" t="s">
        <v>1485</v>
      </c>
      <c r="D21" s="288">
        <v>106815</v>
      </c>
      <c r="E21" s="288">
        <v>10000794</v>
      </c>
    </row>
    <row r="22" spans="1:5" x14ac:dyDescent="0.3">
      <c r="A22" s="287" t="s">
        <v>1486</v>
      </c>
      <c r="B22" s="288" t="s">
        <v>1449</v>
      </c>
      <c r="C22" s="288" t="s">
        <v>1487</v>
      </c>
      <c r="D22" s="288">
        <v>108320</v>
      </c>
      <c r="E22" s="288">
        <v>10000796</v>
      </c>
    </row>
    <row r="23" spans="1:5" x14ac:dyDescent="0.3">
      <c r="A23" s="287" t="s">
        <v>1488</v>
      </c>
      <c r="B23" s="288" t="s">
        <v>1442</v>
      </c>
      <c r="C23" s="288" t="s">
        <v>1489</v>
      </c>
      <c r="D23" s="288">
        <v>107641</v>
      </c>
      <c r="E23" s="288">
        <v>10000812</v>
      </c>
    </row>
    <row r="24" spans="1:5" x14ac:dyDescent="0.3">
      <c r="A24" s="287" t="s">
        <v>1490</v>
      </c>
      <c r="B24" s="288" t="s">
        <v>1442</v>
      </c>
      <c r="C24" s="288" t="s">
        <v>1491</v>
      </c>
      <c r="D24" s="288">
        <v>106532</v>
      </c>
      <c r="E24" s="288">
        <v>10000820</v>
      </c>
    </row>
    <row r="25" spans="1:5" x14ac:dyDescent="0.3">
      <c r="A25" s="287" t="s">
        <v>1492</v>
      </c>
      <c r="B25" s="288" t="s">
        <v>1442</v>
      </c>
      <c r="C25" s="288" t="s">
        <v>1493</v>
      </c>
      <c r="D25" s="288">
        <v>108311</v>
      </c>
      <c r="E25" s="288">
        <v>10000840</v>
      </c>
    </row>
    <row r="26" spans="1:5" x14ac:dyDescent="0.3">
      <c r="A26" s="287" t="s">
        <v>1494</v>
      </c>
      <c r="B26" s="288" t="s">
        <v>1461</v>
      </c>
      <c r="C26" s="288" t="s">
        <v>1495</v>
      </c>
      <c r="D26" s="288">
        <v>107531</v>
      </c>
      <c r="E26" s="288">
        <v>10000878</v>
      </c>
    </row>
    <row r="27" spans="1:5" x14ac:dyDescent="0.3">
      <c r="A27" s="287" t="s">
        <v>1496</v>
      </c>
      <c r="B27" s="288" t="s">
        <v>1449</v>
      </c>
      <c r="C27" s="288" t="s">
        <v>1497</v>
      </c>
      <c r="D27" s="288">
        <v>108432</v>
      </c>
      <c r="E27" s="288">
        <v>10000887</v>
      </c>
    </row>
    <row r="28" spans="1:5" x14ac:dyDescent="0.3">
      <c r="A28" s="287" t="s">
        <v>1498</v>
      </c>
      <c r="B28" s="288" t="s">
        <v>1461</v>
      </c>
      <c r="C28" s="288" t="s">
        <v>1499</v>
      </c>
      <c r="D28" s="288">
        <v>108468</v>
      </c>
      <c r="E28" s="288">
        <v>10000944</v>
      </c>
    </row>
    <row r="29" spans="1:5" x14ac:dyDescent="0.3">
      <c r="A29" s="287" t="s">
        <v>1500</v>
      </c>
      <c r="B29" s="288" t="s">
        <v>1442</v>
      </c>
      <c r="C29" s="288" t="s">
        <v>1501</v>
      </c>
      <c r="D29" s="288">
        <v>107906</v>
      </c>
      <c r="E29" s="288">
        <v>10000950</v>
      </c>
    </row>
    <row r="30" spans="1:5" x14ac:dyDescent="0.3">
      <c r="A30" s="287" t="s">
        <v>1502</v>
      </c>
      <c r="B30" s="288" t="s">
        <v>1442</v>
      </c>
      <c r="C30" s="288" t="s">
        <v>1503</v>
      </c>
      <c r="D30" s="288">
        <v>106751</v>
      </c>
      <c r="E30" s="288">
        <v>10001000</v>
      </c>
    </row>
    <row r="31" spans="1:5" x14ac:dyDescent="0.3">
      <c r="A31" s="287" t="s">
        <v>1504</v>
      </c>
      <c r="B31" s="288" t="s">
        <v>1442</v>
      </c>
      <c r="C31" s="288" t="s">
        <v>1505</v>
      </c>
      <c r="D31" s="288">
        <v>105347</v>
      </c>
      <c r="E31" s="288">
        <v>10001004</v>
      </c>
    </row>
    <row r="32" spans="1:5" x14ac:dyDescent="0.3">
      <c r="A32" s="287" t="s">
        <v>1506</v>
      </c>
      <c r="B32" s="288" t="s">
        <v>1461</v>
      </c>
      <c r="C32" s="288" t="s">
        <v>1507</v>
      </c>
      <c r="D32" s="288">
        <v>105763</v>
      </c>
      <c r="E32" s="288">
        <v>10001005</v>
      </c>
    </row>
    <row r="33" spans="1:5" x14ac:dyDescent="0.3">
      <c r="A33" s="287" t="s">
        <v>1508</v>
      </c>
      <c r="B33" s="288" t="s">
        <v>1442</v>
      </c>
      <c r="C33" s="288" t="s">
        <v>1509</v>
      </c>
      <c r="D33" s="288">
        <v>108325</v>
      </c>
      <c r="E33" s="288">
        <v>10001093</v>
      </c>
    </row>
    <row r="34" spans="1:5" x14ac:dyDescent="0.3">
      <c r="A34" s="287" t="s">
        <v>1510</v>
      </c>
      <c r="B34" s="288" t="s">
        <v>1442</v>
      </c>
      <c r="C34" s="288" t="s">
        <v>1511</v>
      </c>
      <c r="D34" s="288">
        <v>108527</v>
      </c>
      <c r="E34" s="288">
        <v>10001116</v>
      </c>
    </row>
    <row r="35" spans="1:5" x14ac:dyDescent="0.3">
      <c r="A35" s="287" t="s">
        <v>1512</v>
      </c>
      <c r="B35" s="288" t="s">
        <v>1452</v>
      </c>
      <c r="C35" s="288" t="s">
        <v>1513</v>
      </c>
      <c r="D35" s="288">
        <v>108318</v>
      </c>
      <c r="E35" s="288">
        <v>10001148</v>
      </c>
    </row>
    <row r="36" spans="1:5" x14ac:dyDescent="0.3">
      <c r="A36" s="287" t="s">
        <v>2012</v>
      </c>
      <c r="B36" s="288" t="s">
        <v>1442</v>
      </c>
      <c r="C36" s="288" t="s">
        <v>1817</v>
      </c>
      <c r="D36" s="288">
        <v>105653</v>
      </c>
      <c r="E36" s="288">
        <v>10007455</v>
      </c>
    </row>
    <row r="37" spans="1:5" x14ac:dyDescent="0.3">
      <c r="A37" s="287" t="s">
        <v>1514</v>
      </c>
      <c r="B37" s="288" t="s">
        <v>1449</v>
      </c>
      <c r="C37" s="288" t="s">
        <v>1515</v>
      </c>
      <c r="D37" s="288">
        <v>108371</v>
      </c>
      <c r="E37" s="288">
        <v>10001165</v>
      </c>
    </row>
    <row r="38" spans="1:5" x14ac:dyDescent="0.3">
      <c r="A38" s="287" t="s">
        <v>1516</v>
      </c>
      <c r="B38" s="288" t="s">
        <v>1449</v>
      </c>
      <c r="C38" s="288" t="s">
        <v>1517</v>
      </c>
      <c r="D38" s="288">
        <v>108370</v>
      </c>
      <c r="E38" s="288">
        <v>10001201</v>
      </c>
    </row>
    <row r="39" spans="1:5" x14ac:dyDescent="0.3">
      <c r="A39" s="287" t="s">
        <v>1518</v>
      </c>
      <c r="B39" s="288" t="s">
        <v>1442</v>
      </c>
      <c r="C39" s="288" t="s">
        <v>1519</v>
      </c>
      <c r="D39" s="288">
        <v>106563</v>
      </c>
      <c r="E39" s="288">
        <v>10001353</v>
      </c>
    </row>
    <row r="40" spans="1:5" x14ac:dyDescent="0.3">
      <c r="A40" s="287" t="s">
        <v>1520</v>
      </c>
      <c r="B40" s="288" t="s">
        <v>1461</v>
      </c>
      <c r="C40" s="288" t="s">
        <v>1521</v>
      </c>
      <c r="D40" s="288">
        <v>108444</v>
      </c>
      <c r="E40" s="288">
        <v>10005972</v>
      </c>
    </row>
    <row r="41" spans="1:5" x14ac:dyDescent="0.3">
      <c r="A41" s="287" t="s">
        <v>1522</v>
      </c>
      <c r="B41" s="288" t="s">
        <v>1442</v>
      </c>
      <c r="C41" s="288" t="s">
        <v>1523</v>
      </c>
      <c r="D41" s="288">
        <v>105367</v>
      </c>
      <c r="E41" s="288">
        <v>10001378</v>
      </c>
    </row>
    <row r="42" spans="1:5" x14ac:dyDescent="0.3">
      <c r="A42" s="287" t="s">
        <v>1524</v>
      </c>
      <c r="B42" s="288" t="s">
        <v>1442</v>
      </c>
      <c r="C42" s="288" t="s">
        <v>1525</v>
      </c>
      <c r="D42" s="288">
        <v>107513</v>
      </c>
      <c r="E42" s="288">
        <v>10007817</v>
      </c>
    </row>
    <row r="43" spans="1:5" x14ac:dyDescent="0.3">
      <c r="A43" s="287" t="s">
        <v>1526</v>
      </c>
      <c r="B43" s="288" t="s">
        <v>1449</v>
      </c>
      <c r="C43" s="288" t="s">
        <v>1527</v>
      </c>
      <c r="D43" s="288">
        <v>108369</v>
      </c>
      <c r="E43" s="288">
        <v>10001416</v>
      </c>
    </row>
    <row r="44" spans="1:5" x14ac:dyDescent="0.3">
      <c r="A44" s="287" t="s">
        <v>1528</v>
      </c>
      <c r="B44" s="288" t="s">
        <v>1449</v>
      </c>
      <c r="C44" s="288" t="s">
        <v>1529</v>
      </c>
      <c r="D44" s="288">
        <v>106582</v>
      </c>
      <c r="E44" s="288">
        <v>10001446</v>
      </c>
    </row>
    <row r="45" spans="1:5" x14ac:dyDescent="0.3">
      <c r="A45" s="287" t="s">
        <v>1530</v>
      </c>
      <c r="B45" s="288" t="s">
        <v>1442</v>
      </c>
      <c r="C45" s="288" t="s">
        <v>1531</v>
      </c>
      <c r="D45" s="288">
        <v>106947</v>
      </c>
      <c r="E45" s="288">
        <v>10004772</v>
      </c>
    </row>
    <row r="46" spans="1:5" x14ac:dyDescent="0.3">
      <c r="A46" s="287" t="s">
        <v>1532</v>
      </c>
      <c r="B46" s="288" t="s">
        <v>1442</v>
      </c>
      <c r="C46" s="288" t="s">
        <v>1533</v>
      </c>
      <c r="D46" s="288">
        <v>108499</v>
      </c>
      <c r="E46" s="288">
        <v>10005128</v>
      </c>
    </row>
    <row r="47" spans="1:5" x14ac:dyDescent="0.3">
      <c r="A47" s="287" t="s">
        <v>1534</v>
      </c>
      <c r="B47" s="288" t="s">
        <v>1442</v>
      </c>
      <c r="C47" s="288" t="s">
        <v>1535</v>
      </c>
      <c r="D47" s="288">
        <v>105156</v>
      </c>
      <c r="E47" s="288">
        <v>10001467</v>
      </c>
    </row>
    <row r="48" spans="1:5" x14ac:dyDescent="0.3">
      <c r="A48" s="287" t="s">
        <v>1536</v>
      </c>
      <c r="B48" s="288" t="s">
        <v>1442</v>
      </c>
      <c r="C48" s="288" t="s">
        <v>1537</v>
      </c>
      <c r="D48" s="288">
        <v>110218</v>
      </c>
      <c r="E48" s="288">
        <v>10007945</v>
      </c>
    </row>
    <row r="49" spans="1:5" x14ac:dyDescent="0.3">
      <c r="A49" s="287" t="s">
        <v>1538</v>
      </c>
      <c r="B49" s="288" t="s">
        <v>1442</v>
      </c>
      <c r="C49" s="288" t="s">
        <v>1539</v>
      </c>
      <c r="D49" s="288">
        <v>107096</v>
      </c>
      <c r="E49" s="288">
        <v>10001475</v>
      </c>
    </row>
    <row r="50" spans="1:5" x14ac:dyDescent="0.3">
      <c r="A50" s="287" t="s">
        <v>1540</v>
      </c>
      <c r="B50" s="288" t="s">
        <v>1442</v>
      </c>
      <c r="C50" s="288" t="s">
        <v>1541</v>
      </c>
      <c r="D50" s="288">
        <v>106388</v>
      </c>
      <c r="E50" s="288">
        <v>10007578</v>
      </c>
    </row>
    <row r="51" spans="1:5" x14ac:dyDescent="0.3">
      <c r="A51" s="287" t="s">
        <v>1542</v>
      </c>
      <c r="B51" s="288" t="s">
        <v>1442</v>
      </c>
      <c r="C51" s="288" t="s">
        <v>1543</v>
      </c>
      <c r="D51" s="288">
        <v>106564</v>
      </c>
      <c r="E51" s="288">
        <v>10001535</v>
      </c>
    </row>
    <row r="52" spans="1:5" x14ac:dyDescent="0.3">
      <c r="A52" s="287" t="s">
        <v>1544</v>
      </c>
      <c r="B52" s="288" t="s">
        <v>1442</v>
      </c>
      <c r="C52" s="288" t="s">
        <v>1545</v>
      </c>
      <c r="D52" s="288">
        <v>106490</v>
      </c>
      <c r="E52" s="288">
        <v>10001696</v>
      </c>
    </row>
    <row r="53" spans="1:5" x14ac:dyDescent="0.3">
      <c r="A53" s="287" t="s">
        <v>1546</v>
      </c>
      <c r="B53" s="288" t="s">
        <v>1442</v>
      </c>
      <c r="C53" s="288" t="s">
        <v>1547</v>
      </c>
      <c r="D53" s="288">
        <v>106441</v>
      </c>
      <c r="E53" s="288">
        <v>10003010</v>
      </c>
    </row>
    <row r="54" spans="1:5" x14ac:dyDescent="0.3">
      <c r="A54" s="287" t="s">
        <v>1548</v>
      </c>
      <c r="B54" s="288" t="s">
        <v>1442</v>
      </c>
      <c r="C54" s="288" t="s">
        <v>1549</v>
      </c>
      <c r="D54" s="288">
        <v>107552</v>
      </c>
      <c r="E54" s="288">
        <v>10001743</v>
      </c>
    </row>
    <row r="55" spans="1:5" x14ac:dyDescent="0.3">
      <c r="A55" s="287" t="s">
        <v>1550</v>
      </c>
      <c r="B55" s="288" t="s">
        <v>1442</v>
      </c>
      <c r="C55" s="288" t="s">
        <v>1551</v>
      </c>
      <c r="D55" s="288">
        <v>105714</v>
      </c>
      <c r="E55" s="288">
        <v>10001778</v>
      </c>
    </row>
    <row r="56" spans="1:5" x14ac:dyDescent="0.3">
      <c r="A56" s="287" t="s">
        <v>1552</v>
      </c>
      <c r="B56" s="288" t="s">
        <v>1442</v>
      </c>
      <c r="C56" s="288" t="s">
        <v>1553</v>
      </c>
      <c r="D56" s="288">
        <v>105941</v>
      </c>
      <c r="E56" s="288">
        <v>10001850</v>
      </c>
    </row>
    <row r="57" spans="1:5" x14ac:dyDescent="0.3">
      <c r="A57" s="287" t="s">
        <v>1554</v>
      </c>
      <c r="B57" s="288" t="s">
        <v>1442</v>
      </c>
      <c r="C57" s="288" t="s">
        <v>1555</v>
      </c>
      <c r="D57" s="288">
        <v>112173</v>
      </c>
      <c r="E57" s="288">
        <v>10001919</v>
      </c>
    </row>
    <row r="58" spans="1:5" x14ac:dyDescent="0.3">
      <c r="A58" s="287" t="s">
        <v>1556</v>
      </c>
      <c r="B58" s="288" t="s">
        <v>1461</v>
      </c>
      <c r="C58" s="288" t="s">
        <v>1557</v>
      </c>
      <c r="D58" s="288">
        <v>108464</v>
      </c>
      <c r="E58" s="288">
        <v>10001934</v>
      </c>
    </row>
    <row r="59" spans="1:5" x14ac:dyDescent="0.3">
      <c r="A59" s="287" t="s">
        <v>1558</v>
      </c>
      <c r="B59" s="288" t="s">
        <v>1442</v>
      </c>
      <c r="C59" s="288" t="s">
        <v>1559</v>
      </c>
      <c r="D59" s="288">
        <v>106706</v>
      </c>
      <c r="E59" s="288">
        <v>10004695</v>
      </c>
    </row>
    <row r="60" spans="1:5" x14ac:dyDescent="0.3">
      <c r="A60" s="287" t="s">
        <v>1560</v>
      </c>
      <c r="B60" s="288" t="s">
        <v>1442</v>
      </c>
      <c r="C60" s="288" t="s">
        <v>1561</v>
      </c>
      <c r="D60" s="288">
        <v>106374</v>
      </c>
      <c r="E60" s="288">
        <v>10007924</v>
      </c>
    </row>
    <row r="61" spans="1:5" x14ac:dyDescent="0.3">
      <c r="A61" s="287" t="s">
        <v>1562</v>
      </c>
      <c r="B61" s="288" t="s">
        <v>1442</v>
      </c>
      <c r="C61" s="288" t="s">
        <v>1563</v>
      </c>
      <c r="D61" s="288">
        <v>106809</v>
      </c>
      <c r="E61" s="288">
        <v>10002094</v>
      </c>
    </row>
    <row r="62" spans="1:5" x14ac:dyDescent="0.3">
      <c r="A62" s="287" t="s">
        <v>1564</v>
      </c>
      <c r="B62" s="288" t="s">
        <v>1442</v>
      </c>
      <c r="C62" s="288" t="s">
        <v>1565</v>
      </c>
      <c r="D62" s="288">
        <v>107462</v>
      </c>
      <c r="E62" s="288">
        <v>10004116</v>
      </c>
    </row>
    <row r="63" spans="1:5" x14ac:dyDescent="0.3">
      <c r="A63" s="287" t="s">
        <v>1566</v>
      </c>
      <c r="B63" s="288" t="s">
        <v>1442</v>
      </c>
      <c r="C63" s="288" t="s">
        <v>1567</v>
      </c>
      <c r="D63" s="288">
        <v>108659</v>
      </c>
      <c r="E63" s="288">
        <v>10002111</v>
      </c>
    </row>
    <row r="64" spans="1:5" x14ac:dyDescent="0.3">
      <c r="A64" s="287" t="s">
        <v>1568</v>
      </c>
      <c r="B64" s="288" t="s">
        <v>1442</v>
      </c>
      <c r="C64" s="288" t="s">
        <v>1569</v>
      </c>
      <c r="D64" s="288">
        <v>110214</v>
      </c>
      <c r="E64" s="288">
        <v>10002130</v>
      </c>
    </row>
    <row r="65" spans="1:5" x14ac:dyDescent="0.3">
      <c r="A65" s="287" t="s">
        <v>1570</v>
      </c>
      <c r="B65" s="288" t="s">
        <v>1442</v>
      </c>
      <c r="C65" s="288" t="s">
        <v>1571</v>
      </c>
      <c r="D65" s="288">
        <v>107520</v>
      </c>
      <c r="E65" s="288">
        <v>10002923</v>
      </c>
    </row>
    <row r="66" spans="1:5" x14ac:dyDescent="0.3">
      <c r="A66" s="287" t="s">
        <v>1572</v>
      </c>
      <c r="B66" s="288" t="s">
        <v>1442</v>
      </c>
      <c r="C66" s="288" t="s">
        <v>1573</v>
      </c>
      <c r="D66" s="288">
        <v>106743</v>
      </c>
      <c r="E66" s="288">
        <v>10006570</v>
      </c>
    </row>
    <row r="67" spans="1:5" x14ac:dyDescent="0.3">
      <c r="A67" s="287" t="s">
        <v>1574</v>
      </c>
      <c r="B67" s="288" t="s">
        <v>1461</v>
      </c>
      <c r="C67" s="288" t="s">
        <v>1575</v>
      </c>
      <c r="D67" s="288">
        <v>108460</v>
      </c>
      <c r="E67" s="288">
        <v>10002370</v>
      </c>
    </row>
    <row r="68" spans="1:5" x14ac:dyDescent="0.3">
      <c r="A68" s="287" t="s">
        <v>1577</v>
      </c>
      <c r="B68" s="288" t="s">
        <v>1442</v>
      </c>
      <c r="C68" s="288" t="s">
        <v>1578</v>
      </c>
      <c r="D68" s="288">
        <v>106602</v>
      </c>
      <c r="E68" s="288">
        <v>10002412</v>
      </c>
    </row>
    <row r="69" spans="1:5" x14ac:dyDescent="0.3">
      <c r="A69" s="287" t="s">
        <v>1579</v>
      </c>
      <c r="B69" s="288" t="s">
        <v>1484</v>
      </c>
      <c r="C69" s="288" t="s">
        <v>1580</v>
      </c>
      <c r="D69" s="288">
        <v>108354</v>
      </c>
      <c r="E69" s="288">
        <v>10008641</v>
      </c>
    </row>
    <row r="70" spans="1:5" x14ac:dyDescent="0.3">
      <c r="A70" s="287" t="s">
        <v>1581</v>
      </c>
      <c r="B70" s="288" t="s">
        <v>1449</v>
      </c>
      <c r="C70" s="288" t="s">
        <v>1582</v>
      </c>
      <c r="D70" s="288">
        <v>108335</v>
      </c>
      <c r="E70" s="288">
        <v>10002570</v>
      </c>
    </row>
    <row r="71" spans="1:5" x14ac:dyDescent="0.3">
      <c r="A71" s="287" t="s">
        <v>1583</v>
      </c>
      <c r="B71" s="288" t="s">
        <v>1442</v>
      </c>
      <c r="C71" s="288" t="s">
        <v>1584</v>
      </c>
      <c r="D71" s="288">
        <v>106457</v>
      </c>
      <c r="E71" s="288">
        <v>10002599</v>
      </c>
    </row>
    <row r="72" spans="1:5" x14ac:dyDescent="0.3">
      <c r="A72" s="287" t="s">
        <v>1585</v>
      </c>
      <c r="B72" s="288" t="s">
        <v>1461</v>
      </c>
      <c r="C72" s="288" t="s">
        <v>1586</v>
      </c>
      <c r="D72" s="288">
        <v>108458</v>
      </c>
      <c r="E72" s="288">
        <v>10002638</v>
      </c>
    </row>
    <row r="73" spans="1:5" x14ac:dyDescent="0.3">
      <c r="A73" s="287" t="s">
        <v>1587</v>
      </c>
      <c r="B73" s="288" t="s">
        <v>1442</v>
      </c>
      <c r="C73" s="288" t="s">
        <v>1588</v>
      </c>
      <c r="D73" s="288">
        <v>106583</v>
      </c>
      <c r="E73" s="288">
        <v>10002696</v>
      </c>
    </row>
    <row r="74" spans="1:5" x14ac:dyDescent="0.3">
      <c r="A74" s="441" t="s">
        <v>1589</v>
      </c>
      <c r="B74" s="442" t="s">
        <v>1442</v>
      </c>
      <c r="C74" s="442" t="s">
        <v>1590</v>
      </c>
      <c r="D74" s="442">
        <v>110215</v>
      </c>
      <c r="E74" s="442">
        <v>10002743</v>
      </c>
    </row>
    <row r="75" spans="1:5" x14ac:dyDescent="0.3">
      <c r="A75" s="287" t="s">
        <v>1591</v>
      </c>
      <c r="B75" s="288" t="s">
        <v>1449</v>
      </c>
      <c r="C75" s="288" t="s">
        <v>1592</v>
      </c>
      <c r="D75" s="288">
        <v>108424</v>
      </c>
      <c r="E75" s="288">
        <v>10002770</v>
      </c>
    </row>
    <row r="76" spans="1:5" x14ac:dyDescent="0.3">
      <c r="A76" s="287" t="s">
        <v>1593</v>
      </c>
      <c r="B76" s="288" t="s">
        <v>1461</v>
      </c>
      <c r="C76" s="288" t="s">
        <v>1594</v>
      </c>
      <c r="D76" s="288">
        <v>108457</v>
      </c>
      <c r="E76" s="288">
        <v>10002852</v>
      </c>
    </row>
    <row r="77" spans="1:5" x14ac:dyDescent="0.3">
      <c r="A77" s="441" t="s">
        <v>1595</v>
      </c>
      <c r="B77" s="442" t="s">
        <v>1461</v>
      </c>
      <c r="C77" s="442" t="s">
        <v>1596</v>
      </c>
      <c r="D77" s="442">
        <v>105486</v>
      </c>
      <c r="E77" s="442">
        <v>10002899</v>
      </c>
    </row>
    <row r="78" spans="1:5" x14ac:dyDescent="0.3">
      <c r="A78" s="287" t="s">
        <v>1597</v>
      </c>
      <c r="B78" s="288" t="s">
        <v>1442</v>
      </c>
      <c r="C78" s="288" t="s">
        <v>1598</v>
      </c>
      <c r="D78" s="288">
        <v>107069</v>
      </c>
      <c r="E78" s="288">
        <v>10002917</v>
      </c>
    </row>
    <row r="79" spans="1:5" x14ac:dyDescent="0.3">
      <c r="A79" s="287" t="s">
        <v>1599</v>
      </c>
      <c r="B79" s="288" t="s">
        <v>1484</v>
      </c>
      <c r="C79" s="288" t="s">
        <v>1600</v>
      </c>
      <c r="D79" s="288">
        <v>141301</v>
      </c>
      <c r="E79" s="288">
        <v>10080810</v>
      </c>
    </row>
    <row r="80" spans="1:5" x14ac:dyDescent="0.3">
      <c r="A80" s="287" t="s">
        <v>1601</v>
      </c>
      <c r="B80" s="288" t="s">
        <v>1442</v>
      </c>
      <c r="C80" s="288" t="s">
        <v>1602</v>
      </c>
      <c r="D80" s="288">
        <v>108488</v>
      </c>
      <c r="E80" s="288">
        <v>10005979</v>
      </c>
    </row>
    <row r="81" spans="1:5" x14ac:dyDescent="0.3">
      <c r="A81" s="287" t="s">
        <v>1603</v>
      </c>
      <c r="B81" s="288" t="s">
        <v>1442</v>
      </c>
      <c r="C81" s="288" t="s">
        <v>1604</v>
      </c>
      <c r="D81" s="288">
        <v>106641</v>
      </c>
      <c r="E81" s="288">
        <v>10007977</v>
      </c>
    </row>
    <row r="82" spans="1:5" x14ac:dyDescent="0.3">
      <c r="A82" s="287" t="s">
        <v>1605</v>
      </c>
      <c r="B82" s="288" t="s">
        <v>1461</v>
      </c>
      <c r="C82" s="288" t="s">
        <v>1606</v>
      </c>
      <c r="D82" s="288">
        <v>108440</v>
      </c>
      <c r="E82" s="288">
        <v>10007289</v>
      </c>
    </row>
    <row r="83" spans="1:5" x14ac:dyDescent="0.3">
      <c r="A83" s="287" t="s">
        <v>1607</v>
      </c>
      <c r="B83" s="288" t="s">
        <v>1608</v>
      </c>
      <c r="C83" s="288" t="s">
        <v>1609</v>
      </c>
      <c r="D83" s="288">
        <v>108535</v>
      </c>
      <c r="E83" s="288">
        <v>10003022</v>
      </c>
    </row>
    <row r="84" spans="1:5" x14ac:dyDescent="0.3">
      <c r="A84" s="287" t="s">
        <v>1610</v>
      </c>
      <c r="B84" s="288" t="s">
        <v>1442</v>
      </c>
      <c r="C84" s="288" t="s">
        <v>1611</v>
      </c>
      <c r="D84" s="288">
        <v>106633</v>
      </c>
      <c r="E84" s="288">
        <v>10003023</v>
      </c>
    </row>
    <row r="85" spans="1:5" x14ac:dyDescent="0.3">
      <c r="A85" s="287" t="s">
        <v>1612</v>
      </c>
      <c r="B85" s="288" t="s">
        <v>1442</v>
      </c>
      <c r="C85" s="288" t="s">
        <v>1613</v>
      </c>
      <c r="D85" s="288">
        <v>108472</v>
      </c>
      <c r="E85" s="288">
        <v>10003029</v>
      </c>
    </row>
    <row r="86" spans="1:5" x14ac:dyDescent="0.3">
      <c r="A86" s="287" t="s">
        <v>1614</v>
      </c>
      <c r="B86" s="288" t="s">
        <v>1442</v>
      </c>
      <c r="C86" s="288" t="s">
        <v>1615</v>
      </c>
      <c r="D86" s="288">
        <v>106658</v>
      </c>
      <c r="E86" s="288">
        <v>10003035</v>
      </c>
    </row>
    <row r="87" spans="1:5" x14ac:dyDescent="0.3">
      <c r="A87" s="287" t="s">
        <v>1616</v>
      </c>
      <c r="B87" s="288" t="s">
        <v>1449</v>
      </c>
      <c r="C87" s="288" t="s">
        <v>1617</v>
      </c>
      <c r="D87" s="288">
        <v>108418</v>
      </c>
      <c r="E87" s="288">
        <v>10003094</v>
      </c>
    </row>
    <row r="88" spans="1:5" x14ac:dyDescent="0.3">
      <c r="A88" s="287" t="s">
        <v>1618</v>
      </c>
      <c r="B88" s="288" t="s">
        <v>1449</v>
      </c>
      <c r="C88" s="288" t="s">
        <v>1619</v>
      </c>
      <c r="D88" s="288">
        <v>108367</v>
      </c>
      <c r="E88" s="288">
        <v>10003128</v>
      </c>
    </row>
    <row r="89" spans="1:5" x14ac:dyDescent="0.3">
      <c r="A89" s="287" t="s">
        <v>1620</v>
      </c>
      <c r="B89" s="288" t="s">
        <v>1461</v>
      </c>
      <c r="C89" s="288" t="s">
        <v>1621</v>
      </c>
      <c r="D89" s="288">
        <v>106834</v>
      </c>
      <c r="E89" s="288">
        <v>10003146</v>
      </c>
    </row>
    <row r="90" spans="1:5" x14ac:dyDescent="0.3">
      <c r="A90" s="287" t="s">
        <v>2013</v>
      </c>
      <c r="B90" s="288" t="s">
        <v>1442</v>
      </c>
      <c r="C90" s="288" t="s">
        <v>1622</v>
      </c>
      <c r="D90" s="288">
        <v>107770</v>
      </c>
      <c r="E90" s="288">
        <v>10007193</v>
      </c>
    </row>
    <row r="91" spans="1:5" x14ac:dyDescent="0.3">
      <c r="A91" s="287" t="s">
        <v>1623</v>
      </c>
      <c r="B91" s="288" t="s">
        <v>1449</v>
      </c>
      <c r="C91" s="288" t="s">
        <v>1624</v>
      </c>
      <c r="D91" s="288">
        <v>108417</v>
      </c>
      <c r="E91" s="288">
        <v>10003188</v>
      </c>
    </row>
    <row r="92" spans="1:5" x14ac:dyDescent="0.3">
      <c r="A92" s="287" t="s">
        <v>1625</v>
      </c>
      <c r="B92" s="288" t="s">
        <v>1461</v>
      </c>
      <c r="C92" s="288" t="s">
        <v>1626</v>
      </c>
      <c r="D92" s="288">
        <v>106900</v>
      </c>
      <c r="E92" s="288">
        <v>10003193</v>
      </c>
    </row>
    <row r="93" spans="1:5" x14ac:dyDescent="0.3">
      <c r="A93" s="287" t="s">
        <v>1627</v>
      </c>
      <c r="B93" s="288" t="s">
        <v>1442</v>
      </c>
      <c r="C93" s="288" t="s">
        <v>1628</v>
      </c>
      <c r="D93" s="288">
        <v>106689</v>
      </c>
      <c r="E93" s="288">
        <v>10003200</v>
      </c>
    </row>
    <row r="94" spans="1:5" x14ac:dyDescent="0.3">
      <c r="A94" s="287" t="s">
        <v>1629</v>
      </c>
      <c r="B94" s="288" t="s">
        <v>1442</v>
      </c>
      <c r="C94" s="288" t="s">
        <v>1630</v>
      </c>
      <c r="D94" s="288">
        <v>106409</v>
      </c>
      <c r="E94" s="288">
        <v>10005077</v>
      </c>
    </row>
    <row r="95" spans="1:5" x14ac:dyDescent="0.3">
      <c r="A95" s="287" t="s">
        <v>1631</v>
      </c>
      <c r="B95" s="288" t="s">
        <v>1442</v>
      </c>
      <c r="C95" s="288" t="s">
        <v>1632</v>
      </c>
      <c r="D95" s="288">
        <v>108517</v>
      </c>
      <c r="E95" s="288">
        <v>10003406</v>
      </c>
    </row>
    <row r="96" spans="1:5" x14ac:dyDescent="0.3">
      <c r="A96" s="287" t="s">
        <v>1633</v>
      </c>
      <c r="B96" s="288" t="s">
        <v>1449</v>
      </c>
      <c r="C96" s="288" t="s">
        <v>1634</v>
      </c>
      <c r="D96" s="288">
        <v>108416</v>
      </c>
      <c r="E96" s="288">
        <v>10003427</v>
      </c>
    </row>
    <row r="97" spans="1:5" x14ac:dyDescent="0.3">
      <c r="A97" s="287" t="s">
        <v>1635</v>
      </c>
      <c r="B97" s="288" t="s">
        <v>1449</v>
      </c>
      <c r="C97" s="288" t="s">
        <v>1636</v>
      </c>
      <c r="D97" s="288">
        <v>108415</v>
      </c>
      <c r="E97" s="288">
        <v>10003491</v>
      </c>
    </row>
    <row r="98" spans="1:5" x14ac:dyDescent="0.3">
      <c r="A98" s="287" t="s">
        <v>1637</v>
      </c>
      <c r="B98" s="288" t="s">
        <v>1449</v>
      </c>
      <c r="C98" s="288" t="s">
        <v>1638</v>
      </c>
      <c r="D98" s="288">
        <v>108413</v>
      </c>
      <c r="E98" s="288">
        <v>10003511</v>
      </c>
    </row>
    <row r="99" spans="1:5" x14ac:dyDescent="0.3">
      <c r="A99" s="287" t="s">
        <v>1639</v>
      </c>
      <c r="B99" s="288" t="s">
        <v>1442</v>
      </c>
      <c r="C99" s="288" t="s">
        <v>1640</v>
      </c>
      <c r="D99" s="288">
        <v>106462</v>
      </c>
      <c r="E99" s="288">
        <v>10003558</v>
      </c>
    </row>
    <row r="100" spans="1:5" x14ac:dyDescent="0.3">
      <c r="A100" s="287" t="s">
        <v>1641</v>
      </c>
      <c r="B100" s="288" t="s">
        <v>1442</v>
      </c>
      <c r="C100" s="288" t="s">
        <v>1642</v>
      </c>
      <c r="D100" s="288">
        <v>107157</v>
      </c>
      <c r="E100" s="288">
        <v>10003189</v>
      </c>
    </row>
    <row r="101" spans="1:5" x14ac:dyDescent="0.3">
      <c r="A101" s="287" t="s">
        <v>1643</v>
      </c>
      <c r="B101" s="288" t="s">
        <v>1442</v>
      </c>
      <c r="C101" s="288" t="s">
        <v>1644</v>
      </c>
      <c r="D101" s="288">
        <v>106476</v>
      </c>
      <c r="E101" s="288">
        <v>10003753</v>
      </c>
    </row>
    <row r="102" spans="1:5" x14ac:dyDescent="0.3">
      <c r="A102" s="287" t="s">
        <v>1645</v>
      </c>
      <c r="B102" s="288" t="s">
        <v>1442</v>
      </c>
      <c r="C102" s="288" t="s">
        <v>1646</v>
      </c>
      <c r="D102" s="288">
        <v>106466</v>
      </c>
      <c r="E102" s="288">
        <v>10003768</v>
      </c>
    </row>
    <row r="103" spans="1:5" x14ac:dyDescent="0.3">
      <c r="A103" s="287" t="s">
        <v>1647</v>
      </c>
      <c r="B103" s="288" t="s">
        <v>1442</v>
      </c>
      <c r="C103" s="288" t="s">
        <v>1648</v>
      </c>
      <c r="D103" s="288">
        <v>107582</v>
      </c>
      <c r="E103" s="288">
        <v>10003855</v>
      </c>
    </row>
    <row r="104" spans="1:5" x14ac:dyDescent="0.3">
      <c r="A104" s="287" t="s">
        <v>1649</v>
      </c>
      <c r="B104" s="288" t="s">
        <v>1442</v>
      </c>
      <c r="C104" s="288" t="s">
        <v>1650</v>
      </c>
      <c r="D104" s="288">
        <v>105623</v>
      </c>
      <c r="E104" s="288">
        <v>10003867</v>
      </c>
    </row>
    <row r="105" spans="1:5" x14ac:dyDescent="0.3">
      <c r="A105" s="287" t="s">
        <v>1651</v>
      </c>
      <c r="B105" s="288" t="s">
        <v>1449</v>
      </c>
      <c r="C105" s="288" t="s">
        <v>1652</v>
      </c>
      <c r="D105" s="288">
        <v>108412</v>
      </c>
      <c r="E105" s="288">
        <v>10003899</v>
      </c>
    </row>
    <row r="106" spans="1:5" x14ac:dyDescent="0.3">
      <c r="A106" s="287" t="s">
        <v>1653</v>
      </c>
      <c r="B106" s="288" t="s">
        <v>1442</v>
      </c>
      <c r="C106" s="288" t="s">
        <v>1654</v>
      </c>
      <c r="D106" s="288">
        <v>110223</v>
      </c>
      <c r="E106" s="288">
        <v>10003928</v>
      </c>
    </row>
    <row r="107" spans="1:5" x14ac:dyDescent="0.3">
      <c r="A107" s="287" t="s">
        <v>1655</v>
      </c>
      <c r="B107" s="288" t="s">
        <v>1442</v>
      </c>
      <c r="C107" s="288" t="s">
        <v>1656</v>
      </c>
      <c r="D107" s="288">
        <v>105711</v>
      </c>
      <c r="E107" s="288">
        <v>10000948</v>
      </c>
    </row>
    <row r="108" spans="1:5" x14ac:dyDescent="0.3">
      <c r="A108" s="287" t="s">
        <v>1657</v>
      </c>
      <c r="B108" s="288" t="s">
        <v>1449</v>
      </c>
      <c r="C108" s="288" t="s">
        <v>1658</v>
      </c>
      <c r="D108" s="288">
        <v>108364</v>
      </c>
      <c r="E108" s="288">
        <v>10004108</v>
      </c>
    </row>
    <row r="109" spans="1:5" x14ac:dyDescent="0.3">
      <c r="A109" s="287" t="s">
        <v>1659</v>
      </c>
      <c r="B109" s="288" t="s">
        <v>1442</v>
      </c>
      <c r="C109" s="288" t="s">
        <v>1660</v>
      </c>
      <c r="D109" s="288">
        <v>109293</v>
      </c>
      <c r="E109" s="288">
        <v>10004112</v>
      </c>
    </row>
    <row r="110" spans="1:5" x14ac:dyDescent="0.3">
      <c r="A110" s="287" t="s">
        <v>1661</v>
      </c>
      <c r="B110" s="288" t="s">
        <v>1442</v>
      </c>
      <c r="C110" s="288" t="s">
        <v>1662</v>
      </c>
      <c r="D110" s="288">
        <v>118446</v>
      </c>
      <c r="E110" s="288">
        <v>10023139</v>
      </c>
    </row>
    <row r="111" spans="1:5" x14ac:dyDescent="0.3">
      <c r="A111" s="287" t="s">
        <v>1663</v>
      </c>
      <c r="B111" s="288" t="s">
        <v>1442</v>
      </c>
      <c r="C111" s="288" t="s">
        <v>1664</v>
      </c>
      <c r="D111" s="288">
        <v>118778</v>
      </c>
      <c r="E111" s="288">
        <v>10024962</v>
      </c>
    </row>
    <row r="112" spans="1:5" x14ac:dyDescent="0.3">
      <c r="A112" s="287" t="s">
        <v>1665</v>
      </c>
      <c r="B112" s="288" t="s">
        <v>1449</v>
      </c>
      <c r="C112" s="288" t="s">
        <v>1666</v>
      </c>
      <c r="D112" s="288">
        <v>108410</v>
      </c>
      <c r="E112" s="288">
        <v>10004125</v>
      </c>
    </row>
    <row r="113" spans="1:5" x14ac:dyDescent="0.3">
      <c r="A113" s="287" t="s">
        <v>1667</v>
      </c>
      <c r="B113" s="288" t="s">
        <v>1442</v>
      </c>
      <c r="C113" s="288" t="s">
        <v>1668</v>
      </c>
      <c r="D113" s="288">
        <v>108345</v>
      </c>
      <c r="E113" s="288">
        <v>10004144</v>
      </c>
    </row>
    <row r="114" spans="1:5" x14ac:dyDescent="0.3">
      <c r="A114" s="287" t="s">
        <v>1669</v>
      </c>
      <c r="B114" s="288" t="s">
        <v>1484</v>
      </c>
      <c r="C114" s="288" t="s">
        <v>1670</v>
      </c>
      <c r="D114" s="288">
        <v>108351</v>
      </c>
      <c r="E114" s="288">
        <v>10007875</v>
      </c>
    </row>
    <row r="115" spans="1:5" x14ac:dyDescent="0.3">
      <c r="A115" s="287" t="s">
        <v>1671</v>
      </c>
      <c r="B115" s="288" t="s">
        <v>1461</v>
      </c>
      <c r="C115" s="288" t="s">
        <v>1672</v>
      </c>
      <c r="D115" s="288">
        <v>107073</v>
      </c>
      <c r="E115" s="288">
        <v>10004344</v>
      </c>
    </row>
    <row r="116" spans="1:5" x14ac:dyDescent="0.3">
      <c r="A116" s="287" t="s">
        <v>1673</v>
      </c>
      <c r="B116" s="288" t="s">
        <v>1442</v>
      </c>
      <c r="C116" s="288" t="s">
        <v>1674</v>
      </c>
      <c r="D116" s="288">
        <v>106733</v>
      </c>
      <c r="E116" s="288">
        <v>10004340</v>
      </c>
    </row>
    <row r="117" spans="1:5" x14ac:dyDescent="0.3">
      <c r="A117" s="287" t="s">
        <v>1675</v>
      </c>
      <c r="B117" s="288" t="s">
        <v>1442</v>
      </c>
      <c r="C117" s="288" t="s">
        <v>1676</v>
      </c>
      <c r="D117" s="288">
        <v>108653</v>
      </c>
      <c r="E117" s="288">
        <v>10004375</v>
      </c>
    </row>
    <row r="118" spans="1:5" x14ac:dyDescent="0.3">
      <c r="A118" s="287" t="s">
        <v>1677</v>
      </c>
      <c r="B118" s="288" t="s">
        <v>1484</v>
      </c>
      <c r="C118" s="288" t="s">
        <v>1678</v>
      </c>
      <c r="D118" s="288">
        <v>108350</v>
      </c>
      <c r="E118" s="288">
        <v>10004432</v>
      </c>
    </row>
    <row r="119" spans="1:5" x14ac:dyDescent="0.3">
      <c r="A119" s="287" t="s">
        <v>1679</v>
      </c>
      <c r="B119" s="288" t="s">
        <v>1452</v>
      </c>
      <c r="C119" s="288" t="s">
        <v>1680</v>
      </c>
      <c r="D119" s="288">
        <v>106966</v>
      </c>
      <c r="E119" s="288">
        <v>10004442</v>
      </c>
    </row>
    <row r="120" spans="1:5" x14ac:dyDescent="0.3">
      <c r="A120" s="287" t="s">
        <v>1681</v>
      </c>
      <c r="B120" s="288" t="s">
        <v>1452</v>
      </c>
      <c r="C120" s="288" t="s">
        <v>1682</v>
      </c>
      <c r="D120" s="288">
        <v>106924</v>
      </c>
      <c r="E120" s="288">
        <v>10004478</v>
      </c>
    </row>
    <row r="121" spans="1:5" x14ac:dyDescent="0.3">
      <c r="A121" s="287" t="s">
        <v>1683</v>
      </c>
      <c r="B121" s="288" t="s">
        <v>1442</v>
      </c>
      <c r="C121" s="288" t="s">
        <v>1684</v>
      </c>
      <c r="D121" s="288">
        <v>107111</v>
      </c>
      <c r="E121" s="288">
        <v>10004599</v>
      </c>
    </row>
    <row r="122" spans="1:5" x14ac:dyDescent="0.3">
      <c r="A122" s="287" t="s">
        <v>1685</v>
      </c>
      <c r="B122" s="288" t="s">
        <v>1461</v>
      </c>
      <c r="C122" s="288" t="s">
        <v>1686</v>
      </c>
      <c r="D122" s="288">
        <v>106753</v>
      </c>
      <c r="E122" s="288">
        <v>10004552</v>
      </c>
    </row>
    <row r="123" spans="1:5" x14ac:dyDescent="0.3">
      <c r="A123" s="287" t="s">
        <v>1687</v>
      </c>
      <c r="B123" s="288" t="s">
        <v>1442</v>
      </c>
      <c r="C123" s="288" t="s">
        <v>1688</v>
      </c>
      <c r="D123" s="288">
        <v>106556</v>
      </c>
      <c r="E123" s="288">
        <v>10006963</v>
      </c>
    </row>
    <row r="124" spans="1:5" x14ac:dyDescent="0.3">
      <c r="A124" s="287" t="s">
        <v>1689</v>
      </c>
      <c r="B124" s="288" t="s">
        <v>1442</v>
      </c>
      <c r="C124" s="288" t="s">
        <v>1690</v>
      </c>
      <c r="D124" s="288">
        <v>108661</v>
      </c>
      <c r="E124" s="288">
        <v>10004576</v>
      </c>
    </row>
    <row r="125" spans="1:5" x14ac:dyDescent="0.3">
      <c r="A125" s="287" t="s">
        <v>1691</v>
      </c>
      <c r="B125" s="288" t="s">
        <v>1442</v>
      </c>
      <c r="C125" s="288" t="s">
        <v>1692</v>
      </c>
      <c r="D125" s="288">
        <v>107178</v>
      </c>
      <c r="E125" s="288">
        <v>10004579</v>
      </c>
    </row>
    <row r="126" spans="1:5" x14ac:dyDescent="0.3">
      <c r="A126" s="287" t="s">
        <v>1693</v>
      </c>
      <c r="B126" s="288" t="s">
        <v>1442</v>
      </c>
      <c r="C126" s="288" t="s">
        <v>1694</v>
      </c>
      <c r="D126" s="288">
        <v>110221</v>
      </c>
      <c r="E126" s="288">
        <v>10004596</v>
      </c>
    </row>
    <row r="127" spans="1:5" x14ac:dyDescent="0.3">
      <c r="A127" s="287" t="s">
        <v>1695</v>
      </c>
      <c r="B127" s="288" t="s">
        <v>1442</v>
      </c>
      <c r="C127" s="288" t="s">
        <v>1696</v>
      </c>
      <c r="D127" s="288">
        <v>106068</v>
      </c>
      <c r="E127" s="288">
        <v>10004603</v>
      </c>
    </row>
    <row r="128" spans="1:5" x14ac:dyDescent="0.3">
      <c r="A128" s="287" t="s">
        <v>1697</v>
      </c>
      <c r="B128" s="288" t="s">
        <v>1442</v>
      </c>
      <c r="C128" s="288" t="s">
        <v>1698</v>
      </c>
      <c r="D128" s="288">
        <v>108507</v>
      </c>
      <c r="E128" s="288">
        <v>10004607</v>
      </c>
    </row>
    <row r="129" spans="1:5" x14ac:dyDescent="0.3">
      <c r="A129" s="287" t="s">
        <v>1699</v>
      </c>
      <c r="B129" s="288" t="s">
        <v>1442</v>
      </c>
      <c r="C129" s="288" t="s">
        <v>1700</v>
      </c>
      <c r="D129" s="288">
        <v>108505</v>
      </c>
      <c r="E129" s="288">
        <v>10004686</v>
      </c>
    </row>
    <row r="130" spans="1:5" x14ac:dyDescent="0.3">
      <c r="A130" s="287" t="s">
        <v>1701</v>
      </c>
      <c r="B130" s="288" t="s">
        <v>1442</v>
      </c>
      <c r="C130" s="288" t="s">
        <v>1702</v>
      </c>
      <c r="D130" s="288">
        <v>105010</v>
      </c>
      <c r="E130" s="288">
        <v>10004690</v>
      </c>
    </row>
    <row r="131" spans="1:5" x14ac:dyDescent="0.3">
      <c r="A131" s="443" t="s">
        <v>1703</v>
      </c>
      <c r="B131" s="288" t="s">
        <v>1442</v>
      </c>
      <c r="C131" s="288" t="s">
        <v>1704</v>
      </c>
      <c r="D131" s="288">
        <v>106734</v>
      </c>
      <c r="E131" s="288">
        <v>10004721</v>
      </c>
    </row>
    <row r="132" spans="1:5" x14ac:dyDescent="0.3">
      <c r="A132" s="287" t="s">
        <v>1705</v>
      </c>
      <c r="B132" s="288" t="s">
        <v>1442</v>
      </c>
      <c r="C132" s="288" t="s">
        <v>1706</v>
      </c>
      <c r="D132" s="288">
        <v>106442</v>
      </c>
      <c r="E132" s="288">
        <v>10004718</v>
      </c>
    </row>
    <row r="133" spans="1:5" x14ac:dyDescent="0.3">
      <c r="A133" s="287" t="s">
        <v>1707</v>
      </c>
      <c r="B133" s="288" t="s">
        <v>1442</v>
      </c>
      <c r="C133" s="288" t="s">
        <v>1708</v>
      </c>
      <c r="D133" s="288">
        <v>106970</v>
      </c>
      <c r="E133" s="288">
        <v>10007011</v>
      </c>
    </row>
    <row r="134" spans="1:5" x14ac:dyDescent="0.3">
      <c r="A134" s="287" t="s">
        <v>1709</v>
      </c>
      <c r="B134" s="288" t="s">
        <v>1484</v>
      </c>
      <c r="C134" s="288" t="s">
        <v>1710</v>
      </c>
      <c r="D134" s="288">
        <v>108314</v>
      </c>
      <c r="E134" s="288">
        <v>10004739</v>
      </c>
    </row>
    <row r="135" spans="1:5" x14ac:dyDescent="0.3">
      <c r="A135" s="287" t="s">
        <v>1711</v>
      </c>
      <c r="B135" s="288" t="s">
        <v>1449</v>
      </c>
      <c r="C135" s="288" t="s">
        <v>1712</v>
      </c>
      <c r="D135" s="288">
        <v>108362</v>
      </c>
      <c r="E135" s="288">
        <v>10004785</v>
      </c>
    </row>
    <row r="136" spans="1:5" x14ac:dyDescent="0.3">
      <c r="A136" s="287" t="s">
        <v>1713</v>
      </c>
      <c r="B136" s="288" t="s">
        <v>1442</v>
      </c>
      <c r="C136" s="288" t="s">
        <v>1714</v>
      </c>
      <c r="D136" s="288">
        <v>106985</v>
      </c>
      <c r="E136" s="288">
        <v>10004577</v>
      </c>
    </row>
    <row r="137" spans="1:5" x14ac:dyDescent="0.3">
      <c r="A137" s="287" t="s">
        <v>1715</v>
      </c>
      <c r="B137" s="288" t="s">
        <v>1442</v>
      </c>
      <c r="C137" s="288" t="s">
        <v>1716</v>
      </c>
      <c r="D137" s="288">
        <v>108498</v>
      </c>
      <c r="E137" s="288">
        <v>10004835</v>
      </c>
    </row>
    <row r="138" spans="1:5" x14ac:dyDescent="0.3">
      <c r="A138" s="287" t="s">
        <v>1717</v>
      </c>
      <c r="B138" s="288" t="s">
        <v>1449</v>
      </c>
      <c r="C138" s="288" t="s">
        <v>1718</v>
      </c>
      <c r="D138" s="288">
        <v>108405</v>
      </c>
      <c r="E138" s="288">
        <v>10005072</v>
      </c>
    </row>
    <row r="139" spans="1:5" x14ac:dyDescent="0.3">
      <c r="A139" s="287" t="s">
        <v>1719</v>
      </c>
      <c r="B139" s="288" t="s">
        <v>1461</v>
      </c>
      <c r="C139" s="288" t="s">
        <v>1720</v>
      </c>
      <c r="D139" s="288">
        <v>106509</v>
      </c>
      <c r="E139" s="288">
        <v>10004676</v>
      </c>
    </row>
    <row r="140" spans="1:5" x14ac:dyDescent="0.3">
      <c r="A140" s="287" t="s">
        <v>1721</v>
      </c>
      <c r="B140" s="288" t="s">
        <v>1452</v>
      </c>
      <c r="C140" s="288" t="s">
        <v>1722</v>
      </c>
      <c r="D140" s="288">
        <v>107525</v>
      </c>
      <c r="E140" s="288">
        <v>10005124</v>
      </c>
    </row>
    <row r="141" spans="1:5" x14ac:dyDescent="0.3">
      <c r="A141" s="287" t="s">
        <v>1723</v>
      </c>
      <c r="B141" s="288" t="s">
        <v>1461</v>
      </c>
      <c r="C141" s="288" t="s">
        <v>1724</v>
      </c>
      <c r="D141" s="288">
        <v>108623</v>
      </c>
      <c r="E141" s="288">
        <v>10005200</v>
      </c>
    </row>
    <row r="142" spans="1:5" x14ac:dyDescent="0.3">
      <c r="A142" s="287" t="s">
        <v>1725</v>
      </c>
      <c r="B142" s="288" t="s">
        <v>1452</v>
      </c>
      <c r="C142" s="288" t="s">
        <v>1726</v>
      </c>
      <c r="D142" s="288">
        <v>105301</v>
      </c>
      <c r="E142" s="288">
        <v>10005404</v>
      </c>
    </row>
    <row r="143" spans="1:5" x14ac:dyDescent="0.3">
      <c r="A143" s="287" t="s">
        <v>1727</v>
      </c>
      <c r="B143" s="288" t="s">
        <v>1484</v>
      </c>
      <c r="C143" s="288" t="s">
        <v>1728</v>
      </c>
      <c r="D143" s="288">
        <v>108353</v>
      </c>
      <c r="E143" s="288">
        <v>10003088</v>
      </c>
    </row>
    <row r="144" spans="1:5" x14ac:dyDescent="0.3">
      <c r="A144" s="287" t="s">
        <v>1729</v>
      </c>
      <c r="B144" s="288" t="s">
        <v>1442</v>
      </c>
      <c r="C144" s="288" t="s">
        <v>1730</v>
      </c>
      <c r="D144" s="288">
        <v>106896</v>
      </c>
      <c r="E144" s="288">
        <v>10002863</v>
      </c>
    </row>
    <row r="145" spans="1:5" x14ac:dyDescent="0.3">
      <c r="A145" s="287" t="s">
        <v>1731</v>
      </c>
      <c r="B145" s="288" t="s">
        <v>1442</v>
      </c>
      <c r="C145" s="288" t="s">
        <v>1732</v>
      </c>
      <c r="D145" s="288">
        <v>108493</v>
      </c>
      <c r="E145" s="288">
        <v>10005534</v>
      </c>
    </row>
    <row r="146" spans="1:5" x14ac:dyDescent="0.3">
      <c r="A146" s="287" t="s">
        <v>1733</v>
      </c>
      <c r="B146" s="288" t="s">
        <v>1461</v>
      </c>
      <c r="C146" s="288" t="s">
        <v>1734</v>
      </c>
      <c r="D146" s="288">
        <v>108625</v>
      </c>
      <c r="E146" s="288">
        <v>10005575</v>
      </c>
    </row>
    <row r="147" spans="1:5" x14ac:dyDescent="0.3">
      <c r="A147" s="287" t="s">
        <v>1735</v>
      </c>
      <c r="B147" s="288" t="s">
        <v>1484</v>
      </c>
      <c r="C147" s="288" t="s">
        <v>1736</v>
      </c>
      <c r="D147" s="288">
        <v>108348</v>
      </c>
      <c r="E147" s="288">
        <v>10005583</v>
      </c>
    </row>
    <row r="148" spans="1:5" x14ac:dyDescent="0.3">
      <c r="A148" s="287" t="s">
        <v>1737</v>
      </c>
      <c r="B148" s="288" t="s">
        <v>1442</v>
      </c>
      <c r="C148" s="288" t="s">
        <v>1738</v>
      </c>
      <c r="D148" s="288">
        <v>108406</v>
      </c>
      <c r="E148" s="288">
        <v>10005032</v>
      </c>
    </row>
    <row r="149" spans="1:5" x14ac:dyDescent="0.3">
      <c r="A149" s="287" t="s">
        <v>1739</v>
      </c>
      <c r="B149" s="288" t="s">
        <v>1442</v>
      </c>
      <c r="C149" s="288" t="s">
        <v>1740</v>
      </c>
      <c r="D149" s="288">
        <v>105110</v>
      </c>
      <c r="E149" s="288">
        <v>10005669</v>
      </c>
    </row>
    <row r="150" spans="1:5" x14ac:dyDescent="0.3">
      <c r="A150" s="287" t="s">
        <v>1741</v>
      </c>
      <c r="B150" s="288" t="s">
        <v>1449</v>
      </c>
      <c r="C150" s="288" t="s">
        <v>1742</v>
      </c>
      <c r="D150" s="288">
        <v>108396</v>
      </c>
      <c r="E150" s="288">
        <v>10005687</v>
      </c>
    </row>
    <row r="151" spans="1:5" x14ac:dyDescent="0.3">
      <c r="A151" s="287" t="s">
        <v>1743</v>
      </c>
      <c r="B151" s="288" t="s">
        <v>1461</v>
      </c>
      <c r="C151" s="288" t="s">
        <v>1744</v>
      </c>
      <c r="D151" s="288">
        <v>106996</v>
      </c>
      <c r="E151" s="288">
        <v>10005788</v>
      </c>
    </row>
    <row r="152" spans="1:5" x14ac:dyDescent="0.3">
      <c r="A152" s="287" t="s">
        <v>1745</v>
      </c>
      <c r="B152" s="288" t="s">
        <v>1442</v>
      </c>
      <c r="C152" s="288" t="s">
        <v>1746</v>
      </c>
      <c r="D152" s="288">
        <v>107170</v>
      </c>
      <c r="E152" s="288">
        <v>10005810</v>
      </c>
    </row>
    <row r="153" spans="1:5" x14ac:dyDescent="0.3">
      <c r="A153" s="287" t="s">
        <v>1747</v>
      </c>
      <c r="B153" s="288" t="s">
        <v>1449</v>
      </c>
      <c r="C153" s="288" t="s">
        <v>1748</v>
      </c>
      <c r="D153" s="288">
        <v>108391</v>
      </c>
      <c r="E153" s="288">
        <v>10005822</v>
      </c>
    </row>
    <row r="154" spans="1:5" x14ac:dyDescent="0.3">
      <c r="A154" s="287" t="s">
        <v>1749</v>
      </c>
      <c r="B154" s="288" t="s">
        <v>1449</v>
      </c>
      <c r="C154" s="288" t="s">
        <v>1750</v>
      </c>
      <c r="D154" s="288">
        <v>108393</v>
      </c>
      <c r="E154" s="288">
        <v>10005859</v>
      </c>
    </row>
    <row r="155" spans="1:5" x14ac:dyDescent="0.3">
      <c r="A155" s="287" t="s">
        <v>1751</v>
      </c>
      <c r="B155" s="288" t="s">
        <v>1442</v>
      </c>
      <c r="C155" s="288" t="s">
        <v>1752</v>
      </c>
      <c r="D155" s="288">
        <v>106366</v>
      </c>
      <c r="E155" s="288">
        <v>10005946</v>
      </c>
    </row>
    <row r="156" spans="1:5" x14ac:dyDescent="0.3">
      <c r="A156" s="287" t="s">
        <v>1753</v>
      </c>
      <c r="B156" s="288" t="s">
        <v>1442</v>
      </c>
      <c r="C156" s="288" t="s">
        <v>1754</v>
      </c>
      <c r="D156" s="288">
        <v>105074</v>
      </c>
      <c r="E156" s="288">
        <v>10005967</v>
      </c>
    </row>
    <row r="157" spans="1:5" x14ac:dyDescent="0.3">
      <c r="A157" s="287" t="s">
        <v>1755</v>
      </c>
      <c r="B157" s="288" t="s">
        <v>1484</v>
      </c>
      <c r="C157" s="288" t="s">
        <v>1756</v>
      </c>
      <c r="D157" s="288">
        <v>106790</v>
      </c>
      <c r="E157" s="288">
        <v>10003755</v>
      </c>
    </row>
    <row r="158" spans="1:5" x14ac:dyDescent="0.3">
      <c r="A158" s="287" t="s">
        <v>1757</v>
      </c>
      <c r="B158" s="288" t="s">
        <v>1442</v>
      </c>
      <c r="C158" s="288" t="s">
        <v>1758</v>
      </c>
      <c r="D158" s="288">
        <v>108487</v>
      </c>
      <c r="E158" s="288">
        <v>10005977</v>
      </c>
    </row>
    <row r="159" spans="1:5" x14ac:dyDescent="0.3">
      <c r="A159" s="287" t="s">
        <v>1759</v>
      </c>
      <c r="B159" s="288" t="s">
        <v>1442</v>
      </c>
      <c r="C159" s="288" t="s">
        <v>1760</v>
      </c>
      <c r="D159" s="288">
        <v>106569</v>
      </c>
      <c r="E159" s="288">
        <v>10005981</v>
      </c>
    </row>
    <row r="160" spans="1:5" x14ac:dyDescent="0.3">
      <c r="A160" s="287" t="s">
        <v>1761</v>
      </c>
      <c r="B160" s="288" t="s">
        <v>1442</v>
      </c>
      <c r="C160" s="288" t="s">
        <v>1762</v>
      </c>
      <c r="D160" s="288">
        <v>121223</v>
      </c>
      <c r="E160" s="288">
        <v>10036143</v>
      </c>
    </row>
    <row r="161" spans="1:5" x14ac:dyDescent="0.3">
      <c r="A161" s="287" t="s">
        <v>1890</v>
      </c>
      <c r="B161" s="288" t="s">
        <v>1442</v>
      </c>
      <c r="C161" s="288" t="s">
        <v>1576</v>
      </c>
      <c r="D161" s="288">
        <v>108459</v>
      </c>
      <c r="E161" s="288">
        <v>10007928</v>
      </c>
    </row>
    <row r="162" spans="1:5" x14ac:dyDescent="0.3">
      <c r="A162" s="287" t="s">
        <v>1763</v>
      </c>
      <c r="B162" s="288" t="s">
        <v>1442</v>
      </c>
      <c r="C162" s="288" t="s">
        <v>1764</v>
      </c>
      <c r="D162" s="288">
        <v>118791</v>
      </c>
      <c r="E162" s="288">
        <v>10023526</v>
      </c>
    </row>
    <row r="163" spans="1:5" x14ac:dyDescent="0.3">
      <c r="A163" s="287" t="s">
        <v>1765</v>
      </c>
      <c r="B163" s="288" t="s">
        <v>1442</v>
      </c>
      <c r="C163" s="288" t="s">
        <v>1766</v>
      </c>
      <c r="D163" s="288">
        <v>108514</v>
      </c>
      <c r="E163" s="288">
        <v>10003674</v>
      </c>
    </row>
    <row r="164" spans="1:5" x14ac:dyDescent="0.3">
      <c r="A164" s="287" t="s">
        <v>1891</v>
      </c>
      <c r="B164" s="288" t="s">
        <v>1442</v>
      </c>
      <c r="C164" s="288" t="s">
        <v>1767</v>
      </c>
      <c r="D164" s="288">
        <v>106934</v>
      </c>
      <c r="E164" s="288">
        <v>10006038</v>
      </c>
    </row>
    <row r="165" spans="1:5" x14ac:dyDescent="0.3">
      <c r="A165" s="287" t="s">
        <v>1768</v>
      </c>
      <c r="B165" s="288" t="s">
        <v>1452</v>
      </c>
      <c r="C165" s="288" t="s">
        <v>1769</v>
      </c>
      <c r="D165" s="288">
        <v>106618</v>
      </c>
      <c r="E165" s="288">
        <v>10006050</v>
      </c>
    </row>
    <row r="166" spans="1:5" x14ac:dyDescent="0.3">
      <c r="A166" s="287" t="s">
        <v>1770</v>
      </c>
      <c r="B166" s="288" t="s">
        <v>1449</v>
      </c>
      <c r="C166" s="288" t="s">
        <v>1771</v>
      </c>
      <c r="D166" s="288">
        <v>108361</v>
      </c>
      <c r="E166" s="288">
        <v>10006130</v>
      </c>
    </row>
    <row r="167" spans="1:5" x14ac:dyDescent="0.3">
      <c r="A167" s="287" t="s">
        <v>1772</v>
      </c>
      <c r="B167" s="288" t="s">
        <v>1449</v>
      </c>
      <c r="C167" s="288" t="s">
        <v>1773</v>
      </c>
      <c r="D167" s="288">
        <v>108360</v>
      </c>
      <c r="E167" s="288">
        <v>10006135</v>
      </c>
    </row>
    <row r="168" spans="1:5" x14ac:dyDescent="0.3">
      <c r="A168" s="287" t="s">
        <v>1774</v>
      </c>
      <c r="B168" s="288" t="s">
        <v>1449</v>
      </c>
      <c r="C168" s="288" t="s">
        <v>1775</v>
      </c>
      <c r="D168" s="288">
        <v>108359</v>
      </c>
      <c r="E168" s="288">
        <v>10006148</v>
      </c>
    </row>
    <row r="169" spans="1:5" x14ac:dyDescent="0.3">
      <c r="A169" s="287" t="s">
        <v>1776</v>
      </c>
      <c r="B169" s="288" t="s">
        <v>1449</v>
      </c>
      <c r="C169" s="288" t="s">
        <v>1777</v>
      </c>
      <c r="D169" s="288">
        <v>108358</v>
      </c>
      <c r="E169" s="288">
        <v>10008007</v>
      </c>
    </row>
    <row r="170" spans="1:5" x14ac:dyDescent="0.3">
      <c r="A170" s="287" t="s">
        <v>1778</v>
      </c>
      <c r="B170" s="288" t="s">
        <v>1442</v>
      </c>
      <c r="C170" s="288" t="s">
        <v>1779</v>
      </c>
      <c r="D170" s="288">
        <v>105907</v>
      </c>
      <c r="E170" s="288">
        <v>10006174</v>
      </c>
    </row>
    <row r="171" spans="1:5" x14ac:dyDescent="0.3">
      <c r="A171" s="287" t="s">
        <v>1780</v>
      </c>
      <c r="B171" s="288" t="s">
        <v>1449</v>
      </c>
      <c r="C171" s="288" t="s">
        <v>1781</v>
      </c>
      <c r="D171" s="288">
        <v>108328</v>
      </c>
      <c r="E171" s="288">
        <v>10006195</v>
      </c>
    </row>
    <row r="172" spans="1:5" x14ac:dyDescent="0.3">
      <c r="A172" s="287" t="s">
        <v>1782</v>
      </c>
      <c r="B172" s="288" t="s">
        <v>1461</v>
      </c>
      <c r="C172" s="288" t="s">
        <v>1783</v>
      </c>
      <c r="D172" s="288">
        <v>108462</v>
      </c>
      <c r="E172" s="288">
        <v>10009439</v>
      </c>
    </row>
    <row r="173" spans="1:5" x14ac:dyDescent="0.3">
      <c r="A173" s="287" t="s">
        <v>1784</v>
      </c>
      <c r="B173" s="288" t="s">
        <v>1442</v>
      </c>
      <c r="C173" s="288" t="s">
        <v>1785</v>
      </c>
      <c r="D173" s="288">
        <v>107044</v>
      </c>
      <c r="E173" s="288">
        <v>10006349</v>
      </c>
    </row>
    <row r="174" spans="1:5" x14ac:dyDescent="0.3">
      <c r="A174" s="287" t="s">
        <v>1786</v>
      </c>
      <c r="B174" s="288" t="s">
        <v>1461</v>
      </c>
      <c r="C174" s="288" t="s">
        <v>1787</v>
      </c>
      <c r="D174" s="288">
        <v>107542</v>
      </c>
      <c r="E174" s="288">
        <v>10006378</v>
      </c>
    </row>
    <row r="175" spans="1:5" x14ac:dyDescent="0.3">
      <c r="A175" s="287" t="s">
        <v>1788</v>
      </c>
      <c r="B175" s="288" t="s">
        <v>1442</v>
      </c>
      <c r="C175" s="288" t="s">
        <v>1789</v>
      </c>
      <c r="D175" s="288">
        <v>107059</v>
      </c>
      <c r="E175" s="288">
        <v>10006398</v>
      </c>
    </row>
    <row r="176" spans="1:5" x14ac:dyDescent="0.3">
      <c r="A176" s="287" t="s">
        <v>1790</v>
      </c>
      <c r="B176" s="288" t="s">
        <v>1442</v>
      </c>
      <c r="C176" s="288" t="s">
        <v>1791</v>
      </c>
      <c r="D176" s="288">
        <v>106868</v>
      </c>
      <c r="E176" s="288">
        <v>10006494</v>
      </c>
    </row>
    <row r="177" spans="1:5" x14ac:dyDescent="0.3">
      <c r="A177" s="287" t="s">
        <v>1792</v>
      </c>
      <c r="B177" s="288" t="s">
        <v>1442</v>
      </c>
      <c r="C177" s="288" t="s">
        <v>1793</v>
      </c>
      <c r="D177" s="288">
        <v>107632</v>
      </c>
      <c r="E177" s="288">
        <v>10007938</v>
      </c>
    </row>
    <row r="178" spans="1:5" x14ac:dyDescent="0.3">
      <c r="A178" s="287" t="s">
        <v>1794</v>
      </c>
      <c r="B178" s="288" t="s">
        <v>1442</v>
      </c>
      <c r="C178" s="288" t="s">
        <v>1795</v>
      </c>
      <c r="D178" s="288">
        <v>107010</v>
      </c>
      <c r="E178" s="288">
        <v>10006549</v>
      </c>
    </row>
    <row r="179" spans="1:5" x14ac:dyDescent="0.3">
      <c r="A179" s="287" t="s">
        <v>1796</v>
      </c>
      <c r="B179" s="288" t="s">
        <v>1484</v>
      </c>
      <c r="C179" s="288" t="s">
        <v>1797</v>
      </c>
      <c r="D179" s="288">
        <v>108356</v>
      </c>
      <c r="E179" s="288">
        <v>10001463</v>
      </c>
    </row>
    <row r="180" spans="1:5" x14ac:dyDescent="0.3">
      <c r="A180" s="287" t="s">
        <v>1798</v>
      </c>
      <c r="B180" s="288" t="s">
        <v>1442</v>
      </c>
      <c r="C180" s="288" t="s">
        <v>1799</v>
      </c>
      <c r="D180" s="288">
        <v>106915</v>
      </c>
      <c r="E180" s="288">
        <v>10003955</v>
      </c>
    </row>
    <row r="181" spans="1:5" x14ac:dyDescent="0.3">
      <c r="A181" s="287" t="s">
        <v>1800</v>
      </c>
      <c r="B181" s="288" t="s">
        <v>1449</v>
      </c>
      <c r="C181" s="288" t="s">
        <v>1801</v>
      </c>
      <c r="D181" s="288">
        <v>108368</v>
      </c>
      <c r="E181" s="288">
        <v>10001550</v>
      </c>
    </row>
    <row r="182" spans="1:5" x14ac:dyDescent="0.3">
      <c r="A182" s="287" t="s">
        <v>1802</v>
      </c>
      <c r="B182" s="288" t="s">
        <v>1442</v>
      </c>
      <c r="C182" s="288" t="s">
        <v>1803</v>
      </c>
      <c r="D182" s="288">
        <v>105939</v>
      </c>
      <c r="E182" s="288">
        <v>10007916</v>
      </c>
    </row>
    <row r="183" spans="1:5" x14ac:dyDescent="0.3">
      <c r="A183" s="287" t="s">
        <v>1804</v>
      </c>
      <c r="B183" s="288" t="s">
        <v>1442</v>
      </c>
      <c r="C183" s="288" t="s">
        <v>1805</v>
      </c>
      <c r="D183" s="288">
        <v>107083</v>
      </c>
      <c r="E183" s="288">
        <v>10006341</v>
      </c>
    </row>
    <row r="184" spans="1:5" x14ac:dyDescent="0.3">
      <c r="A184" s="287" t="s">
        <v>1806</v>
      </c>
      <c r="B184" s="288" t="s">
        <v>1449</v>
      </c>
      <c r="C184" s="288" t="s">
        <v>1807</v>
      </c>
      <c r="D184" s="288">
        <v>105028</v>
      </c>
      <c r="E184" s="288">
        <v>10003011</v>
      </c>
    </row>
    <row r="185" spans="1:5" x14ac:dyDescent="0.3">
      <c r="A185" s="287" t="s">
        <v>1808</v>
      </c>
      <c r="B185" s="288" t="s">
        <v>1608</v>
      </c>
      <c r="C185" s="288" t="s">
        <v>1809</v>
      </c>
      <c r="D185" s="288">
        <v>108536</v>
      </c>
      <c r="E185" s="288">
        <v>10001503</v>
      </c>
    </row>
    <row r="186" spans="1:5" x14ac:dyDescent="0.3">
      <c r="A186" s="287" t="s">
        <v>1810</v>
      </c>
      <c r="B186" s="288" t="s">
        <v>1442</v>
      </c>
      <c r="C186" s="288" t="s">
        <v>1811</v>
      </c>
      <c r="D186" s="288">
        <v>110734</v>
      </c>
      <c r="E186" s="288">
        <v>10006770</v>
      </c>
    </row>
    <row r="187" spans="1:5" x14ac:dyDescent="0.3">
      <c r="A187" s="287" t="s">
        <v>1812</v>
      </c>
      <c r="B187" s="288" t="s">
        <v>1452</v>
      </c>
      <c r="C187" s="288" t="s">
        <v>1813</v>
      </c>
      <c r="D187" s="288">
        <v>106763</v>
      </c>
      <c r="E187" s="288">
        <v>10000952</v>
      </c>
    </row>
    <row r="188" spans="1:5" x14ac:dyDescent="0.3">
      <c r="A188" s="287" t="s">
        <v>1892</v>
      </c>
      <c r="B188" s="288" t="s">
        <v>1442</v>
      </c>
      <c r="C188" s="288" t="s">
        <v>1814</v>
      </c>
      <c r="D188" s="288">
        <v>108484</v>
      </c>
      <c r="E188" s="288">
        <v>10005998</v>
      </c>
    </row>
    <row r="189" spans="1:5" x14ac:dyDescent="0.3">
      <c r="A189" s="287" t="s">
        <v>1815</v>
      </c>
      <c r="B189" s="288" t="s">
        <v>1442</v>
      </c>
      <c r="C189" s="288" t="s">
        <v>1816</v>
      </c>
      <c r="D189" s="288">
        <v>107745</v>
      </c>
      <c r="E189" s="288">
        <v>10002107</v>
      </c>
    </row>
    <row r="190" spans="1:5" x14ac:dyDescent="0.3">
      <c r="A190" s="287" t="s">
        <v>1818</v>
      </c>
      <c r="B190" s="288" t="s">
        <v>1461</v>
      </c>
      <c r="C190" s="288" t="s">
        <v>1819</v>
      </c>
      <c r="D190" s="288">
        <v>108441</v>
      </c>
      <c r="E190" s="288">
        <v>10007063</v>
      </c>
    </row>
    <row r="191" spans="1:5" x14ac:dyDescent="0.3">
      <c r="A191" s="287" t="s">
        <v>1820</v>
      </c>
      <c r="B191" s="288" t="s">
        <v>1461</v>
      </c>
      <c r="C191" s="288" t="s">
        <v>1821</v>
      </c>
      <c r="D191" s="288">
        <v>107121</v>
      </c>
      <c r="E191" s="288">
        <v>10005999</v>
      </c>
    </row>
    <row r="192" spans="1:5" x14ac:dyDescent="0.3">
      <c r="A192" s="287" t="s">
        <v>1822</v>
      </c>
      <c r="B192" s="288" t="s">
        <v>1442</v>
      </c>
      <c r="C192" s="288" t="s">
        <v>1823</v>
      </c>
      <c r="D192" s="288">
        <v>108340</v>
      </c>
      <c r="E192" s="288">
        <v>10005736</v>
      </c>
    </row>
    <row r="193" spans="1:5" x14ac:dyDescent="0.3">
      <c r="A193" s="287" t="s">
        <v>1824</v>
      </c>
      <c r="B193" s="288" t="s">
        <v>1442</v>
      </c>
      <c r="C193" s="288" t="s">
        <v>1825</v>
      </c>
      <c r="D193" s="288">
        <v>108526</v>
      </c>
      <c r="E193" s="288">
        <v>10001476</v>
      </c>
    </row>
    <row r="194" spans="1:5" x14ac:dyDescent="0.3">
      <c r="A194" s="287" t="s">
        <v>1826</v>
      </c>
      <c r="B194" s="288" t="s">
        <v>1449</v>
      </c>
      <c r="C194" s="288" t="s">
        <v>1827</v>
      </c>
      <c r="D194" s="288">
        <v>108380</v>
      </c>
      <c r="E194" s="288">
        <v>10007212</v>
      </c>
    </row>
    <row r="195" spans="1:5" x14ac:dyDescent="0.3">
      <c r="A195" s="287" t="s">
        <v>1828</v>
      </c>
      <c r="B195" s="288" t="s">
        <v>1442</v>
      </c>
      <c r="C195" s="288" t="s">
        <v>1829</v>
      </c>
      <c r="D195" s="288">
        <v>105118</v>
      </c>
      <c r="E195" s="288">
        <v>10007315</v>
      </c>
    </row>
    <row r="196" spans="1:5" x14ac:dyDescent="0.3">
      <c r="A196" s="287" t="s">
        <v>1830</v>
      </c>
      <c r="B196" s="288" t="s">
        <v>1442</v>
      </c>
      <c r="C196" s="288" t="s">
        <v>1831</v>
      </c>
      <c r="D196" s="288">
        <v>108478</v>
      </c>
      <c r="E196" s="288">
        <v>10007321</v>
      </c>
    </row>
    <row r="197" spans="1:5" x14ac:dyDescent="0.3">
      <c r="A197" s="287" t="s">
        <v>1832</v>
      </c>
      <c r="B197" s="288" t="s">
        <v>1442</v>
      </c>
      <c r="C197" s="288" t="s">
        <v>1833</v>
      </c>
      <c r="D197" s="288">
        <v>106427</v>
      </c>
      <c r="E197" s="288">
        <v>10007339</v>
      </c>
    </row>
    <row r="198" spans="1:5" x14ac:dyDescent="0.3">
      <c r="A198" s="287" t="s">
        <v>1834</v>
      </c>
      <c r="B198" s="288" t="s">
        <v>1442</v>
      </c>
      <c r="C198" s="288" t="s">
        <v>1835</v>
      </c>
      <c r="D198" s="288">
        <v>106448</v>
      </c>
      <c r="E198" s="288">
        <v>10007859</v>
      </c>
    </row>
    <row r="199" spans="1:5" x14ac:dyDescent="0.3">
      <c r="A199" s="287" t="s">
        <v>1836</v>
      </c>
      <c r="B199" s="288" t="s">
        <v>1442</v>
      </c>
      <c r="C199" s="288" t="s">
        <v>1837</v>
      </c>
      <c r="D199" s="288">
        <v>108477</v>
      </c>
      <c r="E199" s="288">
        <v>10007417</v>
      </c>
    </row>
    <row r="200" spans="1:5" x14ac:dyDescent="0.3">
      <c r="A200" s="287" t="s">
        <v>1838</v>
      </c>
      <c r="B200" s="288" t="s">
        <v>1442</v>
      </c>
      <c r="C200" s="288" t="s">
        <v>1839</v>
      </c>
      <c r="D200" s="288">
        <v>107960</v>
      </c>
      <c r="E200" s="288">
        <v>10007427</v>
      </c>
    </row>
    <row r="201" spans="1:5" x14ac:dyDescent="0.3">
      <c r="A201" s="287" t="s">
        <v>1840</v>
      </c>
      <c r="B201" s="288" t="s">
        <v>1442</v>
      </c>
      <c r="C201" s="288" t="s">
        <v>1841</v>
      </c>
      <c r="D201" s="288">
        <v>105936</v>
      </c>
      <c r="E201" s="288">
        <v>10007431</v>
      </c>
    </row>
    <row r="202" spans="1:5" x14ac:dyDescent="0.3">
      <c r="A202" s="287" t="s">
        <v>1842</v>
      </c>
      <c r="B202" s="288" t="s">
        <v>1442</v>
      </c>
      <c r="C202" s="288" t="s">
        <v>1843</v>
      </c>
      <c r="D202" s="288">
        <v>107143</v>
      </c>
      <c r="E202" s="288">
        <v>10007434</v>
      </c>
    </row>
    <row r="203" spans="1:5" x14ac:dyDescent="0.3">
      <c r="A203" s="287" t="s">
        <v>1844</v>
      </c>
      <c r="B203" s="288" t="s">
        <v>1442</v>
      </c>
      <c r="C203" s="288" t="s">
        <v>1845</v>
      </c>
      <c r="D203" s="288">
        <v>105242</v>
      </c>
      <c r="E203" s="288">
        <v>10007459</v>
      </c>
    </row>
    <row r="204" spans="1:5" x14ac:dyDescent="0.3">
      <c r="A204" s="287" t="s">
        <v>2014</v>
      </c>
      <c r="B204" s="288" t="s">
        <v>1442</v>
      </c>
      <c r="C204" s="288" t="s">
        <v>1846</v>
      </c>
      <c r="D204" s="288">
        <v>106540</v>
      </c>
      <c r="E204" s="288">
        <v>10007469</v>
      </c>
    </row>
    <row r="205" spans="1:5" x14ac:dyDescent="0.3">
      <c r="A205" s="287" t="s">
        <v>1847</v>
      </c>
      <c r="B205" s="288" t="s">
        <v>1442</v>
      </c>
      <c r="C205" s="288" t="s">
        <v>1848</v>
      </c>
      <c r="D205" s="288">
        <v>107785</v>
      </c>
      <c r="E205" s="288">
        <v>10007500</v>
      </c>
    </row>
    <row r="206" spans="1:5" x14ac:dyDescent="0.3">
      <c r="A206" s="287" t="s">
        <v>1849</v>
      </c>
      <c r="B206" s="288" t="s">
        <v>1449</v>
      </c>
      <c r="C206" s="288" t="s">
        <v>1850</v>
      </c>
      <c r="D206" s="288">
        <v>108321</v>
      </c>
      <c r="E206" s="288">
        <v>10007503</v>
      </c>
    </row>
    <row r="207" spans="1:5" x14ac:dyDescent="0.3">
      <c r="A207" s="287" t="s">
        <v>1851</v>
      </c>
      <c r="B207" s="288" t="s">
        <v>1442</v>
      </c>
      <c r="C207" s="288" t="s">
        <v>1852</v>
      </c>
      <c r="D207" s="288">
        <v>109912</v>
      </c>
      <c r="E207" s="288">
        <v>10007527</v>
      </c>
    </row>
    <row r="208" spans="1:5" x14ac:dyDescent="0.3">
      <c r="A208" s="287" t="s">
        <v>1853</v>
      </c>
      <c r="B208" s="288" t="s">
        <v>1449</v>
      </c>
      <c r="C208" s="288" t="s">
        <v>1854</v>
      </c>
      <c r="D208" s="288">
        <v>108378</v>
      </c>
      <c r="E208" s="288">
        <v>10007546</v>
      </c>
    </row>
    <row r="209" spans="1:5" x14ac:dyDescent="0.3">
      <c r="A209" s="287" t="s">
        <v>1855</v>
      </c>
      <c r="B209" s="288" t="s">
        <v>1442</v>
      </c>
      <c r="C209" s="288" t="s">
        <v>1856</v>
      </c>
      <c r="D209" s="288">
        <v>108474</v>
      </c>
      <c r="E209" s="288">
        <v>10007553</v>
      </c>
    </row>
    <row r="210" spans="1:5" x14ac:dyDescent="0.3">
      <c r="A210" s="287" t="s">
        <v>1857</v>
      </c>
      <c r="B210" s="288" t="s">
        <v>1484</v>
      </c>
      <c r="C210" s="288" t="s">
        <v>1858</v>
      </c>
      <c r="D210" s="288">
        <v>108347</v>
      </c>
      <c r="E210" s="288">
        <v>10007364</v>
      </c>
    </row>
    <row r="211" spans="1:5" x14ac:dyDescent="0.3">
      <c r="A211" s="287" t="s">
        <v>1859</v>
      </c>
      <c r="B211" s="288" t="s">
        <v>1484</v>
      </c>
      <c r="C211" s="288" t="s">
        <v>1860</v>
      </c>
      <c r="D211" s="288">
        <v>108346</v>
      </c>
      <c r="E211" s="288">
        <v>10007636</v>
      </c>
    </row>
    <row r="212" spans="1:5" x14ac:dyDescent="0.3">
      <c r="A212" s="287" t="s">
        <v>1861</v>
      </c>
      <c r="B212" s="288" t="s">
        <v>1449</v>
      </c>
      <c r="C212" s="288" t="s">
        <v>1862</v>
      </c>
      <c r="D212" s="288">
        <v>108374</v>
      </c>
      <c r="E212" s="288">
        <v>10007671</v>
      </c>
    </row>
    <row r="213" spans="1:5" x14ac:dyDescent="0.3">
      <c r="A213" s="287" t="s">
        <v>1893</v>
      </c>
      <c r="B213" s="288" t="s">
        <v>1484</v>
      </c>
      <c r="C213" s="288" t="s">
        <v>1894</v>
      </c>
      <c r="D213" s="288">
        <v>165338</v>
      </c>
      <c r="E213" s="288">
        <v>10094574</v>
      </c>
    </row>
    <row r="214" spans="1:5" x14ac:dyDescent="0.3">
      <c r="A214" s="287" t="s">
        <v>1863</v>
      </c>
      <c r="B214" s="288" t="s">
        <v>1449</v>
      </c>
      <c r="C214" s="288" t="s">
        <v>1864</v>
      </c>
      <c r="D214" s="288">
        <v>108373</v>
      </c>
      <c r="E214" s="288">
        <v>10007673</v>
      </c>
    </row>
    <row r="215" spans="1:5" x14ac:dyDescent="0.3">
      <c r="A215" s="287" t="s">
        <v>1865</v>
      </c>
      <c r="B215" s="288" t="s">
        <v>1449</v>
      </c>
      <c r="C215" s="288" t="s">
        <v>1866</v>
      </c>
      <c r="D215" s="288">
        <v>108357</v>
      </c>
      <c r="E215" s="288">
        <v>10007682</v>
      </c>
    </row>
    <row r="216" spans="1:5" x14ac:dyDescent="0.3">
      <c r="A216" s="287" t="s">
        <v>1867</v>
      </c>
      <c r="B216" s="288" t="s">
        <v>1461</v>
      </c>
      <c r="C216" s="288" t="s">
        <v>1868</v>
      </c>
      <c r="D216" s="288">
        <v>107546</v>
      </c>
      <c r="E216" s="288">
        <v>10007696</v>
      </c>
    </row>
    <row r="217" spans="1:5" x14ac:dyDescent="0.3">
      <c r="A217" s="287" t="s">
        <v>1869</v>
      </c>
      <c r="B217" s="288" t="s">
        <v>1442</v>
      </c>
      <c r="C217" s="288" t="s">
        <v>1870</v>
      </c>
      <c r="D217" s="288">
        <v>107575</v>
      </c>
      <c r="E217" s="288">
        <v>10007709</v>
      </c>
    </row>
    <row r="218" spans="1:5" x14ac:dyDescent="0.3">
      <c r="A218" s="287"/>
      <c r="B218" s="288"/>
      <c r="C218" s="288"/>
      <c r="D218" s="288"/>
      <c r="E218" s="288"/>
    </row>
    <row r="219" spans="1:5" x14ac:dyDescent="0.3">
      <c r="A219" s="287"/>
      <c r="B219" s="288"/>
      <c r="C219" s="288"/>
      <c r="D219" s="288"/>
      <c r="E219" s="288"/>
    </row>
    <row r="220" spans="1:5" x14ac:dyDescent="0.3">
      <c r="A220" s="287"/>
      <c r="B220" s="288"/>
      <c r="C220" s="288"/>
      <c r="D220" s="288"/>
      <c r="E220" s="288"/>
    </row>
    <row r="221" spans="1:5" x14ac:dyDescent="0.3">
      <c r="A221" s="287"/>
      <c r="B221" s="288"/>
      <c r="C221" s="288"/>
      <c r="D221" s="288"/>
      <c r="E221" s="288"/>
    </row>
    <row r="222" spans="1:5" x14ac:dyDescent="0.3">
      <c r="A222" s="287"/>
      <c r="B222" s="288"/>
      <c r="C222" s="288"/>
      <c r="D222" s="288"/>
      <c r="E222" s="288"/>
    </row>
    <row r="223" spans="1:5" x14ac:dyDescent="0.3">
      <c r="A223" s="287"/>
      <c r="B223" s="288"/>
      <c r="C223" s="288"/>
      <c r="D223" s="288"/>
      <c r="E223" s="288"/>
    </row>
    <row r="224" spans="1:5" x14ac:dyDescent="0.3">
      <c r="A224" s="287"/>
      <c r="B224" s="288"/>
      <c r="C224" s="288"/>
      <c r="D224" s="288"/>
      <c r="E224" s="288"/>
    </row>
    <row r="225" spans="1:5" x14ac:dyDescent="0.3">
      <c r="A225" s="287"/>
      <c r="B225" s="288"/>
      <c r="C225" s="288"/>
      <c r="D225" s="288"/>
      <c r="E225" s="288"/>
    </row>
    <row r="226" spans="1:5" x14ac:dyDescent="0.3">
      <c r="A226" s="287"/>
      <c r="B226" s="288"/>
      <c r="C226" s="288"/>
      <c r="D226" s="288"/>
      <c r="E226" s="288"/>
    </row>
    <row r="227" spans="1:5" x14ac:dyDescent="0.3">
      <c r="A227" s="287"/>
      <c r="B227" s="288"/>
      <c r="C227" s="288"/>
      <c r="D227" s="288"/>
      <c r="E227" s="288"/>
    </row>
    <row r="228" spans="1:5" x14ac:dyDescent="0.3">
      <c r="A228" s="287"/>
      <c r="B228" s="288"/>
      <c r="C228" s="288"/>
      <c r="D228" s="288"/>
      <c r="E228" s="288"/>
    </row>
    <row r="229" spans="1:5" x14ac:dyDescent="0.3">
      <c r="A229" s="287"/>
      <c r="B229" s="288"/>
      <c r="C229" s="288"/>
      <c r="D229" s="288"/>
      <c r="E229" s="288"/>
    </row>
    <row r="230" spans="1:5" x14ac:dyDescent="0.3">
      <c r="A230" s="287"/>
      <c r="B230" s="288"/>
      <c r="C230" s="288"/>
      <c r="D230" s="288"/>
      <c r="E230" s="288"/>
    </row>
    <row r="231" spans="1:5" x14ac:dyDescent="0.3">
      <c r="A231" s="287"/>
      <c r="B231" s="288"/>
      <c r="C231" s="288"/>
      <c r="D231" s="288"/>
      <c r="E231" s="288"/>
    </row>
    <row r="232" spans="1:5" x14ac:dyDescent="0.3">
      <c r="A232" s="287"/>
      <c r="B232" s="288"/>
      <c r="C232" s="288"/>
      <c r="D232" s="288"/>
      <c r="E232" s="288"/>
    </row>
    <row r="233" spans="1:5" x14ac:dyDescent="0.3">
      <c r="A233" s="287"/>
      <c r="B233" s="288"/>
      <c r="C233" s="288"/>
      <c r="D233" s="288"/>
      <c r="E233" s="288"/>
    </row>
    <row r="234" spans="1:5" x14ac:dyDescent="0.3">
      <c r="A234" s="287"/>
      <c r="B234" s="288"/>
      <c r="C234" s="288"/>
      <c r="D234" s="288"/>
      <c r="E234" s="288"/>
    </row>
    <row r="235" spans="1:5" x14ac:dyDescent="0.3">
      <c r="A235" s="287"/>
      <c r="B235" s="288"/>
      <c r="C235" s="288"/>
      <c r="D235" s="288"/>
      <c r="E235" s="288"/>
    </row>
    <row r="236" spans="1:5" x14ac:dyDescent="0.3">
      <c r="A236" s="287"/>
      <c r="B236" s="288"/>
      <c r="C236" s="288"/>
      <c r="D236" s="288"/>
      <c r="E236" s="288"/>
    </row>
    <row r="237" spans="1:5" x14ac:dyDescent="0.3">
      <c r="A237" s="287"/>
      <c r="B237" s="288"/>
      <c r="C237" s="288"/>
      <c r="D237" s="288"/>
      <c r="E237" s="288"/>
    </row>
    <row r="238" spans="1:5" x14ac:dyDescent="0.3">
      <c r="A238" s="287"/>
      <c r="B238" s="288"/>
      <c r="C238" s="288"/>
      <c r="D238" s="288"/>
      <c r="E238" s="288"/>
    </row>
    <row r="239" spans="1:5" x14ac:dyDescent="0.3">
      <c r="A239" s="287"/>
      <c r="B239" s="288"/>
      <c r="C239" s="288"/>
      <c r="D239" s="288"/>
      <c r="E239" s="288"/>
    </row>
    <row r="240" spans="1:5" x14ac:dyDescent="0.3">
      <c r="A240" s="287"/>
      <c r="B240" s="288"/>
      <c r="C240" s="288"/>
      <c r="D240" s="288"/>
      <c r="E240" s="288"/>
    </row>
    <row r="241" spans="1:5" x14ac:dyDescent="0.3">
      <c r="A241" s="287"/>
      <c r="B241" s="288"/>
      <c r="C241" s="288"/>
      <c r="D241" s="288"/>
      <c r="E241" s="288"/>
    </row>
    <row r="242" spans="1:5" x14ac:dyDescent="0.3">
      <c r="A242" s="287"/>
      <c r="B242" s="288"/>
      <c r="C242" s="288"/>
      <c r="D242" s="288"/>
      <c r="E242" s="288"/>
    </row>
  </sheetData>
  <sheetProtection algorithmName="SHA-512" hashValue="CNyUiU4CJJo4OkMaLAi5oEJBhXN1NULSjK7kVphXlb2YGWauK/eUbO5Arrjik2A7nLdVrnHd8l4rz4cmYFJ2ww==" saltValue="Ae0jq1UzfAuHYfyp1o3xVQ==" spinCount="100000" sheet="1" objects="1" scenarios="1"/>
  <sortState xmlns:xlrd2="http://schemas.microsoft.com/office/spreadsheetml/2017/richdata2" ref="A2:E232">
    <sortCondition ref="A2:A232"/>
  </sortState>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60AAE-B3F6-4758-AFDF-713B65CE304B}">
  <sheetPr>
    <tabColor rgb="FFC00000"/>
  </sheetPr>
  <dimension ref="A1:R6"/>
  <sheetViews>
    <sheetView showGridLines="0" zoomScaleNormal="100" workbookViewId="0"/>
  </sheetViews>
  <sheetFormatPr defaultRowHeight="14.5" x14ac:dyDescent="0.35"/>
  <cols>
    <col min="4" max="4" width="68.81640625" customWidth="1"/>
    <col min="5" max="5" width="2.7265625" customWidth="1"/>
    <col min="6" max="6" width="2.1796875" customWidth="1"/>
    <col min="7" max="7" width="12.54296875" customWidth="1"/>
  </cols>
  <sheetData>
    <row r="1" spans="1:18" x14ac:dyDescent="0.35">
      <c r="A1" s="147">
        <f ca="1">ToC!A1</f>
        <v>0</v>
      </c>
      <c r="B1" s="2" t="s">
        <v>69</v>
      </c>
      <c r="C1" s="2"/>
      <c r="D1" s="2">
        <f>'Cover sheet'!E8</f>
        <v>0</v>
      </c>
      <c r="E1" s="2"/>
      <c r="F1" s="61"/>
      <c r="G1" s="61"/>
      <c r="H1" s="2"/>
      <c r="I1" s="2"/>
      <c r="J1" s="2"/>
      <c r="K1" s="2"/>
      <c r="L1" s="2"/>
      <c r="M1" s="2"/>
      <c r="N1" s="2"/>
      <c r="O1" s="2"/>
      <c r="P1" s="2"/>
      <c r="Q1" s="2"/>
      <c r="R1" s="2"/>
    </row>
    <row r="2" spans="1:18" x14ac:dyDescent="0.35">
      <c r="A2" s="205"/>
      <c r="B2" s="2"/>
      <c r="C2" s="2"/>
      <c r="D2" s="293" t="s">
        <v>1205</v>
      </c>
      <c r="E2" s="2"/>
      <c r="F2" s="2"/>
      <c r="G2" s="2"/>
      <c r="H2" s="2"/>
      <c r="I2" s="2"/>
      <c r="J2" s="2"/>
      <c r="K2" s="2"/>
      <c r="L2" s="2"/>
      <c r="M2" s="2"/>
      <c r="N2" s="2"/>
      <c r="O2" s="2"/>
      <c r="P2" s="2"/>
      <c r="Q2" s="2"/>
      <c r="R2" s="2"/>
    </row>
    <row r="3" spans="1:18" x14ac:dyDescent="0.35">
      <c r="A3" s="2"/>
      <c r="B3" s="2"/>
      <c r="C3" s="2"/>
      <c r="D3" s="293" t="s">
        <v>1206</v>
      </c>
      <c r="E3" s="2"/>
      <c r="F3" s="2"/>
      <c r="G3" s="2"/>
      <c r="H3" s="2"/>
      <c r="I3" s="2"/>
      <c r="J3" s="2"/>
      <c r="K3" s="2"/>
      <c r="L3" s="2"/>
      <c r="M3" s="2"/>
      <c r="N3" s="2"/>
      <c r="O3" s="2"/>
      <c r="P3" s="2"/>
      <c r="Q3" s="2"/>
      <c r="R3" s="2"/>
    </row>
    <row r="4" spans="1:18" x14ac:dyDescent="0.35">
      <c r="A4" s="2"/>
      <c r="B4" s="2"/>
      <c r="C4" s="2"/>
      <c r="D4" s="293" t="s">
        <v>1207</v>
      </c>
      <c r="E4" s="2"/>
      <c r="F4" s="2"/>
      <c r="G4" s="37" t="str">
        <f>'Cover sheet'!E17</f>
        <v>FY2025</v>
      </c>
      <c r="H4" s="2"/>
      <c r="I4" s="2"/>
      <c r="J4" s="2"/>
      <c r="K4" s="2"/>
      <c r="L4" s="2"/>
      <c r="M4" s="2"/>
      <c r="N4" s="2"/>
      <c r="O4" s="2"/>
      <c r="P4" s="2"/>
      <c r="Q4" s="2"/>
      <c r="R4" s="2"/>
    </row>
    <row r="5" spans="1:18" x14ac:dyDescent="0.35">
      <c r="A5" s="206"/>
      <c r="B5" s="61"/>
      <c r="C5" s="2"/>
      <c r="D5" s="294" t="s">
        <v>9</v>
      </c>
      <c r="E5" s="2"/>
      <c r="F5" s="2"/>
      <c r="G5" s="37" t="s">
        <v>134</v>
      </c>
      <c r="H5" s="2"/>
      <c r="I5" s="2"/>
      <c r="J5" s="2"/>
      <c r="K5" s="2"/>
      <c r="L5" s="2"/>
      <c r="M5" s="2"/>
      <c r="N5" s="295"/>
      <c r="O5" s="2"/>
      <c r="P5" s="2"/>
      <c r="Q5" s="2"/>
      <c r="R5" s="2"/>
    </row>
    <row r="6" spans="1:18" x14ac:dyDescent="0.35">
      <c r="A6" s="81" t="s">
        <v>5</v>
      </c>
    </row>
  </sheetData>
  <conditionalFormatting sqref="A1">
    <cfRule type="cellIs" dxfId="1" priority="1" operator="equal">
      <formula>0</formula>
    </cfRule>
    <cfRule type="cellIs" dxfId="0" priority="2" operator="greaterThan">
      <formula>0</formula>
    </cfRule>
  </conditionalFormatting>
  <dataValidations count="1">
    <dataValidation allowBlank="1" showInputMessage="1" promptTitle="Add Sheet" prompt="Colleges can add their own sheets into the Finance Record, however, any structural changes, e.g. to names of existing tabs, will result in a rejection of the entire FR submission." sqref="A6" xr:uid="{2CCA743D-940C-48DA-BD42-B3412AA03C76}"/>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128A7-DF81-4ED7-9B68-A03A2C9FFB5D}">
  <sheetPr codeName="Sheet3">
    <tabColor rgb="FFFFFF00"/>
    <pageSetUpPr fitToPage="1"/>
  </sheetPr>
  <dimension ref="A1:AT277"/>
  <sheetViews>
    <sheetView showGridLines="0" zoomScaleNormal="100" workbookViewId="0">
      <pane ySplit="5" topLeftCell="A6" activePane="bottomLeft" state="frozen"/>
      <selection activeCell="B29" sqref="B29"/>
      <selection pane="bottomLeft"/>
    </sheetView>
  </sheetViews>
  <sheetFormatPr defaultColWidth="9" defaultRowHeight="14.5" x14ac:dyDescent="0.35"/>
  <cols>
    <col min="1" max="1" width="12" customWidth="1"/>
    <col min="2" max="2" width="2.81640625" customWidth="1"/>
    <col min="3" max="3" width="10" customWidth="1"/>
    <col min="4" max="4" width="80.1796875" customWidth="1"/>
    <col min="5" max="5" width="50.453125" customWidth="1"/>
    <col min="6" max="6" width="12.26953125" customWidth="1"/>
    <col min="7" max="7" width="26.54296875" customWidth="1"/>
    <col min="8" max="8" width="35.81640625" customWidth="1"/>
    <col min="9" max="13" width="1.54296875" customWidth="1"/>
    <col min="14" max="14" width="16.54296875" customWidth="1"/>
    <col min="15" max="15" width="18.7265625" customWidth="1"/>
    <col min="16" max="16" width="16.1796875" bestFit="1" customWidth="1"/>
  </cols>
  <sheetData>
    <row r="1" spans="1:45" x14ac:dyDescent="0.35">
      <c r="A1" s="147">
        <f ca="1">ToC!A1</f>
        <v>0</v>
      </c>
      <c r="B1" s="2" t="s">
        <v>6</v>
      </c>
      <c r="C1" s="2"/>
      <c r="D1" s="2">
        <f>E8</f>
        <v>0</v>
      </c>
      <c r="E1" s="2"/>
      <c r="F1" s="2"/>
      <c r="G1" s="2"/>
      <c r="H1" s="2"/>
      <c r="I1" s="14"/>
      <c r="L1" s="112"/>
      <c r="M1" s="112"/>
      <c r="N1" s="125" t="s">
        <v>3</v>
      </c>
      <c r="O1" s="112"/>
      <c r="P1" s="112"/>
      <c r="Q1" s="112"/>
      <c r="R1" s="112"/>
      <c r="S1" s="112"/>
      <c r="T1" s="112"/>
      <c r="U1" s="112"/>
      <c r="V1" s="112"/>
      <c r="W1" s="112"/>
    </row>
    <row r="2" spans="1:45" x14ac:dyDescent="0.35">
      <c r="A2" s="13" cm="1">
        <f t="array" aca="1" ref="A2" ca="1">HYPERLINK(CONCATENATE("#",CELL("address",IF(SUM(A$8:A$61)=0,$A$2,INDEX(A$8:A$61,MATCH(1,A$8:A$61,0))))),SUM(A$8:A$61))</f>
        <v>0</v>
      </c>
      <c r="B2" s="2"/>
      <c r="C2" s="2"/>
      <c r="D2" s="2"/>
      <c r="E2" s="2"/>
      <c r="F2" s="2"/>
      <c r="G2" s="2"/>
      <c r="H2" s="2"/>
      <c r="I2" s="14"/>
      <c r="L2" s="112"/>
      <c r="M2" s="112"/>
      <c r="N2" s="81" t="s">
        <v>5</v>
      </c>
      <c r="O2" s="112"/>
      <c r="P2" s="112"/>
      <c r="Q2" s="112"/>
      <c r="R2" s="112"/>
      <c r="S2" s="112"/>
      <c r="T2" s="112"/>
      <c r="U2" s="112"/>
      <c r="V2" s="112"/>
      <c r="W2" s="112"/>
    </row>
    <row r="3" spans="1:45" x14ac:dyDescent="0.35">
      <c r="A3" s="111" t="str" cm="1">
        <f t="array" aca="1" ref="A3" ca="1">HYPERLINK(CONCATENATE("#",CELL("address",ToC!$A$1)),ToC!$C$1)</f>
        <v>TOC</v>
      </c>
      <c r="B3" s="111"/>
      <c r="C3" s="2"/>
      <c r="D3" s="2"/>
      <c r="E3" s="2"/>
      <c r="F3" s="2"/>
      <c r="G3" s="2"/>
      <c r="H3" s="2"/>
      <c r="I3" s="14"/>
      <c r="L3" s="112"/>
      <c r="M3" s="112"/>
      <c r="N3" s="7" cm="1">
        <f t="array" aca="1" ref="N3" ca="1">HYPERLINK(CONCATENATE("#",CELL("address",IF(SUM(N$7:N$204)=0,$N$2,INDEX(N$7:N$204,MATCH(1,N$7:N$204,0))))),SUM(N$7:N$204))</f>
        <v>15</v>
      </c>
      <c r="O3" s="112"/>
      <c r="P3" s="112"/>
      <c r="Q3" s="112"/>
      <c r="R3" s="112"/>
      <c r="S3" s="112"/>
      <c r="T3" s="112"/>
      <c r="U3" s="112"/>
      <c r="V3" s="112"/>
      <c r="W3" s="112"/>
    </row>
    <row r="4" spans="1:45" x14ac:dyDescent="0.35">
      <c r="A4" s="2"/>
      <c r="B4" s="2"/>
      <c r="C4" s="2"/>
      <c r="D4" s="2"/>
      <c r="E4" s="2"/>
      <c r="F4" s="2"/>
      <c r="G4" s="2"/>
      <c r="H4" s="2"/>
      <c r="I4" s="14"/>
      <c r="L4" s="112"/>
      <c r="M4" s="112"/>
      <c r="N4" s="20"/>
      <c r="P4" s="112"/>
      <c r="Q4" s="112"/>
      <c r="R4" s="112"/>
      <c r="S4" s="112"/>
      <c r="T4" s="112"/>
      <c r="U4" s="112"/>
      <c r="V4" s="112"/>
      <c r="W4" s="112"/>
    </row>
    <row r="5" spans="1:45" x14ac:dyDescent="0.35">
      <c r="A5" s="2" t="s">
        <v>7</v>
      </c>
      <c r="B5" s="2"/>
      <c r="C5" s="2" t="s">
        <v>8</v>
      </c>
      <c r="D5" s="2" t="s">
        <v>9</v>
      </c>
      <c r="E5" s="2"/>
      <c r="F5" s="2"/>
      <c r="G5" s="2"/>
      <c r="H5" s="2"/>
      <c r="L5" s="112"/>
      <c r="M5" s="112"/>
      <c r="N5" s="20"/>
      <c r="P5" s="112"/>
      <c r="Q5" s="20"/>
      <c r="R5" s="20"/>
      <c r="S5" s="112"/>
      <c r="T5" s="112"/>
      <c r="U5" s="112"/>
      <c r="V5" s="112"/>
      <c r="W5" s="112"/>
    </row>
    <row r="6" spans="1:45" x14ac:dyDescent="0.35">
      <c r="A6" s="5"/>
      <c r="B6" s="21"/>
      <c r="C6" s="21"/>
      <c r="D6" s="5" t="s">
        <v>10</v>
      </c>
      <c r="E6" s="5"/>
      <c r="F6" s="5"/>
      <c r="G6" s="5"/>
      <c r="H6" s="5"/>
      <c r="I6" s="14"/>
      <c r="J6" s="14"/>
      <c r="K6" s="14"/>
      <c r="L6" s="20"/>
      <c r="M6" s="20"/>
      <c r="N6" s="20"/>
      <c r="O6" s="14"/>
      <c r="Q6" s="20"/>
      <c r="R6" s="20"/>
      <c r="S6" s="20"/>
      <c r="T6" s="20"/>
      <c r="U6" s="20"/>
      <c r="V6" s="20"/>
      <c r="W6" s="20"/>
      <c r="X6" s="14"/>
      <c r="Y6" s="14"/>
      <c r="Z6" s="14"/>
      <c r="AA6" s="14"/>
      <c r="AB6" s="14"/>
      <c r="AC6" s="14"/>
      <c r="AD6" s="14"/>
      <c r="AE6" s="14"/>
      <c r="AF6" s="14"/>
      <c r="AG6" s="14"/>
      <c r="AH6" s="14"/>
      <c r="AI6" s="14"/>
      <c r="AJ6" s="14"/>
      <c r="AK6" s="14"/>
      <c r="AL6" s="14"/>
      <c r="AM6" s="14"/>
      <c r="AN6" s="14"/>
      <c r="AO6" s="14"/>
      <c r="AP6" s="14"/>
      <c r="AQ6" s="14"/>
      <c r="AR6" s="14"/>
      <c r="AS6" s="14"/>
    </row>
    <row r="7" spans="1:45" x14ac:dyDescent="0.35">
      <c r="A7" s="14"/>
      <c r="B7" s="14"/>
      <c r="C7" s="14"/>
      <c r="D7" s="14"/>
      <c r="E7" s="14"/>
      <c r="F7" s="14"/>
      <c r="G7" s="14"/>
      <c r="H7" s="14"/>
      <c r="I7" s="14"/>
      <c r="J7" s="14"/>
      <c r="K7" s="14"/>
      <c r="L7" s="20"/>
      <c r="M7" s="20"/>
      <c r="N7" s="20"/>
      <c r="O7" s="14"/>
      <c r="Q7" s="20"/>
      <c r="R7" s="20"/>
      <c r="S7" s="20"/>
      <c r="T7" s="20"/>
      <c r="U7" s="20"/>
      <c r="V7" s="20"/>
      <c r="W7" s="20"/>
      <c r="X7" s="14"/>
      <c r="Y7" s="14"/>
      <c r="Z7" s="14"/>
      <c r="AA7" s="14"/>
      <c r="AB7" s="14"/>
      <c r="AC7" s="14"/>
      <c r="AD7" s="14"/>
      <c r="AE7" s="14"/>
      <c r="AF7" s="14"/>
      <c r="AG7" s="14"/>
      <c r="AH7" s="14"/>
      <c r="AI7" s="14"/>
      <c r="AJ7" s="14"/>
      <c r="AK7" s="14"/>
      <c r="AL7" s="14"/>
      <c r="AM7" s="14"/>
      <c r="AN7" s="14"/>
      <c r="AO7" s="14"/>
    </row>
    <row r="8" spans="1:45" x14ac:dyDescent="0.35">
      <c r="A8" s="14"/>
      <c r="B8" s="16"/>
      <c r="C8" s="16" t="s">
        <v>11</v>
      </c>
      <c r="D8" s="17" t="s">
        <v>12</v>
      </c>
      <c r="E8" s="145"/>
      <c r="F8" s="14"/>
      <c r="G8" s="14"/>
      <c r="H8" s="14"/>
      <c r="K8" s="14"/>
      <c r="L8" s="20"/>
      <c r="M8" s="20"/>
      <c r="N8" s="7">
        <f>IF(E8=0, 1, 0)</f>
        <v>1</v>
      </c>
      <c r="O8" s="14"/>
      <c r="P8" s="14"/>
      <c r="Q8" s="20"/>
      <c r="R8" s="20"/>
      <c r="S8" s="20"/>
      <c r="T8" s="20"/>
      <c r="U8" s="20"/>
      <c r="V8" s="20"/>
      <c r="W8" s="20"/>
      <c r="X8" s="14"/>
      <c r="Y8" s="14"/>
      <c r="Z8" s="14"/>
      <c r="AA8" s="14"/>
      <c r="AB8" s="14"/>
      <c r="AC8" s="14"/>
      <c r="AD8" s="14"/>
      <c r="AE8" s="14"/>
      <c r="AF8" s="14"/>
      <c r="AG8" s="14"/>
      <c r="AH8" s="14"/>
      <c r="AI8" s="14"/>
      <c r="AJ8" s="14"/>
      <c r="AK8" s="14"/>
      <c r="AL8" s="14"/>
      <c r="AM8" s="14"/>
      <c r="AN8" s="14"/>
      <c r="AO8" s="14"/>
      <c r="AP8" s="14"/>
      <c r="AQ8" s="14"/>
      <c r="AR8" s="14"/>
      <c r="AS8" s="14"/>
    </row>
    <row r="9" spans="1:45" x14ac:dyDescent="0.35">
      <c r="A9" s="14"/>
      <c r="B9" s="16"/>
      <c r="C9" s="16" t="s">
        <v>13</v>
      </c>
      <c r="D9" s="18" t="s">
        <v>14</v>
      </c>
      <c r="E9" s="19" t="str">
        <f>_xlfn.IFNA(INDEX('List of colleges'!$B2:$B223, MATCH($E$8, 'List of colleges'!$A$2:$A$223, 0)), "")</f>
        <v/>
      </c>
      <c r="F9" s="14"/>
      <c r="G9" s="14"/>
      <c r="H9" s="14"/>
      <c r="K9" s="14"/>
      <c r="L9" s="20"/>
      <c r="M9" s="20"/>
      <c r="N9" s="20"/>
      <c r="O9" s="14"/>
      <c r="P9" s="14"/>
      <c r="Q9" s="20"/>
      <c r="R9" s="20"/>
      <c r="S9" s="20"/>
      <c r="T9" s="20"/>
      <c r="U9" s="20"/>
      <c r="V9" s="20"/>
      <c r="W9" s="20"/>
      <c r="X9" s="14"/>
      <c r="Y9" s="14"/>
      <c r="Z9" s="14"/>
      <c r="AA9" s="14"/>
      <c r="AB9" s="14"/>
      <c r="AC9" s="14"/>
      <c r="AD9" s="14"/>
      <c r="AE9" s="14"/>
      <c r="AF9" s="14"/>
      <c r="AG9" s="14"/>
      <c r="AH9" s="14"/>
      <c r="AI9" s="14"/>
      <c r="AJ9" s="14"/>
      <c r="AK9" s="14"/>
      <c r="AL9" s="14"/>
      <c r="AM9" s="14"/>
      <c r="AN9" s="14"/>
      <c r="AO9" s="14"/>
      <c r="AP9" s="14"/>
      <c r="AQ9" s="14"/>
      <c r="AR9" s="14"/>
      <c r="AS9" s="14"/>
    </row>
    <row r="10" spans="1:45" x14ac:dyDescent="0.35">
      <c r="A10" s="14"/>
      <c r="B10" s="16"/>
      <c r="C10" s="16" t="s">
        <v>15</v>
      </c>
      <c r="D10" s="17" t="s">
        <v>16</v>
      </c>
      <c r="E10" s="19" t="str">
        <f>_xlfn.IFNA(INDEX('List of colleges'!$C2:$C223, MATCH($E$8, 'List of colleges'!$A$2:$A$223, 0)), "")</f>
        <v/>
      </c>
      <c r="F10" s="14"/>
      <c r="G10" s="14"/>
      <c r="H10" s="14"/>
      <c r="K10" s="14"/>
      <c r="L10" s="20"/>
      <c r="M10" s="20"/>
      <c r="N10" s="20"/>
      <c r="O10" s="14"/>
      <c r="P10" s="14"/>
      <c r="Q10" s="20"/>
      <c r="R10" s="20"/>
      <c r="S10" s="20"/>
      <c r="T10" s="20"/>
      <c r="U10" s="20"/>
      <c r="V10" s="20"/>
      <c r="W10" s="20"/>
      <c r="X10" s="14"/>
      <c r="Y10" s="14"/>
      <c r="Z10" s="14"/>
      <c r="AA10" s="14"/>
      <c r="AB10" s="14"/>
      <c r="AC10" s="14"/>
      <c r="AD10" s="14"/>
      <c r="AE10" s="14"/>
      <c r="AF10" s="14"/>
      <c r="AG10" s="14"/>
      <c r="AH10" s="14"/>
      <c r="AI10" s="14"/>
      <c r="AJ10" s="14"/>
      <c r="AK10" s="14"/>
      <c r="AL10" s="14"/>
      <c r="AM10" s="14"/>
      <c r="AN10" s="14"/>
      <c r="AO10" s="14"/>
      <c r="AP10" s="14"/>
      <c r="AQ10" s="14"/>
      <c r="AR10" s="14"/>
      <c r="AS10" s="14"/>
    </row>
    <row r="11" spans="1:45" x14ac:dyDescent="0.35">
      <c r="A11" s="14"/>
      <c r="B11" s="16"/>
      <c r="C11" s="16" t="s">
        <v>17</v>
      </c>
      <c r="D11" s="17" t="s">
        <v>18</v>
      </c>
      <c r="E11" s="419" t="str">
        <f>_xlfn.IFNA(INDEX('List of colleges'!$D2:$D223, MATCH($E$8,'List of colleges'!$A$2:$A$223, 0)),"")</f>
        <v/>
      </c>
      <c r="F11" s="14"/>
      <c r="G11" s="14"/>
      <c r="H11" s="14"/>
      <c r="K11" s="14"/>
      <c r="L11" s="20"/>
      <c r="M11" s="20"/>
      <c r="N11" s="20"/>
      <c r="O11" s="14"/>
      <c r="P11" s="14"/>
      <c r="Q11" s="20"/>
      <c r="R11" s="20"/>
      <c r="S11" s="20"/>
      <c r="T11" s="20"/>
      <c r="U11" s="20"/>
      <c r="V11" s="20"/>
      <c r="W11" s="20"/>
      <c r="X11" s="14"/>
      <c r="Y11" s="14"/>
      <c r="Z11" s="14"/>
      <c r="AA11" s="14"/>
      <c r="AB11" s="14"/>
      <c r="AC11" s="14"/>
      <c r="AD11" s="14"/>
      <c r="AE11" s="14"/>
      <c r="AF11" s="14"/>
      <c r="AG11" s="14"/>
      <c r="AH11" s="14"/>
      <c r="AI11" s="14"/>
      <c r="AJ11" s="14"/>
      <c r="AK11" s="14"/>
      <c r="AL11" s="14"/>
      <c r="AM11" s="14"/>
      <c r="AN11" s="14"/>
      <c r="AO11" s="14"/>
      <c r="AP11" s="14"/>
      <c r="AQ11" s="14"/>
      <c r="AR11" s="14"/>
      <c r="AS11" s="14"/>
    </row>
    <row r="12" spans="1:45" x14ac:dyDescent="0.35">
      <c r="A12" s="14"/>
      <c r="B12" s="16"/>
      <c r="C12" s="16" t="s">
        <v>19</v>
      </c>
      <c r="D12" s="17" t="s">
        <v>20</v>
      </c>
      <c r="E12" s="419" t="str">
        <f>_xlfn.IFNA(INDEX('List of colleges'!$E2:$E223, MATCH($E$8, 'List of colleges'!$A$2:$A$223, 0)), "")</f>
        <v/>
      </c>
      <c r="F12" s="14"/>
      <c r="G12" s="14"/>
      <c r="H12" s="14"/>
      <c r="K12" s="14"/>
      <c r="L12" s="20"/>
      <c r="M12" s="20"/>
      <c r="N12" s="20"/>
      <c r="O12" s="14"/>
      <c r="P12" s="14"/>
      <c r="Q12" s="20"/>
      <c r="R12" s="20"/>
      <c r="S12" s="20"/>
      <c r="T12" s="20"/>
      <c r="U12" s="20"/>
      <c r="V12" s="20"/>
      <c r="W12" s="20"/>
      <c r="X12" s="14"/>
      <c r="Y12" s="14"/>
      <c r="Z12" s="14"/>
      <c r="AA12" s="14"/>
      <c r="AB12" s="14"/>
      <c r="AC12" s="14"/>
      <c r="AD12" s="14"/>
      <c r="AE12" s="14"/>
      <c r="AF12" s="14"/>
      <c r="AG12" s="14"/>
      <c r="AH12" s="14"/>
      <c r="AI12" s="14"/>
      <c r="AJ12" s="14"/>
      <c r="AK12" s="14"/>
      <c r="AL12" s="14"/>
      <c r="AM12" s="14"/>
      <c r="AN12" s="14"/>
      <c r="AO12" s="14"/>
      <c r="AP12" s="14"/>
      <c r="AQ12" s="14"/>
      <c r="AR12" s="14"/>
      <c r="AS12" s="14"/>
    </row>
    <row r="13" spans="1:45" x14ac:dyDescent="0.35">
      <c r="A13" s="14"/>
      <c r="B13" s="16"/>
      <c r="C13" s="16"/>
      <c r="D13" s="17"/>
      <c r="E13" s="17"/>
      <c r="F13" s="14"/>
      <c r="G13" s="14"/>
      <c r="H13" s="14"/>
      <c r="K13" s="14"/>
      <c r="L13" s="20"/>
      <c r="M13" s="20"/>
      <c r="N13" s="20"/>
      <c r="O13" s="14"/>
      <c r="P13" s="14"/>
      <c r="Q13" s="20"/>
      <c r="R13" s="20"/>
      <c r="S13" s="20"/>
      <c r="T13" s="20"/>
      <c r="U13" s="20"/>
      <c r="V13" s="20"/>
      <c r="W13" s="20"/>
      <c r="X13" s="14"/>
      <c r="Y13" s="14"/>
      <c r="Z13" s="14"/>
      <c r="AA13" s="14"/>
      <c r="AB13" s="14"/>
      <c r="AC13" s="14"/>
      <c r="AD13" s="14"/>
      <c r="AE13" s="14"/>
      <c r="AF13" s="14"/>
      <c r="AG13" s="14"/>
      <c r="AH13" s="14"/>
      <c r="AI13" s="14"/>
      <c r="AJ13" s="14"/>
      <c r="AK13" s="14"/>
      <c r="AL13" s="14"/>
      <c r="AM13" s="14"/>
      <c r="AN13" s="14"/>
      <c r="AO13" s="14"/>
      <c r="AP13" s="14"/>
      <c r="AQ13" s="14"/>
      <c r="AR13" s="14"/>
      <c r="AS13" s="14"/>
    </row>
    <row r="14" spans="1:45" x14ac:dyDescent="0.35">
      <c r="A14" s="14"/>
      <c r="B14" s="16"/>
      <c r="C14" s="16"/>
      <c r="D14" s="17"/>
      <c r="E14" s="17"/>
      <c r="F14" s="14"/>
      <c r="G14" s="14"/>
      <c r="H14" s="14"/>
      <c r="K14" s="14"/>
      <c r="L14" s="20"/>
      <c r="M14" s="20"/>
      <c r="N14" s="20"/>
      <c r="O14" s="14"/>
      <c r="P14" s="14"/>
      <c r="Q14" s="20"/>
      <c r="R14" s="20"/>
      <c r="S14" s="20"/>
      <c r="T14" s="20"/>
      <c r="U14" s="20"/>
      <c r="V14" s="20"/>
      <c r="W14" s="20"/>
      <c r="X14" s="14"/>
      <c r="Y14" s="14"/>
      <c r="Z14" s="14"/>
      <c r="AA14" s="14"/>
      <c r="AB14" s="14"/>
      <c r="AC14" s="14"/>
      <c r="AD14" s="14"/>
      <c r="AE14" s="14"/>
      <c r="AF14" s="14"/>
      <c r="AG14" s="14"/>
      <c r="AH14" s="14"/>
      <c r="AI14" s="14"/>
      <c r="AJ14" s="14"/>
      <c r="AK14" s="14"/>
      <c r="AL14" s="14"/>
      <c r="AM14" s="14"/>
      <c r="AN14" s="14"/>
      <c r="AO14" s="14"/>
      <c r="AP14" s="14"/>
      <c r="AQ14" s="14"/>
      <c r="AR14" s="14"/>
      <c r="AS14" s="14"/>
    </row>
    <row r="15" spans="1:45" x14ac:dyDescent="0.35">
      <c r="A15" s="5"/>
      <c r="B15" s="21"/>
      <c r="C15" s="21"/>
      <c r="D15" s="5" t="s">
        <v>21</v>
      </c>
      <c r="E15" s="5"/>
      <c r="F15" s="5"/>
      <c r="G15" s="5"/>
      <c r="H15" s="5"/>
      <c r="K15" s="14"/>
      <c r="L15" s="20"/>
      <c r="M15" s="20"/>
      <c r="N15" s="20"/>
      <c r="O15" s="14"/>
      <c r="P15" s="14"/>
      <c r="Q15" s="20"/>
      <c r="R15" s="20"/>
      <c r="S15" s="20"/>
      <c r="T15" s="20"/>
      <c r="U15" s="20"/>
      <c r="V15" s="20"/>
      <c r="W15" s="20"/>
      <c r="X15" s="14"/>
      <c r="Y15" s="14"/>
      <c r="Z15" s="14"/>
      <c r="AA15" s="14"/>
      <c r="AB15" s="14"/>
      <c r="AC15" s="14"/>
      <c r="AD15" s="14"/>
      <c r="AE15" s="14"/>
      <c r="AF15" s="14"/>
      <c r="AG15" s="14"/>
      <c r="AH15" s="14"/>
      <c r="AI15" s="14"/>
      <c r="AJ15" s="14"/>
      <c r="AK15" s="14"/>
      <c r="AL15" s="14"/>
      <c r="AM15" s="14"/>
      <c r="AN15" s="14"/>
      <c r="AO15" s="14"/>
      <c r="AP15" s="14"/>
      <c r="AQ15" s="14"/>
      <c r="AR15" s="14"/>
      <c r="AS15" s="14"/>
    </row>
    <row r="16" spans="1:45" x14ac:dyDescent="0.35">
      <c r="A16" s="14"/>
      <c r="B16" s="16"/>
      <c r="C16" s="16"/>
      <c r="D16" s="17"/>
      <c r="E16" s="17"/>
      <c r="F16" s="14"/>
      <c r="G16" s="14"/>
      <c r="H16" s="14"/>
      <c r="K16" s="14"/>
      <c r="L16" s="20"/>
      <c r="M16" s="20"/>
      <c r="N16" s="20"/>
      <c r="O16" s="14"/>
      <c r="P16" s="14"/>
      <c r="Q16" s="20"/>
      <c r="R16" s="20"/>
      <c r="S16" s="20"/>
      <c r="T16" s="20"/>
      <c r="U16" s="20"/>
      <c r="V16" s="20"/>
      <c r="W16" s="20"/>
      <c r="X16" s="14"/>
      <c r="Y16" s="14"/>
      <c r="Z16" s="14"/>
      <c r="AA16" s="14"/>
      <c r="AB16" s="14"/>
      <c r="AC16" s="14"/>
      <c r="AD16" s="14"/>
      <c r="AE16" s="14"/>
      <c r="AF16" s="14"/>
      <c r="AG16" s="14"/>
      <c r="AH16" s="14"/>
      <c r="AI16" s="14"/>
      <c r="AJ16" s="14"/>
      <c r="AK16" s="14"/>
      <c r="AL16" s="14"/>
      <c r="AM16" s="14"/>
      <c r="AN16" s="14"/>
      <c r="AO16" s="14"/>
      <c r="AP16" s="14"/>
      <c r="AQ16" s="14"/>
      <c r="AR16" s="14"/>
      <c r="AS16" s="14"/>
    </row>
    <row r="17" spans="1:46" x14ac:dyDescent="0.35">
      <c r="A17" s="14"/>
      <c r="B17" s="14"/>
      <c r="C17" s="14"/>
      <c r="D17" s="83" t="s">
        <v>22</v>
      </c>
      <c r="E17" s="148" t="str">
        <f>Parameters!E3</f>
        <v>FY2025</v>
      </c>
      <c r="F17" s="14"/>
      <c r="G17" s="14"/>
      <c r="H17" s="14"/>
      <c r="K17" s="14"/>
      <c r="L17" s="20"/>
      <c r="M17" s="20"/>
      <c r="N17" s="20"/>
      <c r="O17" s="14"/>
      <c r="P17" s="14"/>
      <c r="Q17" s="20"/>
      <c r="R17" s="20"/>
      <c r="S17" s="20"/>
      <c r="T17" s="20"/>
      <c r="U17" s="20"/>
      <c r="V17" s="20"/>
      <c r="W17" s="20"/>
      <c r="X17" s="14"/>
      <c r="Y17" s="14"/>
      <c r="Z17" s="14"/>
      <c r="AA17" s="14"/>
      <c r="AB17" s="14"/>
      <c r="AC17" s="14"/>
      <c r="AD17" s="14"/>
      <c r="AE17" s="14"/>
      <c r="AF17" s="14"/>
      <c r="AG17" s="14"/>
      <c r="AH17" s="14"/>
      <c r="AI17" s="14"/>
      <c r="AJ17" s="14"/>
      <c r="AK17" s="14"/>
      <c r="AL17" s="14"/>
      <c r="AM17" s="14"/>
      <c r="AN17" s="14"/>
      <c r="AO17" s="14"/>
      <c r="AP17" s="14"/>
      <c r="AQ17" s="14"/>
      <c r="AR17" s="14"/>
      <c r="AS17" s="14"/>
    </row>
    <row r="18" spans="1:46" x14ac:dyDescent="0.35">
      <c r="A18" s="14"/>
      <c r="B18" s="16"/>
      <c r="C18" s="16"/>
      <c r="E18" s="17"/>
      <c r="F18" s="14"/>
      <c r="G18" s="14"/>
      <c r="H18" s="14"/>
      <c r="K18" s="14"/>
      <c r="L18" s="20"/>
      <c r="M18" s="20"/>
      <c r="N18" s="20"/>
      <c r="O18" s="14"/>
      <c r="P18" s="14"/>
      <c r="Q18" s="20"/>
      <c r="R18" s="20"/>
      <c r="S18" s="20"/>
      <c r="T18" s="20"/>
      <c r="U18" s="20"/>
      <c r="V18" s="20"/>
      <c r="W18" s="20"/>
      <c r="X18" s="14"/>
      <c r="Y18" s="14"/>
      <c r="Z18" s="14"/>
      <c r="AA18" s="14"/>
      <c r="AB18" s="14"/>
      <c r="AC18" s="14"/>
      <c r="AD18" s="14"/>
      <c r="AE18" s="14"/>
      <c r="AF18" s="14"/>
      <c r="AG18" s="14"/>
      <c r="AH18" s="14"/>
      <c r="AI18" s="14"/>
      <c r="AJ18" s="14"/>
      <c r="AK18" s="14"/>
      <c r="AL18" s="14"/>
      <c r="AM18" s="14"/>
      <c r="AN18" s="14"/>
      <c r="AO18" s="14"/>
      <c r="AP18" s="14"/>
      <c r="AQ18" s="14"/>
      <c r="AR18" s="14"/>
      <c r="AS18" s="14"/>
    </row>
    <row r="19" spans="1:46" x14ac:dyDescent="0.35">
      <c r="A19" s="14"/>
      <c r="B19" s="16"/>
      <c r="C19" s="16"/>
      <c r="D19" s="14" t="s">
        <v>23</v>
      </c>
      <c r="E19" s="267" t="str">
        <f>IF(SUM('Financial health'!$G$9:$G$11)=0,"",'Financial health'!G24)</f>
        <v/>
      </c>
      <c r="G19" s="14"/>
      <c r="H19" s="14"/>
      <c r="K19" s="14"/>
      <c r="L19" s="20"/>
      <c r="M19" s="20"/>
      <c r="N19" s="7">
        <f>IF(E19=0, 1, 0)</f>
        <v>0</v>
      </c>
      <c r="O19" s="14"/>
      <c r="P19" s="20"/>
      <c r="Q19" s="20"/>
      <c r="R19" s="20"/>
      <c r="S19" s="20"/>
      <c r="T19" s="20"/>
      <c r="U19" s="20"/>
      <c r="V19" s="20"/>
      <c r="W19" s="14"/>
      <c r="X19" s="14"/>
      <c r="Y19" s="14"/>
      <c r="Z19" s="14"/>
      <c r="AA19" s="14"/>
      <c r="AB19" s="14"/>
      <c r="AC19" s="14"/>
      <c r="AD19" s="14"/>
      <c r="AE19" s="14"/>
      <c r="AF19" s="14"/>
      <c r="AG19" s="14"/>
      <c r="AH19" s="14"/>
      <c r="AI19" s="14"/>
      <c r="AJ19" s="14"/>
      <c r="AK19" s="14"/>
      <c r="AL19" s="14"/>
      <c r="AM19" s="14"/>
      <c r="AN19" s="14"/>
      <c r="AO19" s="14"/>
      <c r="AP19" s="14"/>
      <c r="AQ19" s="14"/>
      <c r="AR19" s="14"/>
    </row>
    <row r="20" spans="1:46" x14ac:dyDescent="0.35">
      <c r="A20" s="14"/>
      <c r="B20" s="16"/>
      <c r="C20" s="16"/>
      <c r="D20" s="14" t="s">
        <v>24</v>
      </c>
      <c r="E20" s="267" t="str">
        <f>IF(SUM('Financial health'!$G$9:$G$11)=0,"",'Financial health'!G26)</f>
        <v/>
      </c>
      <c r="F20" s="421" t="str">
        <f>HYPERLINK("#'Financial health'!G25", "FH self-assess")</f>
        <v>FH self-assess</v>
      </c>
      <c r="G20" s="14"/>
      <c r="H20" s="14"/>
      <c r="K20" s="14"/>
      <c r="L20" s="20"/>
      <c r="M20" s="20"/>
      <c r="N20" s="7">
        <f>IF(E20=0, 1, 0)</f>
        <v>0</v>
      </c>
      <c r="O20" s="14"/>
      <c r="P20" s="20"/>
      <c r="Q20" s="20"/>
      <c r="R20" s="20"/>
      <c r="S20" s="20"/>
      <c r="T20" s="20"/>
      <c r="U20" s="20"/>
      <c r="V20" s="20"/>
      <c r="W20" s="14"/>
      <c r="X20" s="14"/>
      <c r="Y20" s="14"/>
      <c r="Z20" s="14"/>
      <c r="AA20" s="14"/>
      <c r="AB20" s="14"/>
      <c r="AC20" s="14"/>
      <c r="AD20" s="14"/>
      <c r="AE20" s="14"/>
      <c r="AF20" s="14"/>
      <c r="AG20" s="14"/>
      <c r="AH20" s="14"/>
      <c r="AI20" s="14"/>
      <c r="AJ20" s="14"/>
      <c r="AK20" s="14"/>
      <c r="AL20" s="14"/>
      <c r="AM20" s="14"/>
      <c r="AN20" s="14"/>
      <c r="AO20" s="14"/>
      <c r="AP20" s="14"/>
      <c r="AQ20" s="14"/>
      <c r="AR20" s="14"/>
    </row>
    <row r="21" spans="1:46" x14ac:dyDescent="0.35">
      <c r="A21" s="14"/>
      <c r="B21" s="16"/>
      <c r="C21" s="16"/>
      <c r="D21" s="17"/>
      <c r="E21" s="17"/>
      <c r="F21" s="14"/>
      <c r="G21" s="14"/>
      <c r="H21" s="14"/>
      <c r="K21" s="14"/>
      <c r="L21" s="20"/>
      <c r="M21" s="20"/>
      <c r="N21" s="20"/>
      <c r="O21" s="14"/>
      <c r="P21" s="14"/>
      <c r="Q21" s="20"/>
      <c r="R21" s="20"/>
      <c r="S21" s="20"/>
      <c r="T21" s="20"/>
      <c r="U21" s="20"/>
      <c r="V21" s="20"/>
      <c r="W21" s="20"/>
      <c r="X21" s="14"/>
      <c r="Y21" s="14"/>
      <c r="Z21" s="14"/>
      <c r="AA21" s="14"/>
      <c r="AB21" s="14"/>
      <c r="AC21" s="14"/>
      <c r="AD21" s="14"/>
      <c r="AE21" s="14"/>
      <c r="AF21" s="14"/>
      <c r="AG21" s="14"/>
      <c r="AH21" s="14"/>
      <c r="AI21" s="14"/>
      <c r="AJ21" s="14"/>
      <c r="AK21" s="14"/>
      <c r="AL21" s="14"/>
      <c r="AM21" s="14"/>
      <c r="AN21" s="14"/>
      <c r="AO21" s="14"/>
      <c r="AP21" s="14"/>
      <c r="AQ21" s="14"/>
      <c r="AR21" s="14"/>
      <c r="AS21" s="14"/>
    </row>
    <row r="22" spans="1:46" x14ac:dyDescent="0.35">
      <c r="A22" s="5"/>
      <c r="B22" s="5"/>
      <c r="C22" s="5"/>
      <c r="D22" s="5" t="s">
        <v>25</v>
      </c>
      <c r="E22" s="5"/>
      <c r="F22" s="5"/>
      <c r="G22" s="5"/>
      <c r="H22" s="5"/>
      <c r="K22" s="14"/>
      <c r="L22" s="20"/>
      <c r="M22" s="20"/>
      <c r="N22" s="20"/>
      <c r="P22" s="14"/>
      <c r="Q22" s="20"/>
      <c r="R22" s="20"/>
      <c r="S22" s="20"/>
      <c r="T22" s="20"/>
      <c r="U22" s="20"/>
      <c r="V22" s="20"/>
      <c r="W22" s="20"/>
      <c r="X22" s="14"/>
      <c r="Y22" s="14"/>
      <c r="Z22" s="14"/>
      <c r="AA22" s="14"/>
      <c r="AB22" s="14"/>
      <c r="AC22" s="14"/>
      <c r="AD22" s="14"/>
      <c r="AE22" s="14"/>
      <c r="AF22" s="14"/>
      <c r="AG22" s="14"/>
      <c r="AH22" s="14"/>
      <c r="AI22" s="14"/>
      <c r="AJ22" s="14"/>
      <c r="AK22" s="14"/>
      <c r="AL22" s="14"/>
      <c r="AM22" s="14"/>
      <c r="AN22" s="14"/>
      <c r="AO22" s="14"/>
      <c r="AP22" s="14"/>
      <c r="AQ22" s="14"/>
      <c r="AR22" s="14"/>
      <c r="AS22" s="14"/>
      <c r="AT22" s="14"/>
    </row>
    <row r="23" spans="1:46" ht="14.25" customHeight="1" x14ac:dyDescent="0.35">
      <c r="A23" s="14"/>
      <c r="B23" s="16"/>
      <c r="C23" s="16"/>
      <c r="D23" s="17"/>
      <c r="E23" s="17"/>
      <c r="F23" s="14"/>
      <c r="G23" s="14"/>
      <c r="H23" s="14"/>
      <c r="K23" s="14"/>
      <c r="L23" s="20"/>
      <c r="M23" s="20"/>
      <c r="N23" s="20"/>
      <c r="P23" s="14"/>
      <c r="Q23" s="20"/>
      <c r="R23" s="20"/>
      <c r="S23" s="20"/>
      <c r="T23" s="20"/>
      <c r="U23" s="20"/>
      <c r="V23" s="20"/>
      <c r="W23" s="20"/>
      <c r="X23" s="14"/>
      <c r="Y23" s="14"/>
      <c r="Z23" s="14"/>
      <c r="AA23" s="14"/>
      <c r="AB23" s="14"/>
      <c r="AC23" s="14"/>
      <c r="AD23" s="14"/>
      <c r="AE23" s="14"/>
      <c r="AF23" s="14"/>
      <c r="AG23" s="14"/>
      <c r="AH23" s="14"/>
      <c r="AI23" s="14"/>
      <c r="AJ23" s="14"/>
      <c r="AK23" s="14"/>
      <c r="AL23" s="14"/>
      <c r="AM23" s="14"/>
      <c r="AN23" s="14"/>
      <c r="AO23" s="14"/>
      <c r="AP23" s="14"/>
      <c r="AQ23" s="14"/>
      <c r="AR23" s="14"/>
      <c r="AS23" s="14"/>
      <c r="AT23" s="14"/>
    </row>
    <row r="24" spans="1:46" x14ac:dyDescent="0.35">
      <c r="A24" s="14"/>
      <c r="B24" s="16"/>
      <c r="C24" s="16" t="s">
        <v>26</v>
      </c>
      <c r="D24" s="22" t="s">
        <v>27</v>
      </c>
      <c r="E24" s="14"/>
      <c r="F24" s="447"/>
      <c r="G24" s="447"/>
      <c r="K24" s="14"/>
      <c r="L24" s="20"/>
      <c r="M24" s="20"/>
      <c r="N24" s="7">
        <f>IF(F24=0, 1, 0)</f>
        <v>1</v>
      </c>
      <c r="P24" s="14"/>
      <c r="Q24" s="20"/>
      <c r="R24" s="20"/>
      <c r="S24" s="20"/>
      <c r="T24" s="20"/>
      <c r="U24" s="20"/>
      <c r="V24" s="20"/>
      <c r="W24" s="20"/>
      <c r="X24" s="14"/>
      <c r="Y24" s="14"/>
      <c r="Z24" s="14"/>
      <c r="AA24" s="14"/>
      <c r="AB24" s="14"/>
      <c r="AC24" s="14"/>
      <c r="AD24" s="14"/>
      <c r="AE24" s="14"/>
      <c r="AF24" s="14"/>
      <c r="AG24" s="14"/>
      <c r="AH24" s="14"/>
      <c r="AI24" s="14"/>
      <c r="AJ24" s="14"/>
      <c r="AK24" s="14"/>
      <c r="AL24" s="14"/>
      <c r="AM24" s="14"/>
      <c r="AN24" s="14"/>
      <c r="AO24" s="14"/>
      <c r="AP24" s="14"/>
      <c r="AQ24" s="14"/>
      <c r="AR24" s="14"/>
      <c r="AS24" s="14"/>
      <c r="AT24" s="14"/>
    </row>
    <row r="25" spans="1:46" x14ac:dyDescent="0.35">
      <c r="A25" s="14"/>
      <c r="B25" s="16"/>
      <c r="C25" s="16"/>
      <c r="D25" s="22"/>
      <c r="E25" s="14"/>
      <c r="F25" s="14"/>
      <c r="G25" s="14"/>
      <c r="H25" s="14"/>
      <c r="K25" s="14"/>
      <c r="L25" s="20"/>
      <c r="M25" s="20"/>
      <c r="N25" s="20"/>
      <c r="P25" s="14"/>
      <c r="Q25" s="20"/>
      <c r="R25" s="20"/>
      <c r="S25" s="20"/>
      <c r="T25" s="20"/>
      <c r="U25" s="20"/>
      <c r="V25" s="20"/>
      <c r="W25" s="20"/>
      <c r="X25" s="14"/>
      <c r="Y25" s="14"/>
      <c r="Z25" s="14"/>
      <c r="AA25" s="14"/>
      <c r="AB25" s="14"/>
      <c r="AC25" s="14"/>
      <c r="AD25" s="14"/>
      <c r="AE25" s="14"/>
      <c r="AF25" s="14"/>
      <c r="AG25" s="14"/>
      <c r="AH25" s="14"/>
      <c r="AI25" s="14"/>
      <c r="AJ25" s="14"/>
      <c r="AK25" s="14"/>
      <c r="AL25" s="14"/>
      <c r="AM25" s="14"/>
      <c r="AN25" s="14"/>
      <c r="AO25" s="14"/>
      <c r="AP25" s="14"/>
      <c r="AQ25" s="14"/>
      <c r="AR25" s="14"/>
      <c r="AS25" s="14"/>
      <c r="AT25" s="14"/>
    </row>
    <row r="26" spans="1:46" x14ac:dyDescent="0.35">
      <c r="A26" s="14"/>
      <c r="B26" s="16"/>
      <c r="C26" s="16" t="s">
        <v>28</v>
      </c>
      <c r="D26" s="23" t="s">
        <v>29</v>
      </c>
      <c r="E26" s="123" t="s">
        <v>30</v>
      </c>
      <c r="F26" s="453" t="s">
        <v>31</v>
      </c>
      <c r="G26" s="453"/>
      <c r="H26" s="122" t="s">
        <v>32</v>
      </c>
      <c r="K26" s="14"/>
      <c r="L26" s="20"/>
      <c r="M26" s="20"/>
      <c r="N26" s="20"/>
      <c r="O26" s="14"/>
      <c r="Q26" s="20"/>
      <c r="R26" s="20"/>
      <c r="S26" s="20"/>
      <c r="T26" s="20"/>
      <c r="U26" s="20"/>
      <c r="V26" s="20"/>
      <c r="W26" s="20"/>
      <c r="X26" s="14"/>
      <c r="Y26" s="14"/>
      <c r="Z26" s="14"/>
      <c r="AA26" s="14"/>
      <c r="AB26" s="14"/>
      <c r="AC26" s="14"/>
      <c r="AD26" s="14"/>
      <c r="AE26" s="14"/>
      <c r="AF26" s="14"/>
      <c r="AG26" s="14"/>
      <c r="AH26" s="14"/>
      <c r="AI26" s="14"/>
      <c r="AJ26" s="14"/>
      <c r="AK26" s="14"/>
      <c r="AL26" s="14"/>
      <c r="AM26" s="14"/>
      <c r="AN26" s="14"/>
      <c r="AO26" s="14"/>
      <c r="AP26" s="14"/>
      <c r="AQ26" s="14"/>
      <c r="AR26" s="14"/>
      <c r="AS26" s="14"/>
      <c r="AT26" s="14"/>
    </row>
    <row r="27" spans="1:46" x14ac:dyDescent="0.35">
      <c r="A27" s="14"/>
      <c r="B27" s="16"/>
      <c r="C27" s="16"/>
      <c r="D27" s="23"/>
      <c r="E27" s="145"/>
      <c r="F27" s="447"/>
      <c r="G27" s="447"/>
      <c r="H27" s="145"/>
      <c r="K27" s="14"/>
      <c r="L27" s="20"/>
      <c r="M27" s="20"/>
      <c r="N27" s="7">
        <f>IF(E27=0, 1, 0)</f>
        <v>1</v>
      </c>
      <c r="O27" s="7">
        <f>IF(F27=0, 1, 0)</f>
        <v>1</v>
      </c>
      <c r="P27" s="7">
        <f>IF(H27=0, 1, 0)</f>
        <v>1</v>
      </c>
      <c r="R27" s="20"/>
      <c r="S27" s="20"/>
      <c r="T27" s="20"/>
      <c r="U27" s="20"/>
      <c r="V27" s="20"/>
      <c r="W27" s="20"/>
      <c r="X27" s="14"/>
      <c r="Y27" s="14"/>
      <c r="Z27" s="14"/>
      <c r="AA27" s="14"/>
      <c r="AB27" s="14"/>
      <c r="AC27" s="14"/>
      <c r="AD27" s="14"/>
      <c r="AE27" s="14"/>
      <c r="AF27" s="14"/>
      <c r="AG27" s="14"/>
      <c r="AH27" s="14"/>
      <c r="AI27" s="14"/>
      <c r="AJ27" s="14"/>
      <c r="AK27" s="14"/>
      <c r="AL27" s="14"/>
      <c r="AM27" s="14"/>
      <c r="AN27" s="14"/>
      <c r="AO27" s="14"/>
      <c r="AP27" s="14"/>
      <c r="AQ27" s="14"/>
      <c r="AR27" s="14"/>
      <c r="AS27" s="14"/>
      <c r="AT27" s="14"/>
    </row>
    <row r="28" spans="1:46" x14ac:dyDescent="0.35">
      <c r="A28" s="14"/>
      <c r="B28" s="16"/>
      <c r="C28" s="16"/>
      <c r="D28" s="23"/>
      <c r="E28" s="14"/>
      <c r="F28" s="14"/>
      <c r="G28" s="14"/>
      <c r="H28" s="14"/>
      <c r="K28" s="14"/>
      <c r="L28" s="20"/>
      <c r="M28" s="20"/>
      <c r="N28" s="20"/>
      <c r="O28" s="14"/>
      <c r="P28" s="14"/>
      <c r="Q28" s="20"/>
      <c r="R28" s="20"/>
      <c r="S28" s="20"/>
      <c r="T28" s="20"/>
      <c r="U28" s="20"/>
      <c r="V28" s="20"/>
      <c r="W28" s="20"/>
      <c r="X28" s="14"/>
      <c r="Y28" s="14"/>
      <c r="Z28" s="14"/>
      <c r="AA28" s="14"/>
      <c r="AB28" s="14"/>
      <c r="AC28" s="14"/>
      <c r="AD28" s="14"/>
      <c r="AE28" s="14"/>
      <c r="AF28" s="14"/>
      <c r="AG28" s="14"/>
      <c r="AH28" s="14"/>
      <c r="AI28" s="14"/>
      <c r="AJ28" s="14"/>
      <c r="AK28" s="14"/>
      <c r="AL28" s="14"/>
      <c r="AM28" s="14"/>
      <c r="AN28" s="14"/>
      <c r="AO28" s="14"/>
      <c r="AP28" s="14"/>
      <c r="AQ28" s="14"/>
      <c r="AR28" s="14"/>
      <c r="AS28" s="14"/>
      <c r="AT28" s="14"/>
    </row>
    <row r="29" spans="1:46" x14ac:dyDescent="0.35">
      <c r="A29" s="14"/>
      <c r="B29" s="16"/>
      <c r="C29" s="16" t="s">
        <v>33</v>
      </c>
      <c r="D29" s="23" t="s">
        <v>34</v>
      </c>
      <c r="E29" s="14"/>
      <c r="F29" s="447"/>
      <c r="G29" s="447"/>
      <c r="K29" s="14"/>
      <c r="L29" s="20"/>
      <c r="M29" s="20"/>
      <c r="N29" s="7">
        <f>IF(F29=0, 1, 0)</f>
        <v>1</v>
      </c>
      <c r="P29" s="14"/>
      <c r="Q29" s="20"/>
      <c r="R29" s="20"/>
      <c r="S29" s="20"/>
      <c r="T29" s="20"/>
      <c r="U29" s="20"/>
      <c r="V29" s="20"/>
      <c r="W29" s="20"/>
      <c r="X29" s="14"/>
      <c r="Y29" s="14"/>
      <c r="Z29" s="14"/>
      <c r="AA29" s="14"/>
      <c r="AB29" s="14"/>
      <c r="AC29" s="14"/>
      <c r="AD29" s="14"/>
      <c r="AE29" s="14"/>
      <c r="AF29" s="14"/>
      <c r="AG29" s="14"/>
      <c r="AH29" s="14"/>
      <c r="AI29" s="14"/>
      <c r="AJ29" s="14"/>
      <c r="AK29" s="14"/>
      <c r="AL29" s="14"/>
      <c r="AM29" s="14"/>
      <c r="AN29" s="14"/>
      <c r="AO29" s="14"/>
      <c r="AP29" s="14"/>
      <c r="AQ29" s="14"/>
      <c r="AR29" s="14"/>
      <c r="AS29" s="14"/>
      <c r="AT29" s="14"/>
    </row>
    <row r="30" spans="1:46" x14ac:dyDescent="0.35">
      <c r="A30" s="14"/>
      <c r="B30" s="16"/>
      <c r="C30" s="16"/>
      <c r="D30" s="23"/>
      <c r="E30" s="14"/>
      <c r="F30" s="14"/>
      <c r="G30" s="14"/>
      <c r="H30" s="14"/>
      <c r="K30" s="14"/>
      <c r="L30" s="20"/>
      <c r="M30" s="20"/>
      <c r="N30" s="20"/>
      <c r="O30" s="14"/>
      <c r="P30" s="14"/>
      <c r="Q30" s="20"/>
      <c r="R30" s="20"/>
      <c r="S30" s="20"/>
      <c r="T30" s="20"/>
      <c r="U30" s="20"/>
      <c r="V30" s="20"/>
      <c r="W30" s="20"/>
      <c r="X30" s="14"/>
      <c r="Y30" s="14"/>
      <c r="Z30" s="14"/>
      <c r="AA30" s="14"/>
      <c r="AB30" s="14"/>
      <c r="AC30" s="14"/>
      <c r="AD30" s="14"/>
      <c r="AE30" s="14"/>
      <c r="AF30" s="14"/>
      <c r="AG30" s="14"/>
      <c r="AH30" s="14"/>
      <c r="AI30" s="14"/>
      <c r="AJ30" s="14"/>
      <c r="AK30" s="14"/>
      <c r="AL30" s="14"/>
      <c r="AM30" s="14"/>
      <c r="AN30" s="14"/>
      <c r="AO30" s="14"/>
      <c r="AP30" s="14"/>
      <c r="AQ30" s="14"/>
      <c r="AR30" s="14"/>
      <c r="AS30" s="14"/>
      <c r="AT30" s="14"/>
    </row>
    <row r="31" spans="1:46" x14ac:dyDescent="0.35">
      <c r="A31" s="14"/>
      <c r="B31" s="16"/>
      <c r="C31" s="16" t="s">
        <v>35</v>
      </c>
      <c r="D31" s="23" t="s">
        <v>36</v>
      </c>
      <c r="E31" s="14"/>
      <c r="F31" s="447"/>
      <c r="G31" s="447"/>
      <c r="K31" s="14"/>
      <c r="L31" s="14"/>
      <c r="M31" s="14"/>
      <c r="N31" s="7">
        <f>IF(F31=0, 1, 0)</f>
        <v>1</v>
      </c>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row>
    <row r="32" spans="1:46" x14ac:dyDescent="0.35">
      <c r="A32" s="14"/>
      <c r="B32" s="16"/>
      <c r="C32" s="16"/>
      <c r="D32" s="24"/>
      <c r="E32" s="14"/>
      <c r="F32" s="14"/>
      <c r="G32" s="14"/>
      <c r="H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row>
    <row r="33" spans="1:46" ht="15.4" customHeight="1" x14ac:dyDescent="0.35">
      <c r="A33" s="14"/>
      <c r="B33" s="16"/>
      <c r="C33" s="16" t="s">
        <v>37</v>
      </c>
      <c r="D33" s="449" t="str">
        <f>"I confirm that the finance record accurately reflects the audited financial statements for the year ending 31 July "&amp;RIGHT(E17,4)&amp;". I agree the DfE may publish the data provided"</f>
        <v>I confirm that the finance record accurately reflects the audited financial statements for the year ending 31 July 2025. I agree the DfE may publish the data provided</v>
      </c>
      <c r="E33" s="14"/>
      <c r="F33" s="447"/>
      <c r="G33" s="447"/>
      <c r="H33" s="14"/>
      <c r="K33" s="14"/>
      <c r="L33" s="14"/>
      <c r="M33" s="14"/>
      <c r="N33" s="7">
        <f>IF(F33=0, 1, 0)</f>
        <v>1</v>
      </c>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row>
    <row r="34" spans="1:46" ht="21.75" customHeight="1" x14ac:dyDescent="0.35">
      <c r="A34" s="14"/>
      <c r="B34" s="16"/>
      <c r="C34" s="16"/>
      <c r="D34" s="449"/>
      <c r="E34" s="14"/>
      <c r="F34" s="14"/>
      <c r="G34" s="14"/>
      <c r="H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row>
    <row r="35" spans="1:46" x14ac:dyDescent="0.35">
      <c r="A35" s="14"/>
      <c r="B35" s="16"/>
      <c r="C35" s="16" t="s">
        <v>38</v>
      </c>
      <c r="D35" s="25" t="s">
        <v>39</v>
      </c>
      <c r="E35" s="14"/>
      <c r="F35" s="447"/>
      <c r="G35" s="447"/>
      <c r="H35" s="14"/>
      <c r="K35" s="14"/>
      <c r="L35" s="14"/>
      <c r="M35" s="14"/>
      <c r="N35" s="7">
        <f>IF(F35=0, 1, 0)</f>
        <v>1</v>
      </c>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row>
    <row r="36" spans="1:46" x14ac:dyDescent="0.35">
      <c r="A36" s="14"/>
      <c r="B36" s="16"/>
      <c r="C36" s="16"/>
      <c r="D36" s="25"/>
      <c r="E36" s="14"/>
      <c r="F36" s="14"/>
      <c r="G36" s="14"/>
      <c r="H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row>
    <row r="37" spans="1:46" x14ac:dyDescent="0.35">
      <c r="A37" s="14"/>
      <c r="B37" s="16"/>
      <c r="C37" s="16" t="s">
        <v>40</v>
      </c>
      <c r="D37" s="25" t="str">
        <f>"I confirm that the college's financial statements will be published on the college website by 31 January "&amp;RIGHT(E17, 4)+1</f>
        <v>I confirm that the college's financial statements will be published on the college website by 31 January 2026</v>
      </c>
      <c r="E37" s="14"/>
      <c r="F37" s="447"/>
      <c r="G37" s="447"/>
      <c r="H37" s="14"/>
      <c r="K37" s="14"/>
      <c r="L37" s="14"/>
      <c r="M37" s="14"/>
      <c r="N37" s="7">
        <f>IF(F37=0, 1, 0)</f>
        <v>1</v>
      </c>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row>
    <row r="38" spans="1:46" x14ac:dyDescent="0.35">
      <c r="A38" s="14"/>
      <c r="B38" s="16"/>
      <c r="C38" s="16"/>
      <c r="D38" s="25"/>
      <c r="E38" s="14"/>
      <c r="F38" s="14"/>
      <c r="G38" s="14"/>
      <c r="H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row>
    <row r="39" spans="1:46" x14ac:dyDescent="0.35">
      <c r="A39" s="14"/>
      <c r="B39" s="16"/>
      <c r="C39" s="16" t="s">
        <v>41</v>
      </c>
      <c r="D39" s="25" t="s">
        <v>42</v>
      </c>
      <c r="E39" s="14"/>
      <c r="F39" s="447"/>
      <c r="G39" s="447"/>
      <c r="H39" s="14"/>
      <c r="K39" s="14"/>
      <c r="L39" s="14"/>
      <c r="M39" s="14"/>
      <c r="N39" s="7">
        <f>IF(F39=0, 1, 0)</f>
        <v>1</v>
      </c>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row>
    <row r="40" spans="1:46" x14ac:dyDescent="0.35">
      <c r="A40" s="14"/>
      <c r="B40" s="16"/>
      <c r="C40" s="16"/>
      <c r="D40" s="25"/>
      <c r="E40" s="14"/>
      <c r="F40" s="14"/>
      <c r="G40" s="14"/>
      <c r="H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row>
    <row r="41" spans="1:46" x14ac:dyDescent="0.35">
      <c r="A41" s="14"/>
      <c r="B41" s="16"/>
      <c r="C41" s="16" t="s">
        <v>43</v>
      </c>
      <c r="D41" s="25" t="s">
        <v>44</v>
      </c>
      <c r="E41" s="14"/>
      <c r="F41" s="6"/>
      <c r="G41" s="14"/>
      <c r="H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row>
    <row r="42" spans="1:46" x14ac:dyDescent="0.35">
      <c r="A42" s="14"/>
      <c r="B42" s="16"/>
      <c r="C42" s="16"/>
      <c r="D42" s="25"/>
      <c r="E42" s="14"/>
      <c r="F42" s="14"/>
      <c r="G42" s="14"/>
      <c r="H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row>
    <row r="43" spans="1:46" x14ac:dyDescent="0.35">
      <c r="A43" s="14"/>
      <c r="B43" s="16"/>
      <c r="C43" s="16"/>
      <c r="D43" s="450"/>
      <c r="E43" s="14"/>
      <c r="F43" s="14"/>
      <c r="G43" s="14"/>
      <c r="H43" s="14"/>
      <c r="K43" s="14"/>
      <c r="L43" s="14"/>
      <c r="M43" s="14"/>
      <c r="N43" s="7">
        <f>IF(OR(F39=0, AND(F39="No", D43=0)), 1, 0)</f>
        <v>1</v>
      </c>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row>
    <row r="44" spans="1:46" x14ac:dyDescent="0.35">
      <c r="A44" s="14"/>
      <c r="B44" s="16"/>
      <c r="C44" s="16"/>
      <c r="D44" s="450"/>
      <c r="E44" s="14"/>
      <c r="F44" s="14"/>
      <c r="G44" s="14"/>
      <c r="H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row>
    <row r="45" spans="1:46" x14ac:dyDescent="0.35">
      <c r="A45" s="14"/>
      <c r="B45" s="16"/>
      <c r="C45" s="16"/>
      <c r="D45" s="450"/>
      <c r="E45" s="14"/>
      <c r="F45" s="14"/>
      <c r="G45" s="14"/>
      <c r="H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row>
    <row r="46" spans="1:46" x14ac:dyDescent="0.35">
      <c r="A46" s="14"/>
      <c r="B46" s="16"/>
      <c r="C46" s="16"/>
      <c r="D46" s="450"/>
      <c r="E46" s="14"/>
      <c r="F46" s="14"/>
      <c r="G46" s="14"/>
      <c r="H46" s="14"/>
      <c r="K46" s="14"/>
      <c r="L46" s="14"/>
      <c r="M46" s="14"/>
      <c r="N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row>
    <row r="47" spans="1:46" x14ac:dyDescent="0.35">
      <c r="O47" s="14"/>
    </row>
    <row r="48" spans="1:46" x14ac:dyDescent="0.35">
      <c r="A48" s="5"/>
      <c r="B48" s="5"/>
      <c r="C48" s="5"/>
      <c r="D48" s="5" t="s">
        <v>45</v>
      </c>
      <c r="E48" s="5"/>
      <c r="F48" s="5"/>
      <c r="G48" s="5"/>
      <c r="H48" s="5"/>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row>
    <row r="49" spans="1:46" x14ac:dyDescent="0.35">
      <c r="A49" s="14"/>
      <c r="B49" s="22"/>
      <c r="C49" s="22"/>
      <c r="D49" s="26"/>
      <c r="E49" s="26"/>
      <c r="F49" s="14"/>
      <c r="G49" s="14"/>
      <c r="H49" s="14"/>
      <c r="K49" s="14"/>
      <c r="L49" s="14"/>
      <c r="M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row>
    <row r="50" spans="1:46" ht="14.65" customHeight="1" x14ac:dyDescent="0.35">
      <c r="A50" s="14"/>
      <c r="B50" s="27"/>
      <c r="C50" s="27" t="s">
        <v>46</v>
      </c>
      <c r="D50" s="448" t="str">
        <f>CONCATENATE("In completing my name and date in lines with Ref. No. ", C53, " and ", C55," below, I confirm that this return is an honest and realistic reflection of the college’s financial position, the contents of this declaration sheet are correct, and that the typing of my name and date serve as my digital signature.")</f>
        <v>In completing my name and date in lines with Ref. No. CS-3b and CS-3c below, I confirm that this return is an honest and realistic reflection of the college’s financial position, the contents of this declaration sheet are correct, and that the typing of my name and date serve as my digital signature.</v>
      </c>
      <c r="E50" s="14"/>
      <c r="F50" s="447"/>
      <c r="G50" s="447"/>
      <c r="H50" s="14"/>
      <c r="K50" s="14"/>
      <c r="L50" s="14"/>
      <c r="M50" s="14"/>
      <c r="N50" s="7">
        <f>IF(F50=0, 1, 0)</f>
        <v>1</v>
      </c>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row>
    <row r="51" spans="1:46" ht="42.75" customHeight="1" x14ac:dyDescent="0.35">
      <c r="A51" s="14"/>
      <c r="B51" s="27"/>
      <c r="C51" s="27"/>
      <c r="D51" s="448"/>
      <c r="E51" s="14"/>
      <c r="F51" s="14"/>
      <c r="G51" s="14"/>
      <c r="H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row>
    <row r="52" spans="1:46" x14ac:dyDescent="0.35">
      <c r="A52" s="14"/>
      <c r="B52" s="16"/>
      <c r="C52" s="16"/>
      <c r="D52" s="24"/>
      <c r="E52" s="14"/>
      <c r="F52" s="14"/>
      <c r="G52" s="14"/>
      <c r="H52" s="14"/>
      <c r="K52" s="14"/>
      <c r="L52" s="14"/>
      <c r="M52" s="14"/>
      <c r="N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row>
    <row r="53" spans="1:46" x14ac:dyDescent="0.35">
      <c r="A53" s="14"/>
      <c r="B53" s="16"/>
      <c r="C53" s="27" t="s">
        <v>47</v>
      </c>
      <c r="D53" s="14" t="s">
        <v>48</v>
      </c>
      <c r="E53" s="14"/>
      <c r="F53" s="447"/>
      <c r="G53" s="447"/>
      <c r="K53" s="14"/>
      <c r="L53" s="14"/>
      <c r="M53" s="14"/>
      <c r="N53" s="7">
        <f>IF(F53=0, 1, 0)</f>
        <v>1</v>
      </c>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row>
    <row r="54" spans="1:46" x14ac:dyDescent="0.35">
      <c r="A54" s="14"/>
      <c r="B54" s="16"/>
      <c r="C54" s="16"/>
      <c r="D54" s="14"/>
      <c r="E54" s="14"/>
      <c r="F54" s="14"/>
      <c r="G54" s="14"/>
      <c r="I54" s="14"/>
      <c r="J54" s="14"/>
      <c r="K54" s="14"/>
      <c r="L54" s="14"/>
      <c r="M54" s="14"/>
      <c r="N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row>
    <row r="55" spans="1:46" x14ac:dyDescent="0.35">
      <c r="A55" s="14"/>
      <c r="B55" s="16"/>
      <c r="C55" s="27" t="s">
        <v>49</v>
      </c>
      <c r="D55" s="14" t="s">
        <v>50</v>
      </c>
      <c r="E55" s="14"/>
      <c r="F55" s="451"/>
      <c r="G55" s="451"/>
      <c r="I55" s="14"/>
      <c r="J55" s="14"/>
      <c r="K55" s="14"/>
      <c r="L55" s="14"/>
      <c r="M55" s="14"/>
      <c r="N55" s="7">
        <f>IF(F55=0, 1, 0)</f>
        <v>1</v>
      </c>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row>
    <row r="56" spans="1:46" x14ac:dyDescent="0.35">
      <c r="A56" s="14"/>
      <c r="B56" s="16"/>
      <c r="C56" s="16"/>
      <c r="D56" s="14"/>
      <c r="E56" s="14"/>
      <c r="F56" s="14"/>
      <c r="G56" s="14"/>
      <c r="I56" s="14"/>
      <c r="J56" s="14"/>
      <c r="K56" s="14"/>
      <c r="L56" s="14"/>
      <c r="M56" s="14"/>
      <c r="N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row>
    <row r="57" spans="1:46" x14ac:dyDescent="0.35">
      <c r="A57" s="14"/>
      <c r="B57" s="16"/>
      <c r="C57" s="27" t="s">
        <v>51</v>
      </c>
      <c r="D57" s="14" t="s">
        <v>52</v>
      </c>
      <c r="E57" s="14"/>
      <c r="F57" s="447"/>
      <c r="G57" s="447"/>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row>
    <row r="58" spans="1:46" x14ac:dyDescent="0.35">
      <c r="A58" s="14"/>
      <c r="B58" s="16"/>
      <c r="C58" s="16"/>
      <c r="D58" s="14"/>
      <c r="E58" s="14"/>
      <c r="F58" s="14"/>
      <c r="G58" s="14"/>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row>
    <row r="59" spans="1:46" x14ac:dyDescent="0.35">
      <c r="A59" s="14"/>
      <c r="B59" s="16"/>
      <c r="C59" s="27" t="s">
        <v>53</v>
      </c>
      <c r="D59" s="14" t="s">
        <v>54</v>
      </c>
      <c r="E59" s="14"/>
      <c r="F59" s="447"/>
      <c r="G59" s="447"/>
      <c r="I59" s="14"/>
      <c r="J59" s="14"/>
      <c r="K59" s="14"/>
      <c r="L59" s="14"/>
      <c r="M59" s="14"/>
      <c r="N59" s="7">
        <f>IF(F59=0, 1, 0)</f>
        <v>1</v>
      </c>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row>
    <row r="60" spans="1:46" x14ac:dyDescent="0.35">
      <c r="A60" s="14"/>
      <c r="B60" s="16"/>
      <c r="C60" s="16"/>
      <c r="D60" s="14"/>
      <c r="E60" s="14"/>
      <c r="F60" s="14"/>
      <c r="G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row>
    <row r="61" spans="1:46" x14ac:dyDescent="0.35">
      <c r="A61" s="14"/>
      <c r="B61" s="16"/>
      <c r="C61" s="27" t="s">
        <v>55</v>
      </c>
      <c r="D61" s="14" t="s">
        <v>56</v>
      </c>
      <c r="E61" s="14"/>
      <c r="F61" s="452"/>
      <c r="G61" s="447"/>
      <c r="I61" s="14"/>
      <c r="J61" s="14"/>
      <c r="K61" s="14"/>
      <c r="L61" s="14"/>
      <c r="M61" s="14"/>
      <c r="N61" s="7">
        <f>IF(F61=0, 1, 0)</f>
        <v>1</v>
      </c>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row>
    <row r="62" spans="1:46" x14ac:dyDescent="0.35">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row>
    <row r="63" spans="1:46" x14ac:dyDescent="0.35">
      <c r="A63" s="14"/>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row>
    <row r="64" spans="1:46" ht="33.75" customHeight="1" x14ac:dyDescent="0.35">
      <c r="A64" s="14"/>
      <c r="B64" s="14"/>
      <c r="C64" s="14"/>
      <c r="D64" s="445" t="s">
        <v>1906</v>
      </c>
      <c r="E64" s="446"/>
      <c r="F64" s="446"/>
      <c r="G64" s="446"/>
      <c r="H64" s="14"/>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row>
    <row r="65" spans="1:46" x14ac:dyDescent="0.35">
      <c r="A65" s="14"/>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row>
    <row r="66" spans="1:46" x14ac:dyDescent="0.35">
      <c r="A66" s="14"/>
      <c r="B66" s="14"/>
      <c r="C66" s="14"/>
      <c r="D66" s="14"/>
      <c r="E66" s="14"/>
      <c r="F66" s="14"/>
      <c r="G66" s="14"/>
      <c r="H66" s="14"/>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row>
    <row r="67" spans="1:46" x14ac:dyDescent="0.3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row>
    <row r="68" spans="1:46" x14ac:dyDescent="0.35">
      <c r="A68" s="14"/>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row>
    <row r="69" spans="1:46" x14ac:dyDescent="0.35">
      <c r="A69" s="14"/>
      <c r="B69" s="14"/>
      <c r="C69" s="14"/>
      <c r="D69" s="14"/>
      <c r="E69" s="14"/>
      <c r="F69" s="14"/>
      <c r="G69" s="14"/>
      <c r="H69" s="14"/>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row>
    <row r="70" spans="1:46" x14ac:dyDescent="0.35">
      <c r="A70" s="14"/>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row>
    <row r="71" spans="1:46" x14ac:dyDescent="0.35">
      <c r="A71" s="14"/>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row>
    <row r="72" spans="1:46" x14ac:dyDescent="0.35">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row>
    <row r="73" spans="1:46" x14ac:dyDescent="0.35">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row>
    <row r="74" spans="1:46" x14ac:dyDescent="0.35">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row>
    <row r="75" spans="1:46" x14ac:dyDescent="0.35">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row>
    <row r="76" spans="1:46" x14ac:dyDescent="0.35">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row>
    <row r="77" spans="1:46" x14ac:dyDescent="0.3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row>
    <row r="78" spans="1:46" x14ac:dyDescent="0.35">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row>
    <row r="79" spans="1:46" x14ac:dyDescent="0.35">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row>
    <row r="80" spans="1:46" x14ac:dyDescent="0.35">
      <c r="A80" s="14"/>
      <c r="B80" s="14"/>
      <c r="C80" s="14"/>
      <c r="D80" s="14"/>
      <c r="E80" s="14"/>
      <c r="F80" s="14"/>
      <c r="G80" s="14"/>
      <c r="H80" s="14"/>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row>
    <row r="81" spans="1:46" x14ac:dyDescent="0.35">
      <c r="A81" s="14"/>
      <c r="B81" s="14"/>
      <c r="C81" s="14"/>
      <c r="D81" s="14"/>
      <c r="E81" s="14"/>
      <c r="F81" s="14"/>
      <c r="G81" s="14"/>
      <c r="H81" s="14"/>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row>
    <row r="82" spans="1:46" x14ac:dyDescent="0.35">
      <c r="A82" s="14"/>
      <c r="B82" s="14"/>
      <c r="C82" s="14"/>
      <c r="D82" s="14"/>
      <c r="E82" s="14"/>
      <c r="F82" s="14"/>
      <c r="G82" s="14"/>
      <c r="H82" s="14"/>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row>
    <row r="83" spans="1:46" x14ac:dyDescent="0.35">
      <c r="A83" s="14"/>
      <c r="B83" s="14"/>
      <c r="C83" s="14"/>
      <c r="D83" s="14"/>
      <c r="E83" s="14"/>
      <c r="F83" s="14"/>
      <c r="G83" s="14"/>
      <c r="H83" s="14"/>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row>
    <row r="84" spans="1:46" x14ac:dyDescent="0.35">
      <c r="A84" s="14"/>
      <c r="B84" s="14"/>
      <c r="C84" s="14"/>
      <c r="D84" s="14"/>
      <c r="E84" s="14"/>
      <c r="F84" s="14"/>
      <c r="G84" s="14"/>
      <c r="H84" s="14"/>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row>
    <row r="85" spans="1:46" x14ac:dyDescent="0.35">
      <c r="A85" s="14"/>
      <c r="B85" s="14"/>
      <c r="C85" s="14"/>
      <c r="D85" s="14"/>
      <c r="E85" s="14"/>
      <c r="F85" s="14"/>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row>
    <row r="86" spans="1:46" x14ac:dyDescent="0.35">
      <c r="A86" s="14"/>
      <c r="B86" s="14"/>
      <c r="C86" s="14"/>
      <c r="D86" s="14"/>
      <c r="E86" s="14"/>
      <c r="F86" s="14"/>
      <c r="G86" s="14"/>
      <c r="H86" s="14"/>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row>
    <row r="87" spans="1:46" x14ac:dyDescent="0.35">
      <c r="A87" s="14"/>
      <c r="B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row>
    <row r="88" spans="1:46" x14ac:dyDescent="0.3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row>
    <row r="89" spans="1:46" x14ac:dyDescent="0.35">
      <c r="A89" s="14"/>
      <c r="B89" s="14"/>
      <c r="C89" s="14"/>
      <c r="D89" s="14"/>
      <c r="E89" s="14"/>
      <c r="F89" s="14"/>
      <c r="G89" s="14"/>
      <c r="H89" s="14"/>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row>
    <row r="90" spans="1:46" x14ac:dyDescent="0.35">
      <c r="A90" s="14"/>
      <c r="B90" s="14"/>
      <c r="C90" s="14"/>
      <c r="D90" s="14"/>
      <c r="E90" s="14"/>
      <c r="F90" s="14"/>
      <c r="G90" s="14"/>
      <c r="H90" s="14"/>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row>
    <row r="91" spans="1:46" x14ac:dyDescent="0.35">
      <c r="A91" s="14"/>
      <c r="B91" s="14"/>
      <c r="C91" s="14"/>
      <c r="D91" s="14"/>
      <c r="E91" s="14"/>
      <c r="F91" s="14"/>
      <c r="G91" s="14"/>
      <c r="H91" s="14"/>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row>
    <row r="92" spans="1:46" x14ac:dyDescent="0.35">
      <c r="A92" s="14"/>
      <c r="B92" s="14"/>
      <c r="C92" s="14"/>
      <c r="D92" s="14"/>
      <c r="E92" s="14"/>
      <c r="F92" s="14"/>
      <c r="G92" s="14"/>
      <c r="H92" s="14"/>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row>
    <row r="93" spans="1:46" x14ac:dyDescent="0.35">
      <c r="A93" s="14"/>
      <c r="B93" s="14"/>
      <c r="C93" s="14"/>
      <c r="D93" s="14"/>
      <c r="E93" s="14"/>
      <c r="F93" s="14"/>
      <c r="G93" s="14"/>
      <c r="H93" s="14"/>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row>
    <row r="94" spans="1:46" x14ac:dyDescent="0.35">
      <c r="A94" s="14"/>
      <c r="B94" s="14"/>
      <c r="C94" s="14"/>
      <c r="D94" s="14"/>
      <c r="E94" s="14"/>
      <c r="F94" s="14"/>
      <c r="G94" s="14"/>
      <c r="H94" s="14"/>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row>
    <row r="95" spans="1:46" x14ac:dyDescent="0.35">
      <c r="A95" s="14"/>
      <c r="B95" s="14"/>
      <c r="C95" s="14"/>
      <c r="D95" s="14"/>
      <c r="E95" s="14"/>
      <c r="F95" s="14"/>
      <c r="G95" s="14"/>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row>
    <row r="96" spans="1:46" x14ac:dyDescent="0.35">
      <c r="A96" s="14"/>
      <c r="B96" s="14"/>
      <c r="C96" s="14"/>
      <c r="D96" s="14"/>
      <c r="E96" s="14"/>
      <c r="F96" s="14"/>
      <c r="G96" s="14"/>
      <c r="H96" s="14"/>
      <c r="I96" s="14"/>
      <c r="J96" s="14"/>
      <c r="K96" s="14"/>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row>
    <row r="97" spans="1:46" x14ac:dyDescent="0.35">
      <c r="A97" s="14"/>
      <c r="B97" s="14"/>
      <c r="C97" s="14"/>
      <c r="D97" s="14"/>
      <c r="E97" s="14"/>
      <c r="F97" s="14"/>
      <c r="G97" s="14"/>
      <c r="H97" s="14"/>
      <c r="I97" s="14"/>
      <c r="J97" s="14"/>
      <c r="K97" s="14"/>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row>
    <row r="98" spans="1:46" x14ac:dyDescent="0.35">
      <c r="A98" s="14"/>
      <c r="B98" s="14"/>
      <c r="C98" s="14"/>
      <c r="D98" s="14"/>
      <c r="E98" s="14"/>
      <c r="F98" s="14"/>
      <c r="G98" s="14"/>
      <c r="H98" s="14"/>
      <c r="I98" s="14"/>
      <c r="J98" s="14"/>
      <c r="K98" s="14"/>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row>
    <row r="99" spans="1:46" x14ac:dyDescent="0.3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row>
    <row r="100" spans="1:46" x14ac:dyDescent="0.35">
      <c r="A100" s="14"/>
      <c r="B100" s="14"/>
      <c r="C100" s="14"/>
      <c r="D100" s="14"/>
      <c r="E100" s="14"/>
      <c r="F100" s="14"/>
      <c r="G100" s="14"/>
      <c r="H100" s="14"/>
      <c r="I100" s="14"/>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row>
    <row r="101" spans="1:46" x14ac:dyDescent="0.35">
      <c r="A101" s="14"/>
      <c r="B101" s="14"/>
      <c r="C101" s="14"/>
      <c r="D101" s="14"/>
      <c r="E101" s="14"/>
      <c r="F101" s="14"/>
      <c r="G101" s="14"/>
      <c r="H101" s="14"/>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row>
    <row r="102" spans="1:46" x14ac:dyDescent="0.35">
      <c r="A102" s="14"/>
      <c r="B102" s="14"/>
      <c r="C102" s="14"/>
      <c r="D102" s="14"/>
      <c r="E102" s="14"/>
      <c r="F102" s="14"/>
      <c r="G102" s="14"/>
      <c r="H102" s="14"/>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row>
    <row r="103" spans="1:46" x14ac:dyDescent="0.35">
      <c r="A103" s="14"/>
      <c r="B103" s="14"/>
      <c r="C103" s="14"/>
      <c r="D103" s="14"/>
      <c r="E103" s="14"/>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row>
    <row r="104" spans="1:46" x14ac:dyDescent="0.35">
      <c r="A104" s="14"/>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row>
    <row r="105" spans="1:46" x14ac:dyDescent="0.35">
      <c r="A105" s="14"/>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row>
    <row r="106" spans="1:46" x14ac:dyDescent="0.35">
      <c r="A106" s="14"/>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row>
    <row r="107" spans="1:46" x14ac:dyDescent="0.35">
      <c r="A107" s="14"/>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row>
    <row r="108" spans="1:46" x14ac:dyDescent="0.35">
      <c r="A108" s="14"/>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row>
    <row r="109" spans="1:46" x14ac:dyDescent="0.35">
      <c r="A109" s="14"/>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row>
    <row r="110" spans="1:46" x14ac:dyDescent="0.35">
      <c r="A110" s="14"/>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row>
    <row r="111" spans="1:46" x14ac:dyDescent="0.35">
      <c r="A111" s="14"/>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row>
    <row r="112" spans="1:46" x14ac:dyDescent="0.35">
      <c r="A112" s="14"/>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row>
    <row r="113" spans="1:46" x14ac:dyDescent="0.35">
      <c r="A113" s="14"/>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row>
    <row r="114" spans="1:46" x14ac:dyDescent="0.35">
      <c r="A114" s="14"/>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row>
    <row r="115" spans="1:46" x14ac:dyDescent="0.35">
      <c r="A115" s="14"/>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row>
    <row r="116" spans="1:46" x14ac:dyDescent="0.35">
      <c r="A116" s="14"/>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row>
    <row r="117" spans="1:46" x14ac:dyDescent="0.35">
      <c r="A117" s="14"/>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row>
    <row r="118" spans="1:46" x14ac:dyDescent="0.35">
      <c r="A118" s="14"/>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row>
    <row r="119" spans="1:46" x14ac:dyDescent="0.35">
      <c r="A119" s="14"/>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row>
    <row r="120" spans="1:46" x14ac:dyDescent="0.35">
      <c r="A120" s="14"/>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row>
    <row r="121" spans="1:46" x14ac:dyDescent="0.35">
      <c r="A121" s="14"/>
      <c r="B121" s="14"/>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row>
    <row r="122" spans="1:46" x14ac:dyDescent="0.35">
      <c r="A122" s="14"/>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row>
    <row r="123" spans="1:46" x14ac:dyDescent="0.35">
      <c r="A123" s="14"/>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row>
    <row r="124" spans="1:46" x14ac:dyDescent="0.35">
      <c r="A124" s="14"/>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row>
    <row r="125" spans="1:46" x14ac:dyDescent="0.35">
      <c r="A125" s="14"/>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row>
    <row r="126" spans="1:46" x14ac:dyDescent="0.35">
      <c r="A126" s="14"/>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row>
    <row r="127" spans="1:46" x14ac:dyDescent="0.35">
      <c r="A127" s="14"/>
      <c r="B127" s="14"/>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row>
    <row r="128" spans="1:46" x14ac:dyDescent="0.35">
      <c r="A128" s="14"/>
      <c r="B128" s="14"/>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row>
    <row r="129" spans="1:46" x14ac:dyDescent="0.35">
      <c r="A129" s="14"/>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row>
    <row r="130" spans="1:46" x14ac:dyDescent="0.35">
      <c r="A130" s="14"/>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4"/>
      <c r="AS130" s="14"/>
      <c r="AT130" s="14"/>
    </row>
    <row r="131" spans="1:46" x14ac:dyDescent="0.35">
      <c r="A131" s="14"/>
      <c r="B131" s="14"/>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row>
    <row r="132" spans="1:46" x14ac:dyDescent="0.35">
      <c r="A132" s="14"/>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row>
    <row r="133" spans="1:46" x14ac:dyDescent="0.35">
      <c r="A133" s="14"/>
      <c r="B133" s="14"/>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row>
    <row r="134" spans="1:46" x14ac:dyDescent="0.35">
      <c r="A134" s="14"/>
      <c r="B134" s="14"/>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row>
    <row r="135" spans="1:46" x14ac:dyDescent="0.35">
      <c r="A135" s="14"/>
      <c r="B135" s="14"/>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row>
    <row r="136" spans="1:46" x14ac:dyDescent="0.35">
      <c r="A136" s="14"/>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row>
    <row r="137" spans="1:46" x14ac:dyDescent="0.35">
      <c r="A137" s="14"/>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row>
    <row r="138" spans="1:46" x14ac:dyDescent="0.35">
      <c r="A138" s="14"/>
      <c r="B138" s="14"/>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row>
    <row r="139" spans="1:46" x14ac:dyDescent="0.35">
      <c r="A139" s="14"/>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row>
    <row r="140" spans="1:46" x14ac:dyDescent="0.35">
      <c r="A140" s="14"/>
      <c r="B140" s="14"/>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row>
    <row r="141" spans="1:46" x14ac:dyDescent="0.35">
      <c r="A141" s="14"/>
      <c r="B141" s="14"/>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row>
    <row r="142" spans="1:46" x14ac:dyDescent="0.35">
      <c r="A142" s="14"/>
      <c r="B142" s="14"/>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row>
    <row r="143" spans="1:46" x14ac:dyDescent="0.35">
      <c r="A143" s="14"/>
      <c r="B143" s="14"/>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c r="AL143" s="14"/>
      <c r="AM143" s="14"/>
      <c r="AN143" s="14"/>
      <c r="AO143" s="14"/>
      <c r="AP143" s="14"/>
      <c r="AQ143" s="14"/>
      <c r="AR143" s="14"/>
      <c r="AS143" s="14"/>
      <c r="AT143" s="14"/>
    </row>
    <row r="144" spans="1:46" x14ac:dyDescent="0.35">
      <c r="A144" s="14"/>
      <c r="B144" s="14"/>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c r="AL144" s="14"/>
      <c r="AM144" s="14"/>
      <c r="AN144" s="14"/>
      <c r="AO144" s="14"/>
      <c r="AP144" s="14"/>
      <c r="AQ144" s="14"/>
      <c r="AR144" s="14"/>
      <c r="AS144" s="14"/>
      <c r="AT144" s="14"/>
    </row>
    <row r="145" spans="1:46" x14ac:dyDescent="0.35">
      <c r="A145" s="14"/>
      <c r="B145" s="14"/>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c r="AL145" s="14"/>
      <c r="AM145" s="14"/>
      <c r="AN145" s="14"/>
      <c r="AO145" s="14"/>
      <c r="AP145" s="14"/>
      <c r="AQ145" s="14"/>
      <c r="AR145" s="14"/>
      <c r="AS145" s="14"/>
      <c r="AT145" s="14"/>
    </row>
    <row r="146" spans="1:46" x14ac:dyDescent="0.35">
      <c r="A146" s="14"/>
      <c r="B146" s="14"/>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c r="AE146" s="14"/>
      <c r="AF146" s="14"/>
      <c r="AG146" s="14"/>
      <c r="AH146" s="14"/>
      <c r="AI146" s="14"/>
      <c r="AJ146" s="14"/>
      <c r="AK146" s="14"/>
      <c r="AL146" s="14"/>
      <c r="AM146" s="14"/>
      <c r="AN146" s="14"/>
      <c r="AO146" s="14"/>
      <c r="AP146" s="14"/>
      <c r="AQ146" s="14"/>
      <c r="AR146" s="14"/>
      <c r="AS146" s="14"/>
      <c r="AT146" s="14"/>
    </row>
    <row r="147" spans="1:46" x14ac:dyDescent="0.35">
      <c r="A147" s="14"/>
      <c r="B147" s="14"/>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c r="AE147" s="14"/>
      <c r="AF147" s="14"/>
      <c r="AG147" s="14"/>
      <c r="AH147" s="14"/>
      <c r="AI147" s="14"/>
      <c r="AJ147" s="14"/>
      <c r="AK147" s="14"/>
      <c r="AL147" s="14"/>
      <c r="AM147" s="14"/>
      <c r="AN147" s="14"/>
      <c r="AO147" s="14"/>
      <c r="AP147" s="14"/>
      <c r="AQ147" s="14"/>
      <c r="AR147" s="14"/>
      <c r="AS147" s="14"/>
      <c r="AT147" s="14"/>
    </row>
    <row r="148" spans="1:46" x14ac:dyDescent="0.35">
      <c r="A148" s="14"/>
      <c r="B148" s="14"/>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c r="AP148" s="14"/>
      <c r="AQ148" s="14"/>
      <c r="AR148" s="14"/>
      <c r="AS148" s="14"/>
      <c r="AT148" s="14"/>
    </row>
    <row r="149" spans="1:46" x14ac:dyDescent="0.35">
      <c r="A149" s="14"/>
      <c r="B149" s="14"/>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14"/>
      <c r="AE149" s="14"/>
      <c r="AF149" s="14"/>
      <c r="AG149" s="14"/>
      <c r="AH149" s="14"/>
      <c r="AI149" s="14"/>
      <c r="AJ149" s="14"/>
      <c r="AK149" s="14"/>
      <c r="AL149" s="14"/>
      <c r="AM149" s="14"/>
      <c r="AN149" s="14"/>
      <c r="AO149" s="14"/>
      <c r="AP149" s="14"/>
      <c r="AQ149" s="14"/>
      <c r="AR149" s="14"/>
      <c r="AS149" s="14"/>
      <c r="AT149" s="14"/>
    </row>
    <row r="150" spans="1:46" x14ac:dyDescent="0.35">
      <c r="A150" s="14"/>
      <c r="B150" s="14"/>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c r="AP150" s="14"/>
      <c r="AQ150" s="14"/>
      <c r="AR150" s="14"/>
      <c r="AS150" s="14"/>
      <c r="AT150" s="14"/>
    </row>
    <row r="151" spans="1:46" x14ac:dyDescent="0.35">
      <c r="A151" s="14"/>
      <c r="B151" s="14"/>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c r="AL151" s="14"/>
      <c r="AM151" s="14"/>
      <c r="AN151" s="14"/>
      <c r="AO151" s="14"/>
      <c r="AP151" s="14"/>
      <c r="AQ151" s="14"/>
      <c r="AR151" s="14"/>
      <c r="AS151" s="14"/>
      <c r="AT151" s="14"/>
    </row>
    <row r="152" spans="1:46" x14ac:dyDescent="0.35">
      <c r="A152" s="14"/>
      <c r="B152" s="14"/>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c r="AL152" s="14"/>
      <c r="AM152" s="14"/>
      <c r="AN152" s="14"/>
      <c r="AO152" s="14"/>
      <c r="AP152" s="14"/>
      <c r="AQ152" s="14"/>
      <c r="AR152" s="14"/>
      <c r="AS152" s="14"/>
      <c r="AT152" s="14"/>
    </row>
    <row r="153" spans="1:46" x14ac:dyDescent="0.35">
      <c r="A153" s="14"/>
      <c r="B153" s="14"/>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c r="AE153" s="14"/>
      <c r="AF153" s="14"/>
      <c r="AG153" s="14"/>
      <c r="AH153" s="14"/>
      <c r="AI153" s="14"/>
      <c r="AJ153" s="14"/>
      <c r="AK153" s="14"/>
      <c r="AL153" s="14"/>
      <c r="AM153" s="14"/>
      <c r="AN153" s="14"/>
      <c r="AO153" s="14"/>
      <c r="AP153" s="14"/>
      <c r="AQ153" s="14"/>
      <c r="AR153" s="14"/>
      <c r="AS153" s="14"/>
      <c r="AT153" s="14"/>
    </row>
    <row r="154" spans="1:46" x14ac:dyDescent="0.35">
      <c r="A154" s="14"/>
      <c r="B154" s="14"/>
      <c r="C154" s="14"/>
      <c r="D154" s="14"/>
      <c r="E154" s="14"/>
      <c r="F154" s="14"/>
      <c r="G154" s="14"/>
      <c r="H154" s="14"/>
      <c r="I154" s="1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c r="AP154" s="14"/>
      <c r="AQ154" s="14"/>
      <c r="AR154" s="14"/>
      <c r="AS154" s="14"/>
      <c r="AT154" s="14"/>
    </row>
    <row r="155" spans="1:46" x14ac:dyDescent="0.35">
      <c r="A155" s="14"/>
      <c r="B155" s="14"/>
      <c r="C155" s="14"/>
      <c r="D155" s="14"/>
      <c r="E155" s="14"/>
      <c r="F155" s="14"/>
      <c r="G155" s="14"/>
      <c r="H155" s="14"/>
      <c r="I155" s="14"/>
      <c r="J155" s="14"/>
      <c r="K155" s="14"/>
      <c r="L155" s="14"/>
      <c r="M155" s="14"/>
      <c r="N155" s="14"/>
      <c r="O155" s="14"/>
      <c r="P155" s="14"/>
      <c r="Q155" s="14"/>
      <c r="R155" s="14"/>
      <c r="S155" s="14"/>
      <c r="T155" s="14"/>
      <c r="U155" s="14"/>
      <c r="V155" s="14"/>
      <c r="W155" s="14"/>
      <c r="X155" s="14"/>
      <c r="Y155" s="14"/>
      <c r="Z155" s="14"/>
      <c r="AA155" s="14"/>
      <c r="AB155" s="14"/>
      <c r="AC155" s="14"/>
      <c r="AD155" s="14"/>
      <c r="AE155" s="14"/>
      <c r="AF155" s="14"/>
      <c r="AG155" s="14"/>
      <c r="AH155" s="14"/>
      <c r="AI155" s="14"/>
      <c r="AJ155" s="14"/>
      <c r="AK155" s="14"/>
      <c r="AL155" s="14"/>
      <c r="AM155" s="14"/>
      <c r="AN155" s="14"/>
      <c r="AO155" s="14"/>
      <c r="AP155" s="14"/>
      <c r="AQ155" s="14"/>
      <c r="AR155" s="14"/>
      <c r="AS155" s="14"/>
      <c r="AT155" s="14"/>
    </row>
    <row r="156" spans="1:46" x14ac:dyDescent="0.35">
      <c r="A156" s="14"/>
      <c r="B156" s="14"/>
      <c r="C156" s="14"/>
      <c r="D156" s="14"/>
      <c r="E156" s="14"/>
      <c r="F156" s="14"/>
      <c r="G156" s="14"/>
      <c r="H156" s="14"/>
      <c r="I156" s="14"/>
      <c r="J156" s="14"/>
      <c r="K156" s="14"/>
      <c r="L156" s="14"/>
      <c r="M156" s="14"/>
      <c r="N156" s="14"/>
      <c r="O156" s="14"/>
      <c r="P156" s="14"/>
      <c r="Q156" s="14"/>
      <c r="R156" s="14"/>
      <c r="S156" s="14"/>
      <c r="T156" s="14"/>
      <c r="U156" s="14"/>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row>
    <row r="157" spans="1:46" x14ac:dyDescent="0.35">
      <c r="A157" s="14"/>
      <c r="B157" s="14"/>
      <c r="C157" s="14"/>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c r="AI157" s="14"/>
      <c r="AJ157" s="14"/>
      <c r="AK157" s="14"/>
      <c r="AL157" s="14"/>
      <c r="AM157" s="14"/>
      <c r="AN157" s="14"/>
      <c r="AO157" s="14"/>
      <c r="AP157" s="14"/>
      <c r="AQ157" s="14"/>
      <c r="AR157" s="14"/>
      <c r="AS157" s="14"/>
      <c r="AT157" s="14"/>
    </row>
    <row r="158" spans="1:46" x14ac:dyDescent="0.35">
      <c r="A158" s="14"/>
      <c r="B158" s="14"/>
      <c r="C158" s="14"/>
      <c r="D158" s="14"/>
      <c r="E158" s="14"/>
      <c r="F158" s="14"/>
      <c r="G158" s="14"/>
      <c r="H158" s="1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c r="AL158" s="14"/>
      <c r="AM158" s="14"/>
      <c r="AN158" s="14"/>
      <c r="AO158" s="14"/>
      <c r="AP158" s="14"/>
      <c r="AQ158" s="14"/>
      <c r="AR158" s="14"/>
      <c r="AS158" s="14"/>
      <c r="AT158" s="14"/>
    </row>
    <row r="159" spans="1:46" x14ac:dyDescent="0.35">
      <c r="A159" s="14"/>
      <c r="B159" s="14"/>
      <c r="C159" s="14"/>
      <c r="D159" s="14"/>
      <c r="E159" s="14"/>
      <c r="F159" s="14"/>
      <c r="G159" s="14"/>
      <c r="H159" s="14"/>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c r="AL159" s="14"/>
      <c r="AM159" s="14"/>
      <c r="AN159" s="14"/>
      <c r="AO159" s="14"/>
      <c r="AP159" s="14"/>
      <c r="AQ159" s="14"/>
      <c r="AR159" s="14"/>
      <c r="AS159" s="14"/>
      <c r="AT159" s="14"/>
    </row>
    <row r="160" spans="1:46" x14ac:dyDescent="0.35">
      <c r="A160" s="14"/>
      <c r="B160" s="14"/>
      <c r="C160" s="14"/>
      <c r="D160" s="14"/>
      <c r="E160" s="14"/>
      <c r="F160" s="14"/>
      <c r="G160" s="14"/>
      <c r="H160" s="14"/>
      <c r="I160" s="14"/>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c r="AP160" s="14"/>
      <c r="AQ160" s="14"/>
      <c r="AR160" s="14"/>
      <c r="AS160" s="14"/>
      <c r="AT160" s="14"/>
    </row>
    <row r="161" spans="1:46" x14ac:dyDescent="0.35">
      <c r="A161" s="14"/>
      <c r="B161" s="14"/>
      <c r="C161" s="14"/>
      <c r="D161" s="14"/>
      <c r="E161" s="14"/>
      <c r="F161" s="14"/>
      <c r="G161" s="14"/>
      <c r="H161" s="14"/>
      <c r="I161" s="14"/>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P161" s="14"/>
      <c r="AQ161" s="14"/>
      <c r="AR161" s="14"/>
      <c r="AS161" s="14"/>
      <c r="AT161" s="14"/>
    </row>
    <row r="162" spans="1:46" x14ac:dyDescent="0.35">
      <c r="A162" s="14"/>
      <c r="B162" s="14"/>
      <c r="C162" s="14"/>
      <c r="D162" s="14"/>
      <c r="E162" s="14"/>
      <c r="F162" s="14"/>
      <c r="G162" s="14"/>
      <c r="H162" s="14"/>
      <c r="I162" s="14"/>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c r="AP162" s="14"/>
      <c r="AQ162" s="14"/>
      <c r="AR162" s="14"/>
      <c r="AS162" s="14"/>
      <c r="AT162" s="14"/>
    </row>
    <row r="163" spans="1:46" x14ac:dyDescent="0.35">
      <c r="A163" s="14"/>
      <c r="B163" s="14"/>
      <c r="C163" s="14"/>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c r="AP163" s="14"/>
      <c r="AQ163" s="14"/>
      <c r="AR163" s="14"/>
      <c r="AS163" s="14"/>
      <c r="AT163" s="14"/>
    </row>
    <row r="164" spans="1:46" x14ac:dyDescent="0.35">
      <c r="A164" s="14"/>
      <c r="B164" s="14"/>
      <c r="C164" s="14"/>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4"/>
      <c r="AM164" s="14"/>
      <c r="AN164" s="14"/>
      <c r="AO164" s="14"/>
      <c r="AP164" s="14"/>
      <c r="AQ164" s="14"/>
      <c r="AR164" s="14"/>
      <c r="AS164" s="14"/>
      <c r="AT164" s="14"/>
    </row>
    <row r="165" spans="1:46" x14ac:dyDescent="0.35">
      <c r="A165" s="14"/>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c r="AP165" s="14"/>
      <c r="AQ165" s="14"/>
      <c r="AR165" s="14"/>
      <c r="AS165" s="14"/>
      <c r="AT165" s="14"/>
    </row>
    <row r="166" spans="1:46" x14ac:dyDescent="0.35">
      <c r="A166" s="14"/>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c r="AJ166" s="14"/>
      <c r="AK166" s="14"/>
      <c r="AL166" s="14"/>
      <c r="AM166" s="14"/>
      <c r="AN166" s="14"/>
      <c r="AO166" s="14"/>
      <c r="AP166" s="14"/>
      <c r="AQ166" s="14"/>
      <c r="AR166" s="14"/>
      <c r="AS166" s="14"/>
      <c r="AT166" s="14"/>
    </row>
    <row r="167" spans="1:46" x14ac:dyDescent="0.35">
      <c r="A167" s="14"/>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c r="AP167" s="14"/>
      <c r="AQ167" s="14"/>
      <c r="AR167" s="14"/>
      <c r="AS167" s="14"/>
      <c r="AT167" s="14"/>
    </row>
    <row r="168" spans="1:46" x14ac:dyDescent="0.3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c r="AP168" s="14"/>
      <c r="AQ168" s="14"/>
      <c r="AR168" s="14"/>
      <c r="AS168" s="14"/>
      <c r="AT168" s="14"/>
    </row>
    <row r="169" spans="1:46" x14ac:dyDescent="0.3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c r="AP169" s="14"/>
      <c r="AQ169" s="14"/>
      <c r="AR169" s="14"/>
      <c r="AS169" s="14"/>
      <c r="AT169" s="14"/>
    </row>
    <row r="170" spans="1:46" x14ac:dyDescent="0.3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c r="AL170" s="14"/>
      <c r="AM170" s="14"/>
      <c r="AN170" s="14"/>
      <c r="AO170" s="14"/>
      <c r="AP170" s="14"/>
      <c r="AQ170" s="14"/>
      <c r="AR170" s="14"/>
      <c r="AS170" s="14"/>
      <c r="AT170" s="14"/>
    </row>
    <row r="171" spans="1:46" x14ac:dyDescent="0.35">
      <c r="A171" s="14"/>
      <c r="B171" s="14"/>
      <c r="C171" s="14"/>
      <c r="D171" s="14"/>
      <c r="E171" s="14"/>
      <c r="F171" s="14"/>
      <c r="G171" s="14"/>
      <c r="H171" s="14"/>
      <c r="I171" s="14"/>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c r="AP171" s="14"/>
      <c r="AQ171" s="14"/>
      <c r="AR171" s="14"/>
      <c r="AS171" s="14"/>
      <c r="AT171" s="14"/>
    </row>
    <row r="172" spans="1:46" x14ac:dyDescent="0.35">
      <c r="A172" s="14"/>
      <c r="B172" s="14"/>
      <c r="C172" s="14"/>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4"/>
      <c r="AC172" s="14"/>
      <c r="AD172" s="14"/>
      <c r="AE172" s="14"/>
      <c r="AF172" s="14"/>
      <c r="AG172" s="14"/>
      <c r="AH172" s="14"/>
      <c r="AI172" s="14"/>
      <c r="AJ172" s="14"/>
      <c r="AK172" s="14"/>
      <c r="AL172" s="14"/>
      <c r="AM172" s="14"/>
      <c r="AN172" s="14"/>
      <c r="AO172" s="14"/>
      <c r="AP172" s="14"/>
      <c r="AQ172" s="14"/>
      <c r="AR172" s="14"/>
      <c r="AS172" s="14"/>
      <c r="AT172" s="14"/>
    </row>
    <row r="173" spans="1:46" x14ac:dyDescent="0.35">
      <c r="A173" s="14"/>
      <c r="B173" s="14"/>
      <c r="C173" s="14"/>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c r="AP173" s="14"/>
      <c r="AQ173" s="14"/>
      <c r="AR173" s="14"/>
      <c r="AS173" s="14"/>
      <c r="AT173" s="14"/>
    </row>
    <row r="174" spans="1:46" x14ac:dyDescent="0.35">
      <c r="A174" s="14"/>
      <c r="B174" s="14"/>
      <c r="C174" s="14"/>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c r="AC174" s="14"/>
      <c r="AD174" s="14"/>
      <c r="AE174" s="14"/>
      <c r="AF174" s="14"/>
      <c r="AG174" s="14"/>
      <c r="AH174" s="14"/>
      <c r="AI174" s="14"/>
      <c r="AJ174" s="14"/>
      <c r="AK174" s="14"/>
      <c r="AL174" s="14"/>
      <c r="AM174" s="14"/>
      <c r="AN174" s="14"/>
      <c r="AO174" s="14"/>
      <c r="AP174" s="14"/>
      <c r="AQ174" s="14"/>
      <c r="AR174" s="14"/>
      <c r="AS174" s="14"/>
      <c r="AT174" s="14"/>
    </row>
    <row r="175" spans="1:46" x14ac:dyDescent="0.35">
      <c r="A175" s="14"/>
      <c r="B175" s="14"/>
      <c r="C175" s="14"/>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c r="AP175" s="14"/>
      <c r="AQ175" s="14"/>
      <c r="AR175" s="14"/>
      <c r="AS175" s="14"/>
      <c r="AT175" s="14"/>
    </row>
    <row r="176" spans="1:46" x14ac:dyDescent="0.35">
      <c r="A176" s="14"/>
      <c r="B176" s="14"/>
      <c r="C176" s="14"/>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c r="AL176" s="14"/>
      <c r="AM176" s="14"/>
      <c r="AN176" s="14"/>
      <c r="AO176" s="14"/>
      <c r="AP176" s="14"/>
      <c r="AQ176" s="14"/>
      <c r="AR176" s="14"/>
      <c r="AS176" s="14"/>
      <c r="AT176" s="14"/>
    </row>
    <row r="177" spans="1:46" x14ac:dyDescent="0.35">
      <c r="A177" s="14"/>
      <c r="B177" s="14"/>
      <c r="C177" s="14"/>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c r="AP177" s="14"/>
      <c r="AQ177" s="14"/>
      <c r="AR177" s="14"/>
      <c r="AS177" s="14"/>
      <c r="AT177" s="14"/>
    </row>
    <row r="178" spans="1:46" x14ac:dyDescent="0.35">
      <c r="A178" s="14"/>
      <c r="B178" s="14"/>
      <c r="C178" s="14"/>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P178" s="14"/>
      <c r="AQ178" s="14"/>
      <c r="AR178" s="14"/>
      <c r="AS178" s="14"/>
      <c r="AT178" s="14"/>
    </row>
    <row r="179" spans="1:46" x14ac:dyDescent="0.35">
      <c r="A179" s="14"/>
      <c r="B179" s="14"/>
      <c r="C179" s="14"/>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c r="AP179" s="14"/>
      <c r="AQ179" s="14"/>
      <c r="AR179" s="14"/>
      <c r="AS179" s="14"/>
      <c r="AT179" s="14"/>
    </row>
    <row r="180" spans="1:46" x14ac:dyDescent="0.35">
      <c r="A180" s="14"/>
      <c r="B180" s="14"/>
      <c r="C180" s="14"/>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c r="AP180" s="14"/>
      <c r="AQ180" s="14"/>
      <c r="AR180" s="14"/>
      <c r="AS180" s="14"/>
      <c r="AT180" s="14"/>
    </row>
    <row r="181" spans="1:46" x14ac:dyDescent="0.35">
      <c r="A181" s="14"/>
      <c r="B181" s="14"/>
      <c r="C181" s="14"/>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c r="AP181" s="14"/>
      <c r="AQ181" s="14"/>
      <c r="AR181" s="14"/>
      <c r="AS181" s="14"/>
      <c r="AT181" s="14"/>
    </row>
    <row r="182" spans="1:46" x14ac:dyDescent="0.35">
      <c r="A182" s="14"/>
      <c r="B182" s="14"/>
      <c r="C182" s="14"/>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c r="AL182" s="14"/>
      <c r="AM182" s="14"/>
      <c r="AN182" s="14"/>
      <c r="AO182" s="14"/>
      <c r="AP182" s="14"/>
      <c r="AQ182" s="14"/>
      <c r="AR182" s="14"/>
      <c r="AS182" s="14"/>
      <c r="AT182" s="14"/>
    </row>
    <row r="183" spans="1:46" x14ac:dyDescent="0.35">
      <c r="A183" s="14"/>
      <c r="B183" s="14"/>
      <c r="C183" s="14"/>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c r="AP183" s="14"/>
      <c r="AQ183" s="14"/>
      <c r="AR183" s="14"/>
      <c r="AS183" s="14"/>
      <c r="AT183" s="14"/>
    </row>
    <row r="184" spans="1:46" x14ac:dyDescent="0.35">
      <c r="A184" s="14"/>
      <c r="B184" s="14"/>
      <c r="C184" s="14"/>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c r="AC184" s="14"/>
      <c r="AD184" s="14"/>
      <c r="AE184" s="14"/>
      <c r="AF184" s="14"/>
      <c r="AG184" s="14"/>
      <c r="AH184" s="14"/>
      <c r="AI184" s="14"/>
      <c r="AJ184" s="14"/>
      <c r="AK184" s="14"/>
      <c r="AL184" s="14"/>
      <c r="AM184" s="14"/>
      <c r="AN184" s="14"/>
      <c r="AO184" s="14"/>
      <c r="AP184" s="14"/>
      <c r="AQ184" s="14"/>
      <c r="AR184" s="14"/>
      <c r="AS184" s="14"/>
      <c r="AT184" s="14"/>
    </row>
    <row r="185" spans="1:46" x14ac:dyDescent="0.35">
      <c r="A185" s="14"/>
      <c r="B185" s="14"/>
      <c r="C185" s="14"/>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c r="AC185" s="14"/>
      <c r="AD185" s="14"/>
      <c r="AE185" s="14"/>
      <c r="AF185" s="14"/>
      <c r="AG185" s="14"/>
      <c r="AH185" s="14"/>
      <c r="AI185" s="14"/>
      <c r="AJ185" s="14"/>
      <c r="AK185" s="14"/>
      <c r="AL185" s="14"/>
      <c r="AM185" s="14"/>
      <c r="AN185" s="14"/>
      <c r="AO185" s="14"/>
      <c r="AP185" s="14"/>
      <c r="AQ185" s="14"/>
      <c r="AR185" s="14"/>
      <c r="AS185" s="14"/>
      <c r="AT185" s="14"/>
    </row>
    <row r="186" spans="1:46" x14ac:dyDescent="0.35">
      <c r="A186" s="14"/>
      <c r="B186" s="14"/>
      <c r="C186" s="14"/>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c r="AC186" s="14"/>
      <c r="AD186" s="14"/>
      <c r="AE186" s="14"/>
      <c r="AF186" s="14"/>
      <c r="AG186" s="14"/>
      <c r="AH186" s="14"/>
      <c r="AI186" s="14"/>
      <c r="AJ186" s="14"/>
      <c r="AK186" s="14"/>
      <c r="AL186" s="14"/>
      <c r="AM186" s="14"/>
      <c r="AN186" s="14"/>
      <c r="AO186" s="14"/>
      <c r="AP186" s="14"/>
      <c r="AQ186" s="14"/>
      <c r="AR186" s="14"/>
      <c r="AS186" s="14"/>
      <c r="AT186" s="14"/>
    </row>
    <row r="187" spans="1:46" x14ac:dyDescent="0.35">
      <c r="A187" s="14"/>
      <c r="B187" s="14"/>
      <c r="C187" s="14"/>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c r="AP187" s="14"/>
      <c r="AQ187" s="14"/>
      <c r="AR187" s="14"/>
      <c r="AS187" s="14"/>
      <c r="AT187" s="14"/>
    </row>
    <row r="188" spans="1:46" x14ac:dyDescent="0.35">
      <c r="A188" s="14"/>
      <c r="B188" s="14"/>
      <c r="C188" s="14"/>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c r="AL188" s="14"/>
      <c r="AM188" s="14"/>
      <c r="AN188" s="14"/>
      <c r="AO188" s="14"/>
      <c r="AP188" s="14"/>
      <c r="AQ188" s="14"/>
      <c r="AR188" s="14"/>
      <c r="AS188" s="14"/>
      <c r="AT188" s="14"/>
    </row>
    <row r="189" spans="1:46" x14ac:dyDescent="0.35">
      <c r="A189" s="14"/>
      <c r="B189" s="14"/>
      <c r="C189" s="14"/>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c r="AP189" s="14"/>
      <c r="AQ189" s="14"/>
      <c r="AR189" s="14"/>
      <c r="AS189" s="14"/>
      <c r="AT189" s="14"/>
    </row>
    <row r="190" spans="1:46" x14ac:dyDescent="0.35">
      <c r="A190" s="14"/>
      <c r="B190" s="14"/>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c r="AE190" s="14"/>
      <c r="AF190" s="14"/>
      <c r="AG190" s="14"/>
      <c r="AH190" s="14"/>
      <c r="AI190" s="14"/>
      <c r="AJ190" s="14"/>
      <c r="AK190" s="14"/>
      <c r="AL190" s="14"/>
      <c r="AM190" s="14"/>
      <c r="AN190" s="14"/>
      <c r="AO190" s="14"/>
      <c r="AP190" s="14"/>
      <c r="AQ190" s="14"/>
      <c r="AR190" s="14"/>
      <c r="AS190" s="14"/>
      <c r="AT190" s="14"/>
    </row>
    <row r="191" spans="1:46" x14ac:dyDescent="0.35">
      <c r="A191" s="14"/>
      <c r="B191" s="14"/>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c r="AP191" s="14"/>
      <c r="AQ191" s="14"/>
      <c r="AR191" s="14"/>
      <c r="AS191" s="14"/>
      <c r="AT191" s="14"/>
    </row>
    <row r="192" spans="1:46" x14ac:dyDescent="0.35">
      <c r="A192" s="14"/>
      <c r="B192" s="14"/>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c r="AI192" s="14"/>
      <c r="AJ192" s="14"/>
      <c r="AK192" s="14"/>
      <c r="AL192" s="14"/>
      <c r="AM192" s="14"/>
      <c r="AN192" s="14"/>
      <c r="AO192" s="14"/>
      <c r="AP192" s="14"/>
      <c r="AQ192" s="14"/>
      <c r="AR192" s="14"/>
      <c r="AS192" s="14"/>
      <c r="AT192" s="14"/>
    </row>
    <row r="193" spans="1:46" x14ac:dyDescent="0.35">
      <c r="A193" s="14"/>
      <c r="B193" s="14"/>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c r="AP193" s="14"/>
      <c r="AQ193" s="14"/>
      <c r="AR193" s="14"/>
      <c r="AS193" s="14"/>
      <c r="AT193" s="14"/>
    </row>
    <row r="194" spans="1:46" x14ac:dyDescent="0.35">
      <c r="A194" s="14"/>
      <c r="B194" s="14"/>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c r="AP194" s="14"/>
      <c r="AQ194" s="14"/>
      <c r="AR194" s="14"/>
      <c r="AS194" s="14"/>
      <c r="AT194" s="14"/>
    </row>
    <row r="195" spans="1:46" x14ac:dyDescent="0.35">
      <c r="A195" s="14"/>
      <c r="B195" s="14"/>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c r="AL195" s="14"/>
      <c r="AM195" s="14"/>
      <c r="AN195" s="14"/>
      <c r="AO195" s="14"/>
      <c r="AP195" s="14"/>
      <c r="AQ195" s="14"/>
      <c r="AR195" s="14"/>
      <c r="AS195" s="14"/>
      <c r="AT195" s="14"/>
    </row>
    <row r="196" spans="1:46" x14ac:dyDescent="0.35">
      <c r="A196" s="14"/>
      <c r="B196" s="14"/>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c r="AK196" s="14"/>
      <c r="AL196" s="14"/>
      <c r="AM196" s="14"/>
      <c r="AN196" s="14"/>
      <c r="AO196" s="14"/>
      <c r="AP196" s="14"/>
      <c r="AQ196" s="14"/>
      <c r="AR196" s="14"/>
      <c r="AS196" s="14"/>
      <c r="AT196" s="14"/>
    </row>
    <row r="197" spans="1:46" x14ac:dyDescent="0.35">
      <c r="A197" s="14"/>
      <c r="B197" s="14"/>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c r="AP197" s="14"/>
      <c r="AQ197" s="14"/>
      <c r="AR197" s="14"/>
      <c r="AS197" s="14"/>
      <c r="AT197" s="14"/>
    </row>
    <row r="198" spans="1:46" x14ac:dyDescent="0.35">
      <c r="A198" s="14"/>
      <c r="B198" s="14"/>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c r="AE198" s="14"/>
      <c r="AF198" s="14"/>
      <c r="AG198" s="14"/>
      <c r="AH198" s="14"/>
      <c r="AI198" s="14"/>
      <c r="AJ198" s="14"/>
      <c r="AK198" s="14"/>
      <c r="AL198" s="14"/>
      <c r="AM198" s="14"/>
      <c r="AN198" s="14"/>
      <c r="AO198" s="14"/>
      <c r="AP198" s="14"/>
      <c r="AQ198" s="14"/>
      <c r="AR198" s="14"/>
      <c r="AS198" s="14"/>
      <c r="AT198" s="14"/>
    </row>
    <row r="199" spans="1:46" x14ac:dyDescent="0.35">
      <c r="A199" s="14"/>
      <c r="B199" s="14"/>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c r="AP199" s="14"/>
      <c r="AQ199" s="14"/>
      <c r="AR199" s="14"/>
      <c r="AS199" s="14"/>
      <c r="AT199" s="14"/>
    </row>
    <row r="200" spans="1:46" x14ac:dyDescent="0.35">
      <c r="A200" s="14"/>
      <c r="B200" s="14"/>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c r="AE200" s="14"/>
      <c r="AF200" s="14"/>
      <c r="AG200" s="14"/>
      <c r="AH200" s="14"/>
      <c r="AI200" s="14"/>
      <c r="AJ200" s="14"/>
      <c r="AK200" s="14"/>
      <c r="AL200" s="14"/>
      <c r="AM200" s="14"/>
      <c r="AN200" s="14"/>
      <c r="AO200" s="14"/>
      <c r="AP200" s="14"/>
      <c r="AQ200" s="14"/>
      <c r="AR200" s="14"/>
      <c r="AS200" s="14"/>
      <c r="AT200" s="14"/>
    </row>
    <row r="201" spans="1:46" x14ac:dyDescent="0.35">
      <c r="A201" s="14"/>
      <c r="B201" s="14"/>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c r="AP201" s="14"/>
      <c r="AQ201" s="14"/>
      <c r="AR201" s="14"/>
      <c r="AS201" s="14"/>
      <c r="AT201" s="14"/>
    </row>
    <row r="202" spans="1:46" x14ac:dyDescent="0.35">
      <c r="A202" s="14"/>
      <c r="B202" s="14"/>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P202" s="14"/>
      <c r="AQ202" s="14"/>
      <c r="AR202" s="14"/>
      <c r="AS202" s="14"/>
      <c r="AT202" s="14"/>
    </row>
    <row r="203" spans="1:46" x14ac:dyDescent="0.35">
      <c r="A203" s="14"/>
      <c r="B203" s="14"/>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c r="AP203" s="14"/>
      <c r="AQ203" s="14"/>
      <c r="AR203" s="14"/>
      <c r="AS203" s="14"/>
      <c r="AT203" s="14"/>
    </row>
    <row r="204" spans="1:46" x14ac:dyDescent="0.35">
      <c r="A204" s="14"/>
      <c r="B204" s="14"/>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c r="AP204" s="14"/>
      <c r="AQ204" s="14"/>
      <c r="AR204" s="14"/>
      <c r="AS204" s="14"/>
      <c r="AT204" s="14"/>
    </row>
    <row r="205" spans="1:46" x14ac:dyDescent="0.35">
      <c r="A205" s="14"/>
      <c r="B205" s="14"/>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c r="AE205" s="14"/>
      <c r="AF205" s="14"/>
      <c r="AG205" s="14"/>
      <c r="AH205" s="14"/>
      <c r="AI205" s="14"/>
      <c r="AJ205" s="14"/>
      <c r="AK205" s="14"/>
      <c r="AL205" s="14"/>
      <c r="AM205" s="14"/>
      <c r="AN205" s="14"/>
      <c r="AO205" s="14"/>
      <c r="AP205" s="14"/>
      <c r="AQ205" s="14"/>
      <c r="AR205" s="14"/>
      <c r="AS205" s="14"/>
      <c r="AT205" s="14"/>
    </row>
    <row r="206" spans="1:46" x14ac:dyDescent="0.35">
      <c r="A206" s="14"/>
      <c r="B206" s="14"/>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c r="AE206" s="14"/>
      <c r="AF206" s="14"/>
      <c r="AG206" s="14"/>
      <c r="AH206" s="14"/>
      <c r="AI206" s="14"/>
      <c r="AJ206" s="14"/>
      <c r="AK206" s="14"/>
      <c r="AL206" s="14"/>
      <c r="AM206" s="14"/>
      <c r="AN206" s="14"/>
      <c r="AO206" s="14"/>
      <c r="AP206" s="14"/>
      <c r="AQ206" s="14"/>
      <c r="AR206" s="14"/>
      <c r="AS206" s="14"/>
      <c r="AT206" s="14"/>
    </row>
    <row r="207" spans="1:46" x14ac:dyDescent="0.35">
      <c r="A207" s="14"/>
      <c r="B207" s="14"/>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H207" s="14"/>
      <c r="AI207" s="14"/>
      <c r="AJ207" s="14"/>
      <c r="AK207" s="14"/>
      <c r="AL207" s="14"/>
      <c r="AM207" s="14"/>
      <c r="AN207" s="14"/>
      <c r="AO207" s="14"/>
      <c r="AP207" s="14"/>
      <c r="AQ207" s="14"/>
      <c r="AR207" s="14"/>
      <c r="AS207" s="14"/>
      <c r="AT207" s="14"/>
    </row>
    <row r="208" spans="1:46" x14ac:dyDescent="0.35">
      <c r="A208" s="14"/>
      <c r="B208" s="14"/>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row>
    <row r="209" spans="1:46" x14ac:dyDescent="0.35">
      <c r="A209" s="14"/>
      <c r="B209" s="14"/>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c r="AE209" s="14"/>
      <c r="AF209" s="14"/>
      <c r="AG209" s="14"/>
      <c r="AH209" s="14"/>
      <c r="AI209" s="14"/>
      <c r="AJ209" s="14"/>
      <c r="AK209" s="14"/>
      <c r="AL209" s="14"/>
      <c r="AM209" s="14"/>
      <c r="AN209" s="14"/>
      <c r="AO209" s="14"/>
      <c r="AP209" s="14"/>
      <c r="AQ209" s="14"/>
      <c r="AR209" s="14"/>
      <c r="AS209" s="14"/>
      <c r="AT209" s="14"/>
    </row>
    <row r="210" spans="1:46" x14ac:dyDescent="0.35">
      <c r="A210" s="14"/>
      <c r="B210" s="14"/>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c r="AP210" s="14"/>
      <c r="AQ210" s="14"/>
      <c r="AR210" s="14"/>
      <c r="AS210" s="14"/>
      <c r="AT210" s="14"/>
    </row>
    <row r="211" spans="1:46" x14ac:dyDescent="0.35">
      <c r="A211" s="14"/>
      <c r="B211" s="14"/>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P211" s="14"/>
      <c r="AQ211" s="14"/>
      <c r="AR211" s="14"/>
      <c r="AS211" s="14"/>
      <c r="AT211" s="14"/>
    </row>
    <row r="212" spans="1:46" x14ac:dyDescent="0.35">
      <c r="A212" s="14"/>
      <c r="B212" s="14"/>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c r="AP212" s="14"/>
      <c r="AQ212" s="14"/>
      <c r="AR212" s="14"/>
      <c r="AS212" s="14"/>
      <c r="AT212" s="14"/>
    </row>
    <row r="213" spans="1:46" x14ac:dyDescent="0.35">
      <c r="A213" s="14"/>
      <c r="B213" s="14"/>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c r="AE213" s="14"/>
      <c r="AF213" s="14"/>
      <c r="AG213" s="14"/>
      <c r="AH213" s="14"/>
      <c r="AI213" s="14"/>
      <c r="AJ213" s="14"/>
      <c r="AK213" s="14"/>
      <c r="AL213" s="14"/>
      <c r="AM213" s="14"/>
      <c r="AN213" s="14"/>
      <c r="AO213" s="14"/>
      <c r="AP213" s="14"/>
      <c r="AQ213" s="14"/>
      <c r="AR213" s="14"/>
      <c r="AS213" s="14"/>
      <c r="AT213" s="14"/>
    </row>
    <row r="214" spans="1:46" x14ac:dyDescent="0.35">
      <c r="A214" s="14"/>
      <c r="B214" s="14"/>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row>
    <row r="215" spans="1:46" x14ac:dyDescent="0.35">
      <c r="A215" s="14"/>
      <c r="B215" s="14"/>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c r="AP215" s="14"/>
      <c r="AQ215" s="14"/>
      <c r="AR215" s="14"/>
      <c r="AS215" s="14"/>
      <c r="AT215" s="14"/>
    </row>
    <row r="216" spans="1:46" x14ac:dyDescent="0.35">
      <c r="A216" s="14"/>
      <c r="B216" s="14"/>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c r="AP216" s="14"/>
      <c r="AQ216" s="14"/>
      <c r="AR216" s="14"/>
      <c r="AS216" s="14"/>
      <c r="AT216" s="14"/>
    </row>
    <row r="217" spans="1:46" x14ac:dyDescent="0.35">
      <c r="A217" s="14"/>
      <c r="B217" s="14"/>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c r="AP217" s="14"/>
      <c r="AQ217" s="14"/>
      <c r="AR217" s="14"/>
      <c r="AS217" s="14"/>
      <c r="AT217" s="14"/>
    </row>
    <row r="218" spans="1:46" x14ac:dyDescent="0.35">
      <c r="A218" s="14"/>
      <c r="B218" s="14"/>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c r="AQ218" s="14"/>
      <c r="AR218" s="14"/>
      <c r="AS218" s="14"/>
      <c r="AT218" s="14"/>
    </row>
    <row r="219" spans="1:46" x14ac:dyDescent="0.35">
      <c r="A219" s="14"/>
      <c r="B219" s="14"/>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row>
    <row r="220" spans="1:46" x14ac:dyDescent="0.35">
      <c r="A220" s="14"/>
      <c r="B220" s="14"/>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row>
    <row r="221" spans="1:46" x14ac:dyDescent="0.35">
      <c r="A221" s="14"/>
      <c r="B221" s="14"/>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row>
    <row r="222" spans="1:46" x14ac:dyDescent="0.35">
      <c r="A222" s="14"/>
      <c r="B222" s="14"/>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row>
    <row r="223" spans="1:46" x14ac:dyDescent="0.35">
      <c r="A223" s="14"/>
      <c r="B223" s="14"/>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row>
    <row r="224" spans="1:46" x14ac:dyDescent="0.35">
      <c r="A224" s="14"/>
      <c r="B224" s="14"/>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row>
    <row r="225" spans="1:46" x14ac:dyDescent="0.35">
      <c r="A225" s="14"/>
      <c r="B225" s="14"/>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row>
    <row r="226" spans="1:46" x14ac:dyDescent="0.35">
      <c r="A226" s="14"/>
      <c r="B226" s="14"/>
      <c r="C226" s="14"/>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row>
    <row r="227" spans="1:46" x14ac:dyDescent="0.35">
      <c r="A227" s="14"/>
      <c r="B227" s="14"/>
      <c r="C227" s="14"/>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c r="AP227" s="14"/>
      <c r="AQ227" s="14"/>
      <c r="AR227" s="14"/>
      <c r="AS227" s="14"/>
      <c r="AT227" s="14"/>
    </row>
    <row r="228" spans="1:46" x14ac:dyDescent="0.35">
      <c r="A228" s="14"/>
      <c r="B228" s="14"/>
      <c r="C228" s="14"/>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c r="AL228" s="14"/>
      <c r="AM228" s="14"/>
      <c r="AN228" s="14"/>
      <c r="AO228" s="14"/>
      <c r="AP228" s="14"/>
      <c r="AQ228" s="14"/>
      <c r="AR228" s="14"/>
      <c r="AS228" s="14"/>
      <c r="AT228" s="14"/>
    </row>
    <row r="229" spans="1:46" x14ac:dyDescent="0.35">
      <c r="A229" s="14"/>
      <c r="B229" s="14"/>
      <c r="C229" s="14"/>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c r="AP229" s="14"/>
      <c r="AQ229" s="14"/>
      <c r="AR229" s="14"/>
      <c r="AS229" s="14"/>
      <c r="AT229" s="14"/>
    </row>
    <row r="230" spans="1:46" x14ac:dyDescent="0.35">
      <c r="A230" s="14"/>
      <c r="B230" s="14"/>
      <c r="C230" s="14"/>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c r="AP230" s="14"/>
      <c r="AQ230" s="14"/>
      <c r="AR230" s="14"/>
      <c r="AS230" s="14"/>
      <c r="AT230" s="14"/>
    </row>
    <row r="231" spans="1:46" x14ac:dyDescent="0.35">
      <c r="A231" s="14"/>
      <c r="B231" s="14"/>
      <c r="C231" s="14"/>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row>
    <row r="232" spans="1:46" x14ac:dyDescent="0.35">
      <c r="A232" s="14"/>
      <c r="B232" s="14"/>
      <c r="C232" s="14"/>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row>
    <row r="233" spans="1:46" x14ac:dyDescent="0.35">
      <c r="A233" s="14"/>
      <c r="B233" s="14"/>
      <c r="C233" s="14"/>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row>
    <row r="234" spans="1:46" x14ac:dyDescent="0.35">
      <c r="A234" s="14"/>
      <c r="B234" s="14"/>
      <c r="C234" s="14"/>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row>
    <row r="235" spans="1:46" x14ac:dyDescent="0.35">
      <c r="A235" s="14"/>
      <c r="B235" s="14"/>
      <c r="C235" s="14"/>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row>
    <row r="236" spans="1:46" x14ac:dyDescent="0.35">
      <c r="A236" s="14"/>
      <c r="B236" s="14"/>
      <c r="C236" s="14"/>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row>
    <row r="237" spans="1:46" x14ac:dyDescent="0.35">
      <c r="A237" s="14"/>
      <c r="B237" s="14"/>
      <c r="C237" s="14"/>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row>
    <row r="238" spans="1:46" x14ac:dyDescent="0.35">
      <c r="A238" s="14"/>
      <c r="B238" s="14"/>
      <c r="C238" s="14"/>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c r="AP238" s="14"/>
      <c r="AQ238" s="14"/>
      <c r="AR238" s="14"/>
      <c r="AS238" s="14"/>
      <c r="AT238" s="14"/>
    </row>
    <row r="239" spans="1:46" x14ac:dyDescent="0.35">
      <c r="A239" s="14"/>
      <c r="B239" s="14"/>
      <c r="C239" s="14"/>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row>
    <row r="240" spans="1:46" x14ac:dyDescent="0.35">
      <c r="A240" s="14"/>
      <c r="B240" s="14"/>
      <c r="C240" s="14"/>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c r="AP240" s="14"/>
      <c r="AQ240" s="14"/>
      <c r="AR240" s="14"/>
      <c r="AS240" s="14"/>
      <c r="AT240" s="14"/>
    </row>
    <row r="241" spans="1:46" x14ac:dyDescent="0.35">
      <c r="A241" s="14"/>
      <c r="B241" s="14"/>
      <c r="C241" s="14"/>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c r="AP241" s="14"/>
      <c r="AQ241" s="14"/>
      <c r="AR241" s="14"/>
      <c r="AS241" s="14"/>
      <c r="AT241" s="14"/>
    </row>
    <row r="242" spans="1:46" x14ac:dyDescent="0.35">
      <c r="A242" s="14"/>
      <c r="B242" s="14"/>
      <c r="C242" s="14"/>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c r="AP242" s="14"/>
      <c r="AQ242" s="14"/>
      <c r="AR242" s="14"/>
      <c r="AS242" s="14"/>
      <c r="AT242" s="14"/>
    </row>
    <row r="243" spans="1:46" x14ac:dyDescent="0.35">
      <c r="A243" s="14"/>
      <c r="B243" s="14"/>
      <c r="C243" s="14"/>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c r="AP243" s="14"/>
      <c r="AQ243" s="14"/>
      <c r="AR243" s="14"/>
      <c r="AS243" s="14"/>
      <c r="AT243" s="14"/>
    </row>
    <row r="244" spans="1:46" x14ac:dyDescent="0.35">
      <c r="A244" s="14"/>
      <c r="B244" s="14"/>
      <c r="C244" s="14"/>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row>
    <row r="245" spans="1:46" x14ac:dyDescent="0.35">
      <c r="A245" s="14"/>
      <c r="B245" s="14"/>
      <c r="C245" s="14"/>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c r="AP245" s="14"/>
      <c r="AQ245" s="14"/>
      <c r="AR245" s="14"/>
      <c r="AS245" s="14"/>
      <c r="AT245" s="14"/>
    </row>
    <row r="246" spans="1:46" x14ac:dyDescent="0.35">
      <c r="A246" s="14"/>
      <c r="B246" s="14"/>
      <c r="C246" s="14"/>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c r="AP246" s="14"/>
      <c r="AQ246" s="14"/>
      <c r="AR246" s="14"/>
      <c r="AS246" s="14"/>
      <c r="AT246" s="14"/>
    </row>
    <row r="247" spans="1:46" x14ac:dyDescent="0.35">
      <c r="A247" s="14"/>
      <c r="B247" s="14"/>
      <c r="C247" s="14"/>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c r="AP247" s="14"/>
      <c r="AQ247" s="14"/>
      <c r="AR247" s="14"/>
      <c r="AS247" s="14"/>
      <c r="AT247" s="14"/>
    </row>
    <row r="248" spans="1:46" x14ac:dyDescent="0.35">
      <c r="A248" s="14"/>
      <c r="B248" s="14"/>
      <c r="C248" s="14"/>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row>
    <row r="249" spans="1:46" x14ac:dyDescent="0.35">
      <c r="A249" s="14"/>
      <c r="B249" s="14"/>
      <c r="C249" s="14"/>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row>
    <row r="250" spans="1:46" x14ac:dyDescent="0.35">
      <c r="A250" s="14"/>
      <c r="B250" s="14"/>
      <c r="C250" s="14"/>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c r="AL250" s="14"/>
      <c r="AM250" s="14"/>
      <c r="AN250" s="14"/>
      <c r="AO250" s="14"/>
      <c r="AP250" s="14"/>
      <c r="AQ250" s="14"/>
      <c r="AR250" s="14"/>
      <c r="AS250" s="14"/>
      <c r="AT250" s="14"/>
    </row>
    <row r="251" spans="1:46" x14ac:dyDescent="0.35">
      <c r="A251" s="14"/>
      <c r="B251" s="14"/>
      <c r="C251" s="14"/>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c r="AL251" s="14"/>
      <c r="AM251" s="14"/>
      <c r="AN251" s="14"/>
      <c r="AO251" s="14"/>
      <c r="AP251" s="14"/>
      <c r="AQ251" s="14"/>
      <c r="AR251" s="14"/>
      <c r="AS251" s="14"/>
      <c r="AT251" s="14"/>
    </row>
    <row r="252" spans="1:46" x14ac:dyDescent="0.35">
      <c r="A252" s="14"/>
      <c r="B252" s="14"/>
      <c r="C252" s="14"/>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c r="AP252" s="14"/>
      <c r="AQ252" s="14"/>
      <c r="AR252" s="14"/>
      <c r="AS252" s="14"/>
      <c r="AT252" s="14"/>
    </row>
    <row r="253" spans="1:46" x14ac:dyDescent="0.35">
      <c r="A253" s="14"/>
      <c r="B253" s="14"/>
      <c r="C253" s="14"/>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P253" s="14"/>
      <c r="AQ253" s="14"/>
      <c r="AR253" s="14"/>
      <c r="AS253" s="14"/>
      <c r="AT253" s="14"/>
    </row>
    <row r="254" spans="1:46" x14ac:dyDescent="0.35">
      <c r="A254" s="14"/>
      <c r="B254" s="14"/>
      <c r="C254" s="14"/>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c r="AP254" s="14"/>
      <c r="AQ254" s="14"/>
      <c r="AR254" s="14"/>
      <c r="AS254" s="14"/>
      <c r="AT254" s="14"/>
    </row>
    <row r="255" spans="1:46" x14ac:dyDescent="0.35">
      <c r="A255" s="14"/>
      <c r="B255" s="14"/>
      <c r="C255" s="14"/>
      <c r="D255" s="14"/>
      <c r="E255" s="14"/>
      <c r="F255" s="14"/>
      <c r="G255" s="14"/>
      <c r="H255" s="14"/>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c r="AP255" s="14"/>
      <c r="AQ255" s="14"/>
      <c r="AR255" s="14"/>
      <c r="AS255" s="14"/>
      <c r="AT255" s="14"/>
    </row>
    <row r="256" spans="1:46" x14ac:dyDescent="0.35">
      <c r="A256" s="14"/>
      <c r="B256" s="14"/>
      <c r="C256" s="14"/>
      <c r="D256" s="14"/>
      <c r="E256" s="14"/>
      <c r="F256" s="14"/>
      <c r="G256" s="14"/>
      <c r="H256" s="14"/>
      <c r="I256" s="14"/>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c r="AP256" s="14"/>
      <c r="AQ256" s="14"/>
      <c r="AR256" s="14"/>
      <c r="AS256" s="14"/>
      <c r="AT256" s="14"/>
    </row>
    <row r="257" spans="1:46" x14ac:dyDescent="0.35">
      <c r="A257" s="14"/>
      <c r="B257" s="14"/>
      <c r="C257" s="14"/>
      <c r="D257" s="14"/>
      <c r="E257" s="14"/>
      <c r="F257" s="14"/>
      <c r="G257" s="14"/>
      <c r="H257" s="14"/>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c r="AG257" s="14"/>
      <c r="AH257" s="14"/>
      <c r="AI257" s="14"/>
      <c r="AJ257" s="14"/>
      <c r="AK257" s="14"/>
      <c r="AL257" s="14"/>
      <c r="AM257" s="14"/>
      <c r="AN257" s="14"/>
      <c r="AO257" s="14"/>
      <c r="AP257" s="14"/>
      <c r="AQ257" s="14"/>
      <c r="AR257" s="14"/>
      <c r="AS257" s="14"/>
      <c r="AT257" s="14"/>
    </row>
    <row r="258" spans="1:46" x14ac:dyDescent="0.35">
      <c r="A258" s="14"/>
      <c r="B258" s="14"/>
      <c r="C258" s="14"/>
      <c r="D258" s="14"/>
      <c r="E258" s="14"/>
      <c r="F258" s="14"/>
      <c r="G258" s="14"/>
      <c r="H258" s="14"/>
      <c r="I258" s="14"/>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c r="AG258" s="14"/>
      <c r="AH258" s="14"/>
      <c r="AI258" s="14"/>
      <c r="AJ258" s="14"/>
      <c r="AK258" s="14"/>
      <c r="AL258" s="14"/>
      <c r="AM258" s="14"/>
      <c r="AN258" s="14"/>
      <c r="AO258" s="14"/>
      <c r="AP258" s="14"/>
      <c r="AQ258" s="14"/>
      <c r="AR258" s="14"/>
      <c r="AS258" s="14"/>
      <c r="AT258" s="14"/>
    </row>
    <row r="259" spans="1:46" x14ac:dyDescent="0.35">
      <c r="A259" s="14"/>
      <c r="B259" s="14"/>
      <c r="C259" s="14"/>
      <c r="D259" s="14"/>
      <c r="E259" s="14"/>
      <c r="F259" s="14"/>
      <c r="G259" s="14"/>
      <c r="H259" s="14"/>
      <c r="I259" s="14"/>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c r="AG259" s="14"/>
      <c r="AH259" s="14"/>
      <c r="AI259" s="14"/>
      <c r="AJ259" s="14"/>
      <c r="AK259" s="14"/>
      <c r="AL259" s="14"/>
      <c r="AM259" s="14"/>
      <c r="AN259" s="14"/>
      <c r="AO259" s="14"/>
      <c r="AP259" s="14"/>
      <c r="AQ259" s="14"/>
      <c r="AR259" s="14"/>
      <c r="AS259" s="14"/>
      <c r="AT259" s="14"/>
    </row>
    <row r="260" spans="1:46" x14ac:dyDescent="0.35">
      <c r="A260" s="14"/>
      <c r="B260" s="14"/>
      <c r="C260" s="14"/>
      <c r="D260" s="14"/>
      <c r="E260" s="14"/>
      <c r="F260" s="14"/>
      <c r="G260" s="14"/>
      <c r="H260" s="14"/>
      <c r="I260" s="14"/>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260" s="14"/>
      <c r="AN260" s="14"/>
      <c r="AO260" s="14"/>
      <c r="AP260" s="14"/>
      <c r="AQ260" s="14"/>
      <c r="AR260" s="14"/>
      <c r="AS260" s="14"/>
      <c r="AT260" s="14"/>
    </row>
    <row r="261" spans="1:46" x14ac:dyDescent="0.35">
      <c r="A261" s="14"/>
      <c r="B261" s="14"/>
      <c r="C261" s="14"/>
      <c r="D261" s="14"/>
      <c r="E261" s="14"/>
      <c r="F261" s="14"/>
      <c r="G261" s="14"/>
      <c r="H261" s="14"/>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c r="AP261" s="14"/>
      <c r="AQ261" s="14"/>
      <c r="AR261" s="14"/>
      <c r="AS261" s="14"/>
      <c r="AT261" s="14"/>
    </row>
    <row r="262" spans="1:46" x14ac:dyDescent="0.35">
      <c r="A262" s="14"/>
      <c r="B262" s="14"/>
      <c r="C262" s="14"/>
      <c r="D262" s="14"/>
      <c r="E262" s="14"/>
      <c r="F262" s="14"/>
      <c r="G262" s="14"/>
      <c r="H262" s="14"/>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c r="AG262" s="14"/>
      <c r="AH262" s="14"/>
      <c r="AI262" s="14"/>
      <c r="AJ262" s="14"/>
      <c r="AK262" s="14"/>
      <c r="AL262" s="14"/>
      <c r="AM262" s="14"/>
      <c r="AN262" s="14"/>
      <c r="AO262" s="14"/>
      <c r="AP262" s="14"/>
      <c r="AQ262" s="14"/>
      <c r="AR262" s="14"/>
      <c r="AS262" s="14"/>
      <c r="AT262" s="14"/>
    </row>
    <row r="263" spans="1:46" x14ac:dyDescent="0.35">
      <c r="A263" s="14"/>
      <c r="B263" s="14"/>
      <c r="C263" s="14"/>
      <c r="D263" s="14"/>
      <c r="E263" s="14"/>
      <c r="F263" s="14"/>
      <c r="G263" s="14"/>
      <c r="H263" s="14"/>
      <c r="I263" s="14"/>
      <c r="J263" s="14"/>
      <c r="K263" s="14"/>
      <c r="L263" s="14"/>
      <c r="M263" s="14"/>
      <c r="N263" s="14"/>
      <c r="O263" s="14"/>
      <c r="P263" s="14"/>
      <c r="Q263" s="14"/>
      <c r="R263" s="14"/>
      <c r="S263" s="14"/>
      <c r="T263" s="14"/>
      <c r="U263" s="14"/>
      <c r="V263" s="14"/>
      <c r="W263" s="14"/>
      <c r="X263" s="14"/>
      <c r="Y263" s="14"/>
      <c r="Z263" s="14"/>
      <c r="AA263" s="14"/>
      <c r="AB263" s="14"/>
      <c r="AC263" s="14"/>
      <c r="AD263" s="14"/>
      <c r="AE263" s="14"/>
      <c r="AF263" s="14"/>
      <c r="AG263" s="14"/>
      <c r="AH263" s="14"/>
      <c r="AI263" s="14"/>
      <c r="AJ263" s="14"/>
      <c r="AK263" s="14"/>
      <c r="AL263" s="14"/>
      <c r="AM263" s="14"/>
      <c r="AN263" s="14"/>
      <c r="AO263" s="14"/>
      <c r="AP263" s="14"/>
      <c r="AQ263" s="14"/>
      <c r="AR263" s="14"/>
      <c r="AS263" s="14"/>
      <c r="AT263" s="14"/>
    </row>
    <row r="264" spans="1:46" x14ac:dyDescent="0.35">
      <c r="A264" s="14"/>
      <c r="B264" s="14"/>
      <c r="C264" s="14"/>
      <c r="D264" s="14"/>
      <c r="E264" s="14"/>
      <c r="F264" s="14"/>
      <c r="G264" s="14"/>
      <c r="H264" s="14"/>
      <c r="I264" s="14"/>
      <c r="J264" s="14"/>
      <c r="K264" s="14"/>
      <c r="L264" s="14"/>
      <c r="M264" s="14"/>
      <c r="N264" s="14"/>
      <c r="O264" s="14"/>
      <c r="P264" s="14"/>
      <c r="Q264" s="14"/>
      <c r="R264" s="14"/>
      <c r="S264" s="14"/>
      <c r="T264" s="14"/>
      <c r="U264" s="14"/>
      <c r="V264" s="14"/>
      <c r="W264" s="14"/>
      <c r="X264" s="14"/>
      <c r="Y264" s="14"/>
      <c r="Z264" s="14"/>
      <c r="AA264" s="14"/>
      <c r="AB264" s="14"/>
      <c r="AC264" s="14"/>
      <c r="AD264" s="14"/>
      <c r="AE264" s="14"/>
      <c r="AF264" s="14"/>
      <c r="AG264" s="14"/>
      <c r="AH264" s="14"/>
      <c r="AI264" s="14"/>
      <c r="AJ264" s="14"/>
      <c r="AK264" s="14"/>
      <c r="AL264" s="14"/>
      <c r="AM264" s="14"/>
      <c r="AN264" s="14"/>
      <c r="AO264" s="14"/>
      <c r="AP264" s="14"/>
      <c r="AQ264" s="14"/>
      <c r="AR264" s="14"/>
      <c r="AS264" s="14"/>
      <c r="AT264" s="14"/>
    </row>
    <row r="265" spans="1:46" x14ac:dyDescent="0.35">
      <c r="A265" s="14"/>
      <c r="B265" s="14"/>
      <c r="C265" s="14"/>
      <c r="D265" s="14"/>
      <c r="E265" s="14"/>
      <c r="F265" s="14"/>
      <c r="G265" s="14"/>
      <c r="H265" s="14"/>
      <c r="I265" s="14"/>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c r="AP265" s="14"/>
      <c r="AQ265" s="14"/>
      <c r="AR265" s="14"/>
      <c r="AS265" s="14"/>
      <c r="AT265" s="14"/>
    </row>
    <row r="266" spans="1:46" x14ac:dyDescent="0.35">
      <c r="A266" s="14"/>
      <c r="B266" s="14"/>
      <c r="C266" s="14"/>
      <c r="D266" s="14"/>
      <c r="E266" s="14"/>
      <c r="F266" s="14"/>
      <c r="G266" s="14"/>
      <c r="H266" s="14"/>
      <c r="I266" s="14"/>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c r="AP266" s="14"/>
      <c r="AQ266" s="14"/>
      <c r="AR266" s="14"/>
      <c r="AS266" s="14"/>
      <c r="AT266" s="14"/>
    </row>
    <row r="267" spans="1:46" x14ac:dyDescent="0.35">
      <c r="A267" s="14"/>
      <c r="B267" s="14"/>
      <c r="C267" s="14"/>
      <c r="D267" s="14"/>
      <c r="E267" s="14"/>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c r="AG267" s="14"/>
      <c r="AH267" s="14"/>
      <c r="AI267" s="14"/>
      <c r="AJ267" s="14"/>
      <c r="AK267" s="14"/>
      <c r="AL267" s="14"/>
      <c r="AM267" s="14"/>
      <c r="AN267" s="14"/>
      <c r="AO267" s="14"/>
      <c r="AP267" s="14"/>
      <c r="AQ267" s="14"/>
      <c r="AR267" s="14"/>
      <c r="AS267" s="14"/>
      <c r="AT267" s="14"/>
    </row>
    <row r="268" spans="1:46" x14ac:dyDescent="0.35">
      <c r="A268" s="14"/>
      <c r="B268" s="14"/>
      <c r="C268" s="14"/>
      <c r="D268" s="14"/>
      <c r="E268" s="14"/>
      <c r="F268" s="14"/>
      <c r="G268" s="14"/>
      <c r="H268" s="14"/>
      <c r="I268" s="14"/>
      <c r="J268" s="14"/>
      <c r="K268" s="14"/>
      <c r="L268" s="14"/>
      <c r="M268" s="14"/>
      <c r="N268" s="14"/>
      <c r="O268" s="14"/>
      <c r="P268" s="14"/>
      <c r="Q268" s="14"/>
      <c r="R268" s="14"/>
      <c r="S268" s="14"/>
      <c r="T268" s="14"/>
      <c r="U268" s="14"/>
      <c r="V268" s="14"/>
      <c r="W268" s="14"/>
      <c r="X268" s="14"/>
      <c r="Y268" s="14"/>
      <c r="Z268" s="14"/>
      <c r="AA268" s="14"/>
      <c r="AB268" s="14"/>
      <c r="AC268" s="14"/>
      <c r="AD268" s="14"/>
      <c r="AE268" s="14"/>
      <c r="AF268" s="14"/>
      <c r="AG268" s="14"/>
      <c r="AH268" s="14"/>
      <c r="AI268" s="14"/>
      <c r="AJ268" s="14"/>
      <c r="AK268" s="14"/>
      <c r="AL268" s="14"/>
      <c r="AM268" s="14"/>
      <c r="AN268" s="14"/>
      <c r="AO268" s="14"/>
      <c r="AP268" s="14"/>
      <c r="AQ268" s="14"/>
      <c r="AR268" s="14"/>
      <c r="AS268" s="14"/>
      <c r="AT268" s="14"/>
    </row>
    <row r="269" spans="1:46" x14ac:dyDescent="0.35">
      <c r="A269" s="14"/>
      <c r="B269" s="14"/>
      <c r="C269" s="14"/>
      <c r="D269" s="14"/>
      <c r="E269" s="14"/>
      <c r="F269" s="14"/>
      <c r="G269" s="14"/>
      <c r="H269" s="14"/>
      <c r="I269" s="14"/>
      <c r="J269" s="14"/>
      <c r="K269" s="14"/>
      <c r="L269" s="14"/>
      <c r="M269" s="14"/>
      <c r="N269" s="14"/>
      <c r="O269" s="14"/>
      <c r="P269" s="14"/>
      <c r="Q269" s="14"/>
      <c r="R269" s="14"/>
      <c r="S269" s="14"/>
      <c r="T269" s="14"/>
      <c r="U269" s="14"/>
      <c r="V269" s="14"/>
      <c r="W269" s="14"/>
      <c r="X269" s="14"/>
      <c r="Y269" s="14"/>
      <c r="Z269" s="14"/>
      <c r="AA269" s="14"/>
      <c r="AB269" s="14"/>
      <c r="AC269" s="14"/>
      <c r="AD269" s="14"/>
      <c r="AE269" s="14"/>
      <c r="AF269" s="14"/>
      <c r="AG269" s="14"/>
      <c r="AH269" s="14"/>
      <c r="AI269" s="14"/>
      <c r="AJ269" s="14"/>
      <c r="AK269" s="14"/>
      <c r="AL269" s="14"/>
      <c r="AM269" s="14"/>
      <c r="AN269" s="14"/>
      <c r="AO269" s="14"/>
      <c r="AP269" s="14"/>
      <c r="AQ269" s="14"/>
      <c r="AR269" s="14"/>
      <c r="AS269" s="14"/>
      <c r="AT269" s="14"/>
    </row>
    <row r="270" spans="1:46" x14ac:dyDescent="0.35">
      <c r="A270" s="14"/>
      <c r="B270" s="14"/>
      <c r="C270" s="14"/>
      <c r="D270" s="14"/>
      <c r="E270" s="14"/>
      <c r="F270" s="14"/>
      <c r="G270" s="14"/>
      <c r="H270" s="14"/>
      <c r="I270" s="14"/>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270" s="14"/>
      <c r="AN270" s="14"/>
      <c r="AO270" s="14"/>
      <c r="AP270" s="14"/>
      <c r="AQ270" s="14"/>
      <c r="AR270" s="14"/>
      <c r="AS270" s="14"/>
      <c r="AT270" s="14"/>
    </row>
    <row r="271" spans="1:46" x14ac:dyDescent="0.35">
      <c r="A271" s="14"/>
      <c r="B271" s="14"/>
      <c r="C271" s="14"/>
      <c r="D271" s="14"/>
      <c r="E271" s="14"/>
      <c r="F271" s="14"/>
      <c r="G271" s="14"/>
      <c r="H271" s="14"/>
      <c r="I271" s="14"/>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c r="AP271" s="14"/>
      <c r="AQ271" s="14"/>
      <c r="AR271" s="14"/>
      <c r="AS271" s="14"/>
      <c r="AT271" s="14"/>
    </row>
    <row r="272" spans="1:46" x14ac:dyDescent="0.35">
      <c r="A272" s="14"/>
      <c r="B272" s="14"/>
      <c r="C272" s="14"/>
      <c r="D272" s="14"/>
      <c r="E272" s="14"/>
      <c r="F272" s="14"/>
      <c r="G272" s="14"/>
      <c r="H272" s="14"/>
      <c r="I272" s="14"/>
      <c r="J272" s="14"/>
      <c r="K272" s="14"/>
      <c r="L272" s="14"/>
      <c r="M272" s="14"/>
      <c r="N272" s="14"/>
      <c r="O272" s="14"/>
      <c r="P272" s="14"/>
      <c r="Q272" s="14"/>
      <c r="R272" s="14"/>
      <c r="S272" s="14"/>
      <c r="T272" s="14"/>
      <c r="U272" s="14"/>
      <c r="V272" s="14"/>
      <c r="W272" s="14"/>
      <c r="X272" s="14"/>
      <c r="Y272" s="14"/>
      <c r="Z272" s="14"/>
      <c r="AA272" s="14"/>
      <c r="AB272" s="14"/>
      <c r="AC272" s="14"/>
      <c r="AD272" s="14"/>
      <c r="AE272" s="14"/>
      <c r="AF272" s="14"/>
      <c r="AG272" s="14"/>
      <c r="AH272" s="14"/>
      <c r="AI272" s="14"/>
      <c r="AJ272" s="14"/>
      <c r="AK272" s="14"/>
      <c r="AL272" s="14"/>
      <c r="AM272" s="14"/>
      <c r="AN272" s="14"/>
      <c r="AO272" s="14"/>
      <c r="AP272" s="14"/>
      <c r="AQ272" s="14"/>
      <c r="AR272" s="14"/>
      <c r="AS272" s="14"/>
      <c r="AT272" s="14"/>
    </row>
    <row r="273" spans="1:46" x14ac:dyDescent="0.35">
      <c r="A273" s="14"/>
      <c r="B273" s="14"/>
      <c r="C273" s="14"/>
      <c r="D273" s="14"/>
      <c r="E273" s="14"/>
      <c r="F273" s="14"/>
      <c r="G273" s="14"/>
      <c r="H273" s="14"/>
      <c r="I273" s="14"/>
      <c r="J273" s="14"/>
      <c r="K273" s="14"/>
      <c r="L273" s="14"/>
      <c r="M273" s="14"/>
      <c r="N273" s="14"/>
      <c r="P273" s="14"/>
      <c r="Q273" s="14"/>
      <c r="R273" s="14"/>
      <c r="S273" s="14"/>
      <c r="T273" s="14"/>
      <c r="U273" s="14"/>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row>
    <row r="274" spans="1:46" x14ac:dyDescent="0.35">
      <c r="A274" s="14"/>
      <c r="B274" s="14"/>
      <c r="C274" s="14"/>
      <c r="D274" s="14"/>
      <c r="E274" s="14"/>
      <c r="F274" s="14"/>
      <c r="G274" s="14"/>
      <c r="H274" s="14"/>
      <c r="I274" s="14"/>
      <c r="J274" s="14"/>
      <c r="K274" s="14"/>
      <c r="L274" s="14"/>
      <c r="M274" s="14"/>
      <c r="N274" s="14"/>
      <c r="P274" s="14"/>
      <c r="Q274" s="14"/>
      <c r="R274" s="14"/>
      <c r="S274" s="14"/>
      <c r="T274" s="14"/>
      <c r="U274" s="14"/>
      <c r="V274" s="14"/>
      <c r="W274" s="14"/>
      <c r="X274" s="14"/>
      <c r="Y274" s="14"/>
      <c r="Z274" s="14"/>
      <c r="AA274" s="14"/>
      <c r="AB274" s="14"/>
      <c r="AC274" s="14"/>
      <c r="AD274" s="14"/>
      <c r="AE274" s="14"/>
      <c r="AF274" s="14"/>
      <c r="AG274" s="14"/>
      <c r="AH274" s="14"/>
      <c r="AI274" s="14"/>
      <c r="AJ274" s="14"/>
      <c r="AK274" s="14"/>
      <c r="AL274" s="14"/>
      <c r="AM274" s="14"/>
      <c r="AN274" s="14"/>
      <c r="AO274" s="14"/>
      <c r="AP274" s="14"/>
      <c r="AQ274" s="14"/>
      <c r="AR274" s="14"/>
      <c r="AS274" s="14"/>
      <c r="AT274" s="14"/>
    </row>
    <row r="275" spans="1:46" x14ac:dyDescent="0.35">
      <c r="A275" s="14"/>
      <c r="B275" s="14"/>
      <c r="C275" s="14"/>
      <c r="D275" s="14"/>
      <c r="E275" s="14"/>
      <c r="F275" s="14"/>
      <c r="G275" s="14"/>
      <c r="H275" s="14"/>
      <c r="I275" s="14"/>
      <c r="J275" s="14"/>
      <c r="K275" s="14"/>
      <c r="L275" s="14"/>
      <c r="M275" s="14"/>
      <c r="N275" s="14"/>
      <c r="P275" s="14"/>
      <c r="Q275" s="14"/>
      <c r="R275" s="14"/>
      <c r="S275" s="14"/>
      <c r="T275" s="14"/>
      <c r="U275" s="14"/>
      <c r="V275" s="14"/>
      <c r="W275" s="14"/>
      <c r="X275" s="14"/>
      <c r="Y275" s="14"/>
      <c r="Z275" s="14"/>
      <c r="AA275" s="14"/>
      <c r="AB275" s="14"/>
      <c r="AC275" s="14"/>
      <c r="AD275" s="14"/>
      <c r="AE275" s="14"/>
      <c r="AF275" s="14"/>
      <c r="AG275" s="14"/>
      <c r="AH275" s="14"/>
      <c r="AI275" s="14"/>
      <c r="AJ275" s="14"/>
      <c r="AK275" s="14"/>
      <c r="AL275" s="14"/>
      <c r="AM275" s="14"/>
      <c r="AN275" s="14"/>
      <c r="AO275" s="14"/>
      <c r="AP275" s="14"/>
      <c r="AQ275" s="14"/>
      <c r="AR275" s="14"/>
      <c r="AS275" s="14"/>
      <c r="AT275" s="14"/>
    </row>
    <row r="276" spans="1:46" x14ac:dyDescent="0.35">
      <c r="G276" s="14"/>
      <c r="H276" s="14"/>
      <c r="I276" s="14"/>
      <c r="J276" s="14"/>
      <c r="K276" s="14"/>
      <c r="L276" s="14"/>
      <c r="M276" s="14"/>
      <c r="N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c r="AP276" s="14"/>
      <c r="AQ276" s="14"/>
      <c r="AR276" s="14"/>
      <c r="AS276" s="14"/>
      <c r="AT276" s="14"/>
    </row>
    <row r="277" spans="1:46" x14ac:dyDescent="0.35">
      <c r="G277" s="14"/>
      <c r="H277" s="14"/>
      <c r="I277" s="14"/>
      <c r="J277" s="14"/>
      <c r="K277" s="14"/>
      <c r="L277" s="14"/>
      <c r="M277" s="14"/>
      <c r="N277" s="14"/>
      <c r="P277" s="14"/>
      <c r="Q277" s="14"/>
      <c r="R277" s="14"/>
      <c r="S277" s="14"/>
      <c r="T277" s="14"/>
      <c r="U277" s="14"/>
      <c r="V277" s="14"/>
      <c r="W277" s="14"/>
      <c r="X277" s="14"/>
      <c r="Y277" s="14"/>
      <c r="Z277" s="14"/>
      <c r="AA277" s="14"/>
      <c r="AB277" s="14"/>
      <c r="AC277" s="14"/>
      <c r="AD277" s="14"/>
      <c r="AE277" s="14"/>
      <c r="AF277" s="14"/>
      <c r="AG277" s="14"/>
      <c r="AH277" s="14"/>
      <c r="AI277" s="14"/>
      <c r="AJ277" s="14"/>
      <c r="AK277" s="14"/>
      <c r="AL277" s="14"/>
      <c r="AM277" s="14"/>
      <c r="AN277" s="14"/>
      <c r="AO277" s="14"/>
      <c r="AP277" s="14"/>
      <c r="AQ277" s="14"/>
      <c r="AR277" s="14"/>
      <c r="AS277" s="14"/>
      <c r="AT277" s="14"/>
    </row>
  </sheetData>
  <sheetProtection algorithmName="SHA-512" hashValue="WApkNnsqBT7o0bpRoOfCb7qpaCgu0sgoKAo9Et2BwM5oG6rLGoZ1Xtmaj5hiO4vSNHTd1pQGlzQN4hWsAsqLcg==" saltValue="TblgGtc+t/dEDZkEjh99Mw==" spinCount="100000" sheet="1" objects="1" scenarios="1"/>
  <mergeCells count="19">
    <mergeCell ref="F24:G24"/>
    <mergeCell ref="F27:G27"/>
    <mergeCell ref="F29:G29"/>
    <mergeCell ref="F31:G31"/>
    <mergeCell ref="F33:G33"/>
    <mergeCell ref="F26:G26"/>
    <mergeCell ref="D64:G64"/>
    <mergeCell ref="F50:G50"/>
    <mergeCell ref="D50:D51"/>
    <mergeCell ref="D33:D34"/>
    <mergeCell ref="F35:G35"/>
    <mergeCell ref="D43:D46"/>
    <mergeCell ref="F37:G37"/>
    <mergeCell ref="F39:G39"/>
    <mergeCell ref="F53:G53"/>
    <mergeCell ref="F55:G55"/>
    <mergeCell ref="F57:G57"/>
    <mergeCell ref="F59:G59"/>
    <mergeCell ref="F61:G61"/>
  </mergeCells>
  <phoneticPr fontId="12" type="noConversion"/>
  <conditionalFormatting sqref="A1:A2">
    <cfRule type="cellIs" dxfId="236" priority="53" operator="equal">
      <formula>0</formula>
    </cfRule>
    <cfRule type="cellIs" dxfId="235" priority="54" operator="greaterThan">
      <formula>0</formula>
    </cfRule>
  </conditionalFormatting>
  <conditionalFormatting sqref="N3">
    <cfRule type="cellIs" dxfId="234" priority="5" operator="greaterThan">
      <formula>0</formula>
    </cfRule>
    <cfRule type="cellIs" dxfId="233" priority="6" operator="equal">
      <formula>0</formula>
    </cfRule>
  </conditionalFormatting>
  <conditionalFormatting sqref="N8 N19:N20 N24 N27:P27 N29 N31 N33 N35 N37 N39 N43 N50 N53 N55 N59 N61">
    <cfRule type="cellIs" dxfId="232" priority="3" operator="greaterThan">
      <formula>0</formula>
    </cfRule>
    <cfRule type="cellIs" dxfId="231" priority="4" operator="equal">
      <formula>0</formula>
    </cfRule>
  </conditionalFormatting>
  <dataValidations count="2">
    <dataValidation allowBlank="1" showInputMessage="1" promptTitle="Please Complete" prompt="Warnings will be trigerred where no data has been entered or where totals do not reconcile." sqref="N2" xr:uid="{2354E00A-41A5-4545-8F94-35F83CD8ABB3}"/>
    <dataValidation type="date" allowBlank="1" showInputMessage="1" showErrorMessage="1" prompt="Please enter date in the format DD/MM/YYYY, e.g. 14/12/2023" sqref="F55:G55" xr:uid="{F0AB739B-D8C8-49EA-A6AE-80DBA6BD198B}">
      <formula1>36526</formula1>
      <formula2>402133</formula2>
    </dataValidation>
  </dataValidations>
  <hyperlinks>
    <hyperlink ref="D64:G64" r:id="rId1" display="https://onlinecollections.des.fasst.org.uk/fastform/college-financial-data" xr:uid="{D11DC63D-A569-477B-9D76-B96544C900A2}"/>
  </hyperlinks>
  <pageMargins left="0.70866141732283472" right="0.70866141732283472" top="0.74803149606299213" bottom="0.74803149606299213" header="0.31496062992125984" footer="0.31496062992125984"/>
  <pageSetup paperSize="9" scale="42" fitToHeight="0" orientation="portrait" r:id="rId2"/>
  <drawing r:id="rId3"/>
  <extLst>
    <ext xmlns:x14="http://schemas.microsoft.com/office/spreadsheetml/2009/9/main" uri="{CCE6A557-97BC-4b89-ADB6-D9C93CAAB3DF}">
      <x14:dataValidations xmlns:xm="http://schemas.microsoft.com/office/excel/2006/main" count="8">
        <x14:dataValidation type="list" allowBlank="1" showInputMessage="1" showErrorMessage="1" xr:uid="{C0250170-3D1D-4F4C-89CA-03D8A1C7024C}">
          <x14:formula1>
            <xm:f>'List of colleges'!$A$2:$A$217</xm:f>
          </x14:formula1>
          <xm:sqref>E8</xm:sqref>
        </x14:dataValidation>
        <x14:dataValidation type="list" allowBlank="1" showInputMessage="1" showErrorMessage="1" xr:uid="{465A2313-B051-476F-947D-DEC08080E5DB}">
          <x14:formula1>
            <xm:f>Parameters!$C$205:$C$208</xm:f>
          </x14:formula1>
          <xm:sqref>E27</xm:sqref>
        </x14:dataValidation>
        <x14:dataValidation type="list" allowBlank="1" showInputMessage="1" showErrorMessage="1" xr:uid="{633AAB59-E439-4BB2-A009-540CC3732A5F}">
          <x14:formula1>
            <xm:f>Parameters!$D$205:$D$206</xm:f>
          </x14:formula1>
          <xm:sqref>F27:G27</xm:sqref>
        </x14:dataValidation>
        <x14:dataValidation type="list" allowBlank="1" showInputMessage="1" showErrorMessage="1" xr:uid="{4118617A-1F5F-4BFA-B6D0-42EE454D0A70}">
          <x14:formula1>
            <xm:f>Parameters!$E$205:$E$206</xm:f>
          </x14:formula1>
          <xm:sqref>H27</xm:sqref>
        </x14:dataValidation>
        <x14:dataValidation type="list" allowBlank="1" showInputMessage="1" showErrorMessage="1" xr:uid="{2642F35D-4011-4933-867B-0593397CE6C3}">
          <x14:formula1>
            <xm:f>Parameters!$D$211:$D$212</xm:f>
          </x14:formula1>
          <xm:sqref>F29:G29</xm:sqref>
        </x14:dataValidation>
        <x14:dataValidation type="list" allowBlank="1" showInputMessage="1" showErrorMessage="1" xr:uid="{2BE48DF8-C2BE-483F-9605-B870617739D6}">
          <x14:formula1>
            <xm:f>Parameters!$D$215:$D$216</xm:f>
          </x14:formula1>
          <xm:sqref>F31:G31</xm:sqref>
        </x14:dataValidation>
        <x14:dataValidation type="list" allowBlank="1" showInputMessage="1" showErrorMessage="1" xr:uid="{1FDB040E-FC3B-4904-8D14-0D6AEB8E55D8}">
          <x14:formula1>
            <xm:f>Parameters!$D$199:$D$200</xm:f>
          </x14:formula1>
          <xm:sqref>F33:G33 F24:G24 F50:G50 F39:G39 F37:G37</xm:sqref>
        </x14:dataValidation>
        <x14:dataValidation type="list" allowBlank="1" showInputMessage="1" showErrorMessage="1" xr:uid="{B35BDBA9-8027-45E3-BBD0-512B4998D8E3}">
          <x14:formula1>
            <xm:f>Parameters!$D$219:$D$222</xm:f>
          </x14:formula1>
          <xm:sqref>F35:G35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B4D25-65F4-4448-8FCE-8FA212AA38D1}">
  <sheetPr>
    <tabColor rgb="FF00B050"/>
    <pageSetUpPr fitToPage="1"/>
  </sheetPr>
  <dimension ref="A1:X90"/>
  <sheetViews>
    <sheetView showGridLines="0" zoomScaleNormal="100" workbookViewId="0">
      <selection sqref="A1:D1"/>
    </sheetView>
  </sheetViews>
  <sheetFormatPr defaultRowHeight="14.5" x14ac:dyDescent="0.35"/>
  <cols>
    <col min="1" max="1" width="20" customWidth="1"/>
    <col min="2" max="2" width="49.26953125" style="4" customWidth="1"/>
    <col min="3" max="3" width="42.1796875" customWidth="1"/>
  </cols>
  <sheetData>
    <row r="1" spans="1:4" x14ac:dyDescent="0.35">
      <c r="A1" s="458" t="s">
        <v>1907</v>
      </c>
      <c r="B1" s="460"/>
      <c r="C1" s="460"/>
      <c r="D1" s="460"/>
    </row>
    <row r="2" spans="1:4" ht="54.75" customHeight="1" x14ac:dyDescent="0.35">
      <c r="B2" s="457" t="s">
        <v>1900</v>
      </c>
      <c r="C2" s="457"/>
    </row>
    <row r="3" spans="1:4" ht="22.5" customHeight="1" x14ac:dyDescent="0.35">
      <c r="A3" s="368" t="s">
        <v>61</v>
      </c>
    </row>
    <row r="4" spans="1:4" ht="24.75" customHeight="1" x14ac:dyDescent="0.35">
      <c r="A4" s="368"/>
      <c r="B4" s="366" t="s">
        <v>1099</v>
      </c>
      <c r="C4" s="440"/>
    </row>
    <row r="5" spans="1:4" ht="56.25" customHeight="1" x14ac:dyDescent="0.35">
      <c r="A5" s="368"/>
      <c r="B5" s="457" t="s">
        <v>2020</v>
      </c>
      <c r="C5" s="457"/>
    </row>
    <row r="6" spans="1:4" ht="25.5" customHeight="1" x14ac:dyDescent="0.35">
      <c r="A6" s="368"/>
      <c r="B6" s="366" t="s">
        <v>2003</v>
      </c>
      <c r="C6" s="440"/>
    </row>
    <row r="7" spans="1:4" ht="178.5" customHeight="1" x14ac:dyDescent="0.35">
      <c r="A7" s="368"/>
      <c r="B7" s="457" t="s">
        <v>2022</v>
      </c>
      <c r="C7" s="457"/>
    </row>
    <row r="8" spans="1:4" ht="25.5" customHeight="1" x14ac:dyDescent="0.35">
      <c r="A8" s="368"/>
      <c r="B8" s="461" t="s">
        <v>1977</v>
      </c>
      <c r="C8" s="461"/>
    </row>
    <row r="9" spans="1:4" ht="125.25" customHeight="1" x14ac:dyDescent="0.35">
      <c r="A9" s="368"/>
      <c r="B9" s="457" t="s">
        <v>2010</v>
      </c>
      <c r="C9" s="457"/>
    </row>
    <row r="10" spans="1:4" ht="25.5" customHeight="1" x14ac:dyDescent="0.35">
      <c r="A10" s="368"/>
      <c r="B10" s="461"/>
      <c r="C10" s="461"/>
    </row>
    <row r="11" spans="1:4" s="420" customFormat="1" ht="28.5" customHeight="1" x14ac:dyDescent="0.35">
      <c r="A11" s="368" t="s">
        <v>59</v>
      </c>
      <c r="B11" s="457" t="s">
        <v>2021</v>
      </c>
      <c r="C11" s="457"/>
    </row>
    <row r="12" spans="1:4" x14ac:dyDescent="0.35">
      <c r="B12" s="456"/>
      <c r="C12" s="456"/>
    </row>
    <row r="13" spans="1:4" x14ac:dyDescent="0.35">
      <c r="B13" s="456"/>
      <c r="C13" s="456"/>
    </row>
    <row r="14" spans="1:4" s="76" customFormat="1" x14ac:dyDescent="0.35">
      <c r="A14" s="458" t="s">
        <v>62</v>
      </c>
      <c r="B14" s="458"/>
      <c r="C14" s="458"/>
      <c r="D14" s="458"/>
    </row>
    <row r="15" spans="1:4" x14ac:dyDescent="0.35">
      <c r="A15" s="280" t="s">
        <v>63</v>
      </c>
      <c r="B15" s="454" t="s">
        <v>64</v>
      </c>
      <c r="C15" s="454"/>
      <c r="D15" s="3"/>
    </row>
    <row r="16" spans="1:4" ht="28.9" customHeight="1" x14ac:dyDescent="0.35">
      <c r="A16" s="281" t="s">
        <v>65</v>
      </c>
      <c r="B16" s="459" t="s">
        <v>66</v>
      </c>
      <c r="C16" s="459"/>
      <c r="D16" s="3"/>
    </row>
    <row r="17" spans="1:4" ht="44.25" customHeight="1" x14ac:dyDescent="0.35">
      <c r="A17" s="282" t="s">
        <v>67</v>
      </c>
      <c r="B17" s="454" t="s">
        <v>68</v>
      </c>
      <c r="C17" s="454"/>
      <c r="D17" s="3"/>
    </row>
    <row r="18" spans="1:4" ht="72.400000000000006" customHeight="1" x14ac:dyDescent="0.35">
      <c r="A18" s="283" t="s">
        <v>69</v>
      </c>
      <c r="B18" s="454" t="s">
        <v>70</v>
      </c>
      <c r="C18" s="454"/>
    </row>
    <row r="19" spans="1:4" x14ac:dyDescent="0.35">
      <c r="A19" s="284"/>
    </row>
    <row r="20" spans="1:4" x14ac:dyDescent="0.35">
      <c r="A20" s="458" t="s">
        <v>71</v>
      </c>
      <c r="B20" s="458"/>
      <c r="C20" s="458"/>
      <c r="D20" s="458"/>
    </row>
    <row r="21" spans="1:4" x14ac:dyDescent="0.35">
      <c r="A21" s="350" t="s">
        <v>72</v>
      </c>
      <c r="B21" s="454" t="s">
        <v>73</v>
      </c>
      <c r="C21" s="454"/>
    </row>
    <row r="22" spans="1:4" ht="29.25" customHeight="1" x14ac:dyDescent="0.35">
      <c r="A22" s="351" t="s">
        <v>74</v>
      </c>
      <c r="B22" s="454" t="s">
        <v>75</v>
      </c>
      <c r="C22" s="454"/>
    </row>
    <row r="23" spans="1:4" x14ac:dyDescent="0.35">
      <c r="A23" s="352" t="s">
        <v>76</v>
      </c>
      <c r="B23" s="454" t="s">
        <v>77</v>
      </c>
      <c r="C23" s="454"/>
    </row>
    <row r="24" spans="1:4" ht="28.15" customHeight="1" x14ac:dyDescent="0.35">
      <c r="A24" s="353" t="s">
        <v>78</v>
      </c>
      <c r="B24" s="454" t="s">
        <v>79</v>
      </c>
      <c r="C24" s="454"/>
    </row>
    <row r="25" spans="1:4" x14ac:dyDescent="0.35">
      <c r="A25" s="354" t="s">
        <v>80</v>
      </c>
      <c r="B25" s="454" t="s">
        <v>81</v>
      </c>
      <c r="C25" s="454"/>
    </row>
    <row r="26" spans="1:4" x14ac:dyDescent="0.35">
      <c r="A26" s="284"/>
    </row>
    <row r="27" spans="1:4" x14ac:dyDescent="0.35">
      <c r="A27" s="458" t="s">
        <v>57</v>
      </c>
      <c r="B27" s="458"/>
      <c r="C27" s="458"/>
      <c r="D27" s="458"/>
    </row>
    <row r="28" spans="1:4" ht="117" customHeight="1" x14ac:dyDescent="0.35">
      <c r="A28" s="71"/>
      <c r="B28" s="454" t="s">
        <v>82</v>
      </c>
      <c r="C28" s="454"/>
    </row>
    <row r="29" spans="1:4" ht="7" customHeight="1" x14ac:dyDescent="0.35">
      <c r="A29" s="71"/>
    </row>
    <row r="30" spans="1:4" ht="28.5" customHeight="1" x14ac:dyDescent="0.35">
      <c r="A30" s="366" t="s">
        <v>83</v>
      </c>
      <c r="B30" s="454" t="s">
        <v>1889</v>
      </c>
      <c r="C30" s="454"/>
    </row>
    <row r="31" spans="1:4" ht="9" customHeight="1" x14ac:dyDescent="0.35">
      <c r="A31" s="366"/>
      <c r="B31" s="364"/>
      <c r="C31" s="367"/>
    </row>
    <row r="32" spans="1:4" ht="6.75" customHeight="1" x14ac:dyDescent="0.35">
      <c r="A32" s="231"/>
      <c r="B32" s="364"/>
      <c r="C32" s="367"/>
    </row>
    <row r="33" spans="1:24" ht="84" customHeight="1" x14ac:dyDescent="0.35">
      <c r="A33" s="366" t="s">
        <v>84</v>
      </c>
      <c r="B33" s="454" t="s">
        <v>85</v>
      </c>
      <c r="C33" s="454"/>
    </row>
    <row r="34" spans="1:24" ht="11.25" customHeight="1" x14ac:dyDescent="0.35">
      <c r="A34" s="366"/>
      <c r="B34" s="364"/>
      <c r="C34" s="367"/>
    </row>
    <row r="35" spans="1:24" ht="231" customHeight="1" x14ac:dyDescent="0.35">
      <c r="A35" s="366" t="s">
        <v>86</v>
      </c>
      <c r="B35" s="454" t="s">
        <v>87</v>
      </c>
      <c r="C35" s="454"/>
    </row>
    <row r="36" spans="1:24" ht="6.75" customHeight="1" x14ac:dyDescent="0.35">
      <c r="A36" s="366"/>
      <c r="B36" s="364"/>
      <c r="C36" s="367"/>
    </row>
    <row r="37" spans="1:24" ht="183.75" customHeight="1" x14ac:dyDescent="0.35">
      <c r="A37" s="366" t="s">
        <v>88</v>
      </c>
      <c r="B37" s="454" t="s">
        <v>89</v>
      </c>
      <c r="C37" s="454"/>
    </row>
    <row r="38" spans="1:24" ht="168.75" customHeight="1" x14ac:dyDescent="0.35">
      <c r="A38" s="366"/>
      <c r="B38" s="454" t="s">
        <v>1901</v>
      </c>
      <c r="C38" s="454"/>
    </row>
    <row r="40" spans="1:24" x14ac:dyDescent="0.35">
      <c r="A40" s="458" t="s">
        <v>90</v>
      </c>
      <c r="B40" s="458"/>
      <c r="C40" s="458"/>
      <c r="D40" s="458"/>
      <c r="E40" s="458"/>
      <c r="F40" s="458"/>
      <c r="G40" s="458"/>
      <c r="H40" s="458"/>
      <c r="I40" s="458"/>
      <c r="J40" s="458"/>
      <c r="K40" s="458"/>
      <c r="L40" s="458"/>
    </row>
    <row r="41" spans="1:24" x14ac:dyDescent="0.35">
      <c r="B41" s="456" t="s">
        <v>91</v>
      </c>
      <c r="C41" s="456"/>
      <c r="D41" s="456"/>
      <c r="E41" s="456"/>
      <c r="F41" s="456"/>
      <c r="G41" s="456"/>
      <c r="H41" s="456"/>
      <c r="I41" s="456"/>
      <c r="J41" s="456"/>
      <c r="K41" s="456"/>
      <c r="L41" s="456"/>
    </row>
    <row r="42" spans="1:24" ht="6.75" customHeight="1" x14ac:dyDescent="0.35">
      <c r="A42" s="366"/>
      <c r="B42" s="365"/>
    </row>
    <row r="43" spans="1:24" ht="44.25" customHeight="1" x14ac:dyDescent="0.35">
      <c r="A43" s="368" t="s">
        <v>92</v>
      </c>
      <c r="B43" s="454" t="s">
        <v>2002</v>
      </c>
      <c r="C43" s="454"/>
      <c r="D43" s="454"/>
      <c r="E43" s="454"/>
      <c r="F43" s="454"/>
      <c r="G43" s="454"/>
      <c r="H43" s="454"/>
      <c r="I43" s="454"/>
      <c r="J43" s="454"/>
      <c r="K43" s="454"/>
      <c r="L43" s="454"/>
    </row>
    <row r="44" spans="1:24" ht="271.5" customHeight="1" x14ac:dyDescent="0.35">
      <c r="A44" s="366"/>
      <c r="B44" s="365"/>
    </row>
    <row r="45" spans="1:24" ht="6.75" customHeight="1" x14ac:dyDescent="0.35">
      <c r="A45" s="366"/>
      <c r="B45" s="365"/>
    </row>
    <row r="46" spans="1:24" ht="76.5" customHeight="1" x14ac:dyDescent="0.35">
      <c r="A46" s="368" t="s">
        <v>93</v>
      </c>
      <c r="B46" s="454" t="s">
        <v>2004</v>
      </c>
      <c r="C46" s="454"/>
      <c r="D46" s="454"/>
      <c r="E46" s="454"/>
      <c r="F46" s="454"/>
      <c r="G46" s="454"/>
      <c r="H46" s="454"/>
      <c r="I46" s="454"/>
      <c r="J46" s="454"/>
      <c r="K46" s="454"/>
      <c r="L46" s="454"/>
      <c r="N46" s="455"/>
      <c r="O46" s="455"/>
      <c r="P46" s="455"/>
      <c r="Q46" s="455"/>
      <c r="R46" s="455"/>
      <c r="S46" s="455"/>
      <c r="T46" s="455"/>
      <c r="U46" s="455"/>
      <c r="V46" s="455"/>
      <c r="W46" s="455"/>
      <c r="X46" s="455"/>
    </row>
    <row r="60" spans="2:12" ht="66" customHeight="1" x14ac:dyDescent="0.35">
      <c r="B60" s="456" t="s">
        <v>1897</v>
      </c>
      <c r="C60" s="456"/>
      <c r="D60" s="456"/>
      <c r="E60" s="456"/>
      <c r="F60" s="456"/>
      <c r="G60" s="456"/>
      <c r="H60" s="456"/>
      <c r="I60" s="456"/>
      <c r="J60" s="456"/>
      <c r="K60" s="456"/>
      <c r="L60" s="456"/>
    </row>
    <row r="61" spans="2:12" ht="51" customHeight="1" x14ac:dyDescent="0.35">
      <c r="B61" s="456"/>
      <c r="C61" s="456"/>
      <c r="D61" s="456"/>
      <c r="E61" s="456"/>
      <c r="F61" s="456"/>
      <c r="G61" s="456"/>
      <c r="H61" s="456"/>
      <c r="I61" s="456"/>
      <c r="J61" s="456"/>
      <c r="K61" s="456"/>
      <c r="L61" s="456"/>
    </row>
    <row r="62" spans="2:12" ht="33.75" customHeight="1" x14ac:dyDescent="0.35"/>
    <row r="78" spans="1:12" ht="108.75" customHeight="1" x14ac:dyDescent="0.35"/>
    <row r="79" spans="1:12" x14ac:dyDescent="0.35">
      <c r="A79" s="458" t="s">
        <v>94</v>
      </c>
      <c r="B79" s="458"/>
      <c r="C79" s="458"/>
      <c r="D79" s="458"/>
      <c r="E79" s="458"/>
      <c r="F79" s="458"/>
      <c r="G79" s="458"/>
      <c r="H79" s="458"/>
      <c r="I79" s="458"/>
      <c r="J79" s="458"/>
      <c r="K79" s="458"/>
      <c r="L79" s="458"/>
    </row>
    <row r="81" spans="1:12" ht="224.25" customHeight="1" x14ac:dyDescent="0.35">
      <c r="A81" s="366" t="s">
        <v>95</v>
      </c>
      <c r="B81" s="459" t="s">
        <v>2008</v>
      </c>
      <c r="C81" s="459"/>
      <c r="D81" s="459"/>
      <c r="E81" s="459"/>
      <c r="F81" s="459"/>
      <c r="G81" s="459"/>
      <c r="H81" s="459"/>
      <c r="I81" s="459"/>
      <c r="J81" s="459"/>
      <c r="K81" s="459"/>
      <c r="L81" s="459"/>
    </row>
    <row r="82" spans="1:12" ht="132.75" customHeight="1" x14ac:dyDescent="0.35">
      <c r="A82" s="366" t="s">
        <v>96</v>
      </c>
      <c r="B82" s="459" t="s">
        <v>2005</v>
      </c>
      <c r="C82" s="459"/>
      <c r="D82" s="459"/>
      <c r="E82" s="459"/>
      <c r="F82" s="459"/>
      <c r="G82" s="459"/>
      <c r="H82" s="459"/>
      <c r="I82" s="459"/>
      <c r="J82" s="459"/>
      <c r="K82" s="459"/>
      <c r="L82" s="459"/>
    </row>
    <row r="84" spans="1:12" x14ac:dyDescent="0.35">
      <c r="A84" s="458" t="s">
        <v>97</v>
      </c>
      <c r="B84" s="458"/>
      <c r="C84" s="458"/>
      <c r="D84" s="458"/>
      <c r="E84" s="458"/>
      <c r="F84" s="458"/>
      <c r="G84" s="458"/>
      <c r="H84" s="458"/>
      <c r="I84" s="458"/>
      <c r="J84" s="458"/>
      <c r="K84" s="458"/>
      <c r="L84" s="458"/>
    </row>
    <row r="86" spans="1:12" ht="75" customHeight="1" x14ac:dyDescent="0.35">
      <c r="A86" s="231" t="s">
        <v>98</v>
      </c>
      <c r="B86" s="456" t="s">
        <v>1899</v>
      </c>
      <c r="C86" s="456"/>
      <c r="D86" s="456"/>
      <c r="E86" s="456"/>
      <c r="F86" s="456"/>
      <c r="G86" s="456"/>
      <c r="H86" s="456"/>
      <c r="I86" s="456"/>
      <c r="J86" s="456"/>
      <c r="K86" s="456"/>
      <c r="L86" s="456"/>
    </row>
    <row r="87" spans="1:12" ht="27.75" customHeight="1" x14ac:dyDescent="0.35">
      <c r="A87" s="231"/>
      <c r="B87" s="463" t="s">
        <v>99</v>
      </c>
      <c r="C87" s="463"/>
      <c r="D87" s="463"/>
      <c r="E87" s="463"/>
      <c r="F87" s="463"/>
      <c r="G87" s="463"/>
      <c r="H87" s="463"/>
      <c r="I87" s="463"/>
      <c r="J87" s="463"/>
      <c r="K87" s="463"/>
      <c r="L87" s="463"/>
    </row>
    <row r="88" spans="1:12" ht="54" customHeight="1" x14ac:dyDescent="0.35">
      <c r="A88" s="370" t="s">
        <v>100</v>
      </c>
      <c r="B88" s="457" t="s">
        <v>2006</v>
      </c>
      <c r="C88" s="457"/>
      <c r="D88" s="457"/>
      <c r="E88" s="457"/>
      <c r="F88" s="457"/>
      <c r="G88" s="457"/>
      <c r="H88" s="457"/>
      <c r="I88" s="457"/>
      <c r="J88" s="457"/>
      <c r="K88" s="457"/>
      <c r="L88" s="457"/>
    </row>
    <row r="89" spans="1:12" ht="31.5" customHeight="1" x14ac:dyDescent="0.35">
      <c r="A89" s="370" t="s">
        <v>101</v>
      </c>
      <c r="B89" s="456" t="s">
        <v>2007</v>
      </c>
      <c r="C89" s="456"/>
      <c r="D89" s="456"/>
      <c r="E89" s="456"/>
      <c r="F89" s="456"/>
      <c r="G89" s="456"/>
      <c r="H89" s="456"/>
      <c r="I89" s="456"/>
      <c r="J89" s="456"/>
      <c r="K89" s="456"/>
      <c r="L89" s="456"/>
    </row>
    <row r="90" spans="1:12" ht="48.75" customHeight="1" x14ac:dyDescent="0.35">
      <c r="A90" s="231" t="s">
        <v>1886</v>
      </c>
      <c r="B90" s="456" t="s">
        <v>2011</v>
      </c>
      <c r="C90" s="462"/>
      <c r="D90" s="462"/>
      <c r="E90" s="462"/>
      <c r="F90" s="462"/>
      <c r="G90" s="462"/>
      <c r="H90" s="462"/>
      <c r="I90" s="462"/>
      <c r="J90" s="462"/>
      <c r="K90" s="462"/>
      <c r="L90" s="462"/>
    </row>
  </sheetData>
  <sheetProtection algorithmName="SHA-512" hashValue="KEs/umNQOXjdUhc5kJ5HJS7M7r4OImuUbLFSA9H2BDVmjEWF4HLBNHmCFbEuAaVDaSzVZy3nscKfKxNUHmCRjQ==" saltValue="GNNXb2ftapXPt7cBfceVdQ==" spinCount="100000" sheet="1" objects="1" scenarios="1"/>
  <mergeCells count="43">
    <mergeCell ref="B90:L90"/>
    <mergeCell ref="B13:C13"/>
    <mergeCell ref="B11:C11"/>
    <mergeCell ref="B12:C12"/>
    <mergeCell ref="B89:L89"/>
    <mergeCell ref="A20:D20"/>
    <mergeCell ref="B87:L87"/>
    <mergeCell ref="A14:D14"/>
    <mergeCell ref="B15:C15"/>
    <mergeCell ref="B16:C16"/>
    <mergeCell ref="B17:C17"/>
    <mergeCell ref="B18:C18"/>
    <mergeCell ref="B22:C22"/>
    <mergeCell ref="B23:C23"/>
    <mergeCell ref="B24:C24"/>
    <mergeCell ref="B25:C25"/>
    <mergeCell ref="A1:D1"/>
    <mergeCell ref="B2:C2"/>
    <mergeCell ref="B5:C5"/>
    <mergeCell ref="B21:C21"/>
    <mergeCell ref="B8:C8"/>
    <mergeCell ref="B7:C7"/>
    <mergeCell ref="B9:C9"/>
    <mergeCell ref="B10:C10"/>
    <mergeCell ref="A27:D27"/>
    <mergeCell ref="B28:C28"/>
    <mergeCell ref="B30:C30"/>
    <mergeCell ref="B33:C33"/>
    <mergeCell ref="B35:C35"/>
    <mergeCell ref="B37:C37"/>
    <mergeCell ref="B38:C38"/>
    <mergeCell ref="A40:L40"/>
    <mergeCell ref="B41:L41"/>
    <mergeCell ref="B43:L43"/>
    <mergeCell ref="B46:L46"/>
    <mergeCell ref="N46:X46"/>
    <mergeCell ref="B60:L61"/>
    <mergeCell ref="B88:L88"/>
    <mergeCell ref="A84:L84"/>
    <mergeCell ref="A79:L79"/>
    <mergeCell ref="B81:L81"/>
    <mergeCell ref="B82:L82"/>
    <mergeCell ref="B86:L86"/>
  </mergeCells>
  <printOptions gridLines="1"/>
  <pageMargins left="0.70866141732283472" right="0.70866141732283472" top="0.74803149606299213" bottom="0.74803149606299213" header="0.31496062992125984" footer="0.31496062992125984"/>
  <pageSetup paperSize="9" scale="68" fitToHeight="0" orientation="landscape"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BCA16-0DE4-4D6F-B461-694BFE2B910B}">
  <sheetPr>
    <tabColor rgb="FFFFFF00"/>
  </sheetPr>
  <dimension ref="A1:AK262"/>
  <sheetViews>
    <sheetView showGridLines="0" zoomScaleNormal="100" workbookViewId="0">
      <pane ySplit="5" topLeftCell="A6" activePane="bottomLeft" state="frozen"/>
      <selection activeCell="B29" sqref="B29"/>
      <selection pane="bottomLeft"/>
    </sheetView>
  </sheetViews>
  <sheetFormatPr defaultColWidth="9" defaultRowHeight="14.5" x14ac:dyDescent="0.35"/>
  <cols>
    <col min="1" max="1" width="9" customWidth="1"/>
    <col min="3" max="3" width="9" style="113"/>
    <col min="4" max="4" width="27.1796875" customWidth="1"/>
    <col min="5" max="5" width="29.26953125" customWidth="1"/>
    <col min="6" max="6" width="15" customWidth="1"/>
    <col min="7" max="7" width="40.26953125" customWidth="1"/>
    <col min="8" max="8" width="26" customWidth="1"/>
    <col min="11" max="11" width="40" customWidth="1"/>
  </cols>
  <sheetData>
    <row r="1" spans="1:37" x14ac:dyDescent="0.35">
      <c r="A1" s="147">
        <f ca="1">ToC!A1</f>
        <v>0</v>
      </c>
      <c r="B1" s="2" t="s">
        <v>57</v>
      </c>
      <c r="C1" s="2"/>
      <c r="D1" s="2">
        <f>'Cover sheet'!E8</f>
        <v>0</v>
      </c>
      <c r="E1" s="2"/>
      <c r="F1" s="2"/>
      <c r="G1" s="2"/>
      <c r="H1" s="2"/>
    </row>
    <row r="2" spans="1:37" x14ac:dyDescent="0.35">
      <c r="A2" s="13" cm="1">
        <f t="array" aca="1" ref="A2" ca="1">HYPERLINK(CONCATENATE("#",CELL("address",IF(SUM(A$8:A$68)=0,$A$2,INDEX(A$8:A$68,MATCH(1,A$8:A$68,0))))),SUM(A$8:A$68))</f>
        <v>0</v>
      </c>
      <c r="B2" s="2"/>
      <c r="C2" s="2"/>
      <c r="D2" s="2"/>
      <c r="E2" s="2"/>
      <c r="F2" s="2"/>
      <c r="G2" s="2"/>
      <c r="H2" s="2"/>
    </row>
    <row r="3" spans="1:37" x14ac:dyDescent="0.35">
      <c r="A3" s="338" t="str" cm="1">
        <f t="array" aca="1" ref="A3" ca="1">HYPERLINK(CONCATENATE("#",CELL("address",ToC!$A$1)),ToC!$C$1)</f>
        <v>TOC</v>
      </c>
      <c r="B3" s="111"/>
      <c r="C3" s="2"/>
      <c r="D3" s="2"/>
      <c r="E3" s="2"/>
      <c r="F3" s="2"/>
      <c r="G3" s="2"/>
      <c r="H3" s="2"/>
    </row>
    <row r="4" spans="1:37" x14ac:dyDescent="0.35">
      <c r="A4" s="2"/>
      <c r="B4" s="2"/>
      <c r="C4" s="2"/>
      <c r="D4" s="2"/>
      <c r="E4" s="2"/>
      <c r="F4" s="2"/>
      <c r="G4" s="2"/>
      <c r="H4" s="2"/>
    </row>
    <row r="5" spans="1:37" x14ac:dyDescent="0.35">
      <c r="A5" s="2" t="s">
        <v>7</v>
      </c>
      <c r="B5" s="2"/>
      <c r="C5" s="2" t="s">
        <v>8</v>
      </c>
      <c r="D5" s="2" t="s">
        <v>9</v>
      </c>
      <c r="E5" s="2"/>
      <c r="F5" s="2"/>
      <c r="G5" s="2"/>
      <c r="H5" s="2"/>
    </row>
    <row r="6" spans="1:37" x14ac:dyDescent="0.35">
      <c r="C6" s="30"/>
      <c r="D6" s="30"/>
      <c r="E6" s="30"/>
      <c r="F6" s="30"/>
      <c r="G6" s="30"/>
      <c r="H6" s="30"/>
      <c r="I6" s="14"/>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row>
    <row r="7" spans="1:37" x14ac:dyDescent="0.35">
      <c r="A7" s="356"/>
      <c r="B7" s="356"/>
      <c r="C7" s="357">
        <v>1</v>
      </c>
      <c r="D7" s="249" t="s">
        <v>102</v>
      </c>
      <c r="E7" s="5"/>
      <c r="F7" s="5"/>
      <c r="G7" s="5"/>
      <c r="H7" s="5"/>
      <c r="I7" s="14"/>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row>
    <row r="8" spans="1:37" ht="47.25" customHeight="1" x14ac:dyDescent="0.35">
      <c r="C8" s="149"/>
      <c r="D8" s="150" t="s">
        <v>1997</v>
      </c>
      <c r="E8" s="151"/>
      <c r="F8" s="152"/>
      <c r="G8" s="258" t="s">
        <v>103</v>
      </c>
      <c r="H8" s="259" t="s">
        <v>104</v>
      </c>
      <c r="I8" s="14"/>
      <c r="J8" s="14"/>
      <c r="K8" s="14"/>
      <c r="L8" s="14"/>
      <c r="M8" s="14"/>
      <c r="N8" s="14"/>
      <c r="O8" s="14"/>
      <c r="P8" s="14"/>
      <c r="Q8" s="14"/>
      <c r="R8" s="14"/>
      <c r="S8" s="14"/>
      <c r="T8" s="14"/>
      <c r="U8" s="14"/>
      <c r="V8" s="14"/>
      <c r="W8" s="14"/>
      <c r="X8" s="14"/>
      <c r="Y8" s="14"/>
      <c r="Z8" s="14"/>
      <c r="AA8" s="14"/>
      <c r="AB8" s="14"/>
      <c r="AC8" s="14"/>
      <c r="AD8" s="14"/>
      <c r="AE8" s="14"/>
      <c r="AF8" s="14"/>
      <c r="AG8" s="14"/>
      <c r="AH8" s="14"/>
      <c r="AI8" s="14"/>
      <c r="AJ8" s="14"/>
      <c r="AK8" s="14"/>
    </row>
    <row r="9" spans="1:37" x14ac:dyDescent="0.35">
      <c r="C9" s="153" t="s">
        <v>105</v>
      </c>
      <c r="D9" s="234" t="s">
        <v>106</v>
      </c>
      <c r="E9" s="154"/>
      <c r="F9" s="155"/>
      <c r="G9" s="272"/>
      <c r="H9" s="269">
        <f>IFERROR(('I&amp;E'!$G$16-'I&amp;E'!$G$23)/G9*1000, 0)</f>
        <v>0</v>
      </c>
      <c r="I9" s="14"/>
      <c r="J9" s="14"/>
      <c r="K9" s="14"/>
      <c r="L9" s="14"/>
      <c r="M9" s="14"/>
      <c r="N9" s="14"/>
      <c r="O9" s="14"/>
      <c r="P9" s="14"/>
      <c r="Q9" s="14"/>
      <c r="R9" s="14"/>
      <c r="S9" s="14"/>
      <c r="T9" s="14"/>
      <c r="U9" s="14"/>
      <c r="V9" s="14"/>
      <c r="W9" s="14"/>
      <c r="X9" s="14"/>
      <c r="Y9" s="14"/>
      <c r="Z9" s="14"/>
      <c r="AA9" s="14"/>
      <c r="AB9" s="14"/>
      <c r="AC9" s="14"/>
      <c r="AD9" s="14"/>
      <c r="AE9" s="14"/>
      <c r="AF9" s="14"/>
      <c r="AG9" s="14"/>
      <c r="AH9" s="14"/>
      <c r="AI9" s="14"/>
      <c r="AJ9" s="14"/>
      <c r="AK9" s="14"/>
    </row>
    <row r="10" spans="1:37" x14ac:dyDescent="0.35">
      <c r="C10" s="153" t="s">
        <v>107</v>
      </c>
      <c r="D10" s="234" t="s">
        <v>108</v>
      </c>
      <c r="E10" s="156"/>
      <c r="F10" s="157"/>
      <c r="G10" s="272"/>
      <c r="H10" s="269">
        <f>IFERROR(('I&amp;E'!$G$16-'I&amp;E'!G23)/G10*1000, 0)</f>
        <v>0</v>
      </c>
      <c r="I10" s="14"/>
      <c r="J10" s="14"/>
      <c r="K10" s="14"/>
      <c r="L10" s="14"/>
      <c r="M10" s="14"/>
      <c r="N10" s="14"/>
      <c r="O10" s="14"/>
      <c r="P10" s="14"/>
      <c r="Q10" s="14"/>
      <c r="R10" s="14"/>
      <c r="S10" s="14"/>
      <c r="T10" s="14"/>
      <c r="U10" s="14"/>
      <c r="V10" s="14"/>
      <c r="W10" s="14"/>
      <c r="X10" s="14"/>
      <c r="Y10" s="14"/>
      <c r="Z10" s="14"/>
      <c r="AA10" s="14"/>
      <c r="AB10" s="14"/>
      <c r="AC10" s="14"/>
      <c r="AD10" s="14"/>
      <c r="AE10" s="14"/>
      <c r="AF10" s="14"/>
      <c r="AG10" s="14"/>
      <c r="AH10" s="14"/>
      <c r="AI10" s="14"/>
      <c r="AJ10" s="14"/>
      <c r="AK10" s="14"/>
    </row>
    <row r="11" spans="1:37" x14ac:dyDescent="0.35">
      <c r="C11" s="158"/>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row>
    <row r="12" spans="1:37" ht="28.5" x14ac:dyDescent="0.35">
      <c r="C12" s="153"/>
      <c r="D12" s="150" t="s">
        <v>109</v>
      </c>
      <c r="E12" s="159"/>
      <c r="F12" s="160"/>
      <c r="G12" s="258" t="s">
        <v>103</v>
      </c>
      <c r="H12" s="259" t="s">
        <v>110</v>
      </c>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row>
    <row r="13" spans="1:37" ht="15.65" customHeight="1" x14ac:dyDescent="0.35">
      <c r="C13" s="153" t="s">
        <v>111</v>
      </c>
      <c r="D13" s="234" t="s">
        <v>112</v>
      </c>
      <c r="E13" s="156"/>
      <c r="F13" s="157"/>
      <c r="G13" s="272"/>
      <c r="H13" s="161"/>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row>
    <row r="14" spans="1:37" x14ac:dyDescent="0.35">
      <c r="C14" s="153" t="s">
        <v>113</v>
      </c>
      <c r="D14" s="234" t="s">
        <v>114</v>
      </c>
      <c r="E14" s="156"/>
      <c r="F14" s="157"/>
      <c r="G14" s="272"/>
      <c r="H14" s="161"/>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row>
    <row r="15" spans="1:37" x14ac:dyDescent="0.35">
      <c r="C15" s="149" t="s">
        <v>115</v>
      </c>
      <c r="D15" s="235" t="s">
        <v>116</v>
      </c>
      <c r="E15" s="156"/>
      <c r="F15" s="157"/>
      <c r="G15" s="269">
        <f>G13+G14</f>
        <v>0</v>
      </c>
      <c r="H15" s="269">
        <f>IFERROR(('I&amp;E'!G26-'I&amp;E'!G29)/G15*1000, 0)</f>
        <v>0</v>
      </c>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row>
    <row r="16" spans="1:37" ht="18.649999999999999" customHeight="1" x14ac:dyDescent="0.35">
      <c r="C16" s="149"/>
      <c r="D16" s="162"/>
      <c r="E16" s="29"/>
      <c r="F16" s="29"/>
      <c r="G16" s="162"/>
      <c r="H16" s="29"/>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row>
    <row r="17" spans="2:37" ht="42.5" x14ac:dyDescent="0.35">
      <c r="C17" s="149"/>
      <c r="D17" s="150" t="s">
        <v>117</v>
      </c>
      <c r="E17" s="159"/>
      <c r="F17" s="160"/>
      <c r="G17" s="258" t="s">
        <v>103</v>
      </c>
      <c r="H17" s="259" t="s">
        <v>104</v>
      </c>
      <c r="I17" s="14"/>
      <c r="J17" s="14"/>
      <c r="K17" s="14"/>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row>
    <row r="18" spans="2:37" ht="16.399999999999999" customHeight="1" x14ac:dyDescent="0.35">
      <c r="C18" s="149" t="s">
        <v>118</v>
      </c>
      <c r="D18" s="468" t="s">
        <v>1998</v>
      </c>
      <c r="E18" s="469"/>
      <c r="F18" s="157"/>
      <c r="G18" s="272"/>
      <c r="H18" s="161"/>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row>
    <row r="19" spans="2:37" x14ac:dyDescent="0.35">
      <c r="C19" s="149" t="s">
        <v>119</v>
      </c>
      <c r="D19" s="470" t="s">
        <v>120</v>
      </c>
      <c r="E19" s="471"/>
      <c r="F19" s="157"/>
      <c r="G19" s="272"/>
      <c r="H19" s="161"/>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row>
    <row r="20" spans="2:37" x14ac:dyDescent="0.35">
      <c r="C20" s="149" t="s">
        <v>121</v>
      </c>
      <c r="D20" s="236" t="s">
        <v>122</v>
      </c>
      <c r="E20" s="156"/>
      <c r="F20" s="157"/>
      <c r="G20" s="272"/>
      <c r="H20" s="161"/>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row>
    <row r="21" spans="2:37" x14ac:dyDescent="0.35">
      <c r="C21" s="149" t="s">
        <v>123</v>
      </c>
      <c r="D21" s="235" t="s">
        <v>124</v>
      </c>
      <c r="E21" s="156"/>
      <c r="F21" s="157"/>
      <c r="G21" s="269">
        <f>G18+G19+G20</f>
        <v>0</v>
      </c>
      <c r="H21" s="269">
        <f>IFERROR(('I&amp;E'!G32+'I&amp;E'!G33+'I&amp;E'!G34+'I&amp;E'!G35-'I&amp;E'!G38)/G21*1000,0)</f>
        <v>0</v>
      </c>
      <c r="I21" s="14"/>
      <c r="J21" s="14"/>
      <c r="K21" s="14"/>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row>
    <row r="22" spans="2:37" x14ac:dyDescent="0.35">
      <c r="C22" s="149"/>
      <c r="D22" s="162"/>
      <c r="E22" s="29"/>
      <c r="F22" s="29"/>
      <c r="G22" s="162"/>
      <c r="H22" s="29"/>
      <c r="I22" s="14"/>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row>
    <row r="23" spans="2:37" ht="42.5" x14ac:dyDescent="0.35">
      <c r="B23" s="81"/>
      <c r="C23" s="149"/>
      <c r="D23" s="237" t="s">
        <v>125</v>
      </c>
      <c r="E23" s="159"/>
      <c r="F23" s="160"/>
      <c r="G23" s="258" t="s">
        <v>103</v>
      </c>
      <c r="H23" s="260" t="s">
        <v>104</v>
      </c>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row>
    <row r="24" spans="2:37" x14ac:dyDescent="0.35">
      <c r="B24" s="81" t="s">
        <v>5</v>
      </c>
      <c r="C24" s="149" t="s">
        <v>126</v>
      </c>
      <c r="D24" s="235" t="s">
        <v>127</v>
      </c>
      <c r="E24" s="156"/>
      <c r="F24" s="157"/>
      <c r="G24" s="272"/>
      <c r="H24" s="269">
        <f>IFERROR(('I&amp;E'!G41+'I&amp;E'!G44-'I&amp;E'!G46)/G24*1000,0)</f>
        <v>0</v>
      </c>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row>
    <row r="25" spans="2:37" x14ac:dyDescent="0.35">
      <c r="C25" s="149"/>
      <c r="D25" s="162"/>
      <c r="E25" s="29"/>
      <c r="F25" s="29"/>
      <c r="G25" s="29"/>
      <c r="H25" s="29"/>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row>
    <row r="26" spans="2:37" ht="42.5" x14ac:dyDescent="0.35">
      <c r="B26" s="81"/>
      <c r="C26" s="149"/>
      <c r="D26" s="238" t="s">
        <v>128</v>
      </c>
      <c r="E26" s="159"/>
      <c r="F26" s="160"/>
      <c r="G26" s="261" t="s">
        <v>103</v>
      </c>
      <c r="H26" s="260" t="s">
        <v>104</v>
      </c>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row>
    <row r="27" spans="2:37" ht="15.65" customHeight="1" x14ac:dyDescent="0.35">
      <c r="B27" s="81" t="s">
        <v>5</v>
      </c>
      <c r="C27" s="149" t="s">
        <v>129</v>
      </c>
      <c r="D27" s="239" t="s">
        <v>128</v>
      </c>
      <c r="E27" s="163"/>
      <c r="F27" s="164"/>
      <c r="G27" s="269">
        <f>G24+G21+G15+G10</f>
        <v>0</v>
      </c>
      <c r="H27" s="269">
        <f>IFERROR(('I&amp;E'!G12+'I&amp;E'!G22+'I&amp;E'!G28+'I&amp;E'!G37+'I&amp;E'!G45+'I&amp;E'!G52+'I&amp;E'!G59-'CFFR SOCI'!G22)/G27*1000,0)</f>
        <v>0</v>
      </c>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row>
    <row r="28" spans="2:37" x14ac:dyDescent="0.35">
      <c r="C28" s="149"/>
      <c r="D28" s="29"/>
      <c r="E28" s="29"/>
      <c r="F28" s="29"/>
      <c r="G28" s="29"/>
      <c r="H28" s="29"/>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row>
    <row r="29" spans="2:37" ht="42.5" x14ac:dyDescent="0.35">
      <c r="B29" s="81"/>
      <c r="C29" s="149"/>
      <c r="D29" s="238" t="s">
        <v>130</v>
      </c>
      <c r="E29" s="159"/>
      <c r="F29" s="160"/>
      <c r="G29" s="261" t="s">
        <v>103</v>
      </c>
      <c r="H29" s="260" t="s">
        <v>104</v>
      </c>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row>
    <row r="30" spans="2:37" x14ac:dyDescent="0.35">
      <c r="B30" s="81" t="s">
        <v>5</v>
      </c>
      <c r="C30" s="149" t="s">
        <v>131</v>
      </c>
      <c r="D30" s="239" t="s">
        <v>132</v>
      </c>
      <c r="E30" s="163"/>
      <c r="F30" s="164"/>
      <c r="G30" s="272"/>
      <c r="H30" s="269">
        <f>IFERROR((('I&amp;E'!G18+'I&amp;E'!G19)/G30)*1000,0)</f>
        <v>0</v>
      </c>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row>
    <row r="31" spans="2:37" x14ac:dyDescent="0.35">
      <c r="C31" s="149"/>
      <c r="D31" s="29"/>
      <c r="E31" s="29"/>
      <c r="F31" s="29"/>
      <c r="G31" s="29"/>
      <c r="H31" s="29"/>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row>
    <row r="32" spans="2:37" x14ac:dyDescent="0.35">
      <c r="C32" s="149"/>
      <c r="D32" s="29"/>
      <c r="E32" s="29"/>
      <c r="F32" s="29"/>
      <c r="G32" s="29"/>
      <c r="H32" s="29"/>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row>
    <row r="33" spans="1:37" x14ac:dyDescent="0.35">
      <c r="A33" s="356"/>
      <c r="B33" s="356"/>
      <c r="C33" s="357">
        <v>2</v>
      </c>
      <c r="D33" s="358" t="s">
        <v>133</v>
      </c>
      <c r="E33" s="356"/>
      <c r="F33" s="356"/>
      <c r="G33" s="356"/>
      <c r="H33" s="356"/>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row>
    <row r="34" spans="1:37" x14ac:dyDescent="0.35">
      <c r="C34" s="165"/>
      <c r="D34" s="166"/>
      <c r="E34" s="166"/>
      <c r="F34" s="29"/>
      <c r="G34" s="29"/>
      <c r="H34" s="361" t="s">
        <v>134</v>
      </c>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row>
    <row r="35" spans="1:37" x14ac:dyDescent="0.35">
      <c r="C35" s="149" t="s">
        <v>135</v>
      </c>
      <c r="D35" s="240" t="s">
        <v>136</v>
      </c>
      <c r="E35" s="156"/>
      <c r="F35" s="156"/>
      <c r="G35" s="157"/>
      <c r="H35" s="272"/>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row>
    <row r="36" spans="1:37" x14ac:dyDescent="0.35">
      <c r="C36" s="165"/>
      <c r="D36" s="166"/>
      <c r="E36" s="166"/>
      <c r="F36" s="29"/>
      <c r="G36" s="29"/>
      <c r="H36" s="29"/>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row>
    <row r="37" spans="1:37" ht="28" x14ac:dyDescent="0.35">
      <c r="B37" s="81" t="s">
        <v>5</v>
      </c>
      <c r="C37" s="149"/>
      <c r="D37" s="167"/>
      <c r="E37" s="168"/>
      <c r="F37" s="262" t="s">
        <v>137</v>
      </c>
      <c r="G37" s="263" t="s">
        <v>138</v>
      </c>
      <c r="H37" s="263" t="s">
        <v>139</v>
      </c>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row>
    <row r="38" spans="1:37" x14ac:dyDescent="0.35">
      <c r="B38" s="81" t="s">
        <v>5</v>
      </c>
      <c r="C38" s="149" t="s">
        <v>140</v>
      </c>
      <c r="D38" s="241" t="s">
        <v>141</v>
      </c>
      <c r="E38" s="169"/>
      <c r="F38" s="291"/>
      <c r="G38" s="269">
        <f>IFERROR('I&amp;E'!G105/F38*1000, 0)</f>
        <v>0</v>
      </c>
      <c r="H38" s="269">
        <f>IFERROR($G$27/F38,0)</f>
        <v>0</v>
      </c>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row>
    <row r="39" spans="1:37" x14ac:dyDescent="0.35">
      <c r="C39" s="165"/>
      <c r="D39" s="242"/>
      <c r="E39" s="166"/>
      <c r="F39" s="29"/>
      <c r="G39" s="29"/>
      <c r="H39" s="29"/>
      <c r="I39" s="14"/>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row>
    <row r="40" spans="1:37" x14ac:dyDescent="0.35">
      <c r="C40" s="149" t="s">
        <v>142</v>
      </c>
      <c r="D40" s="243" t="s">
        <v>143</v>
      </c>
      <c r="E40" s="155"/>
      <c r="F40" s="291"/>
      <c r="G40" s="269">
        <f>IFERROR('I&amp;E'!G107/F40*1000,0)</f>
        <v>0</v>
      </c>
      <c r="H40" s="269">
        <f t="shared" ref="H40:H49" si="0">IFERROR($G$27/F40,0)</f>
        <v>0</v>
      </c>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row>
    <row r="41" spans="1:37" x14ac:dyDescent="0.35">
      <c r="C41" s="149" t="s">
        <v>144</v>
      </c>
      <c r="D41" s="243" t="s">
        <v>145</v>
      </c>
      <c r="E41" s="155"/>
      <c r="F41" s="291"/>
      <c r="G41" s="269">
        <f>IFERROR('I&amp;E'!G108/F41*1000,0)</f>
        <v>0</v>
      </c>
      <c r="H41" s="269">
        <f t="shared" si="0"/>
        <v>0</v>
      </c>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row>
    <row r="42" spans="1:37" x14ac:dyDescent="0.35">
      <c r="C42" s="149" t="s">
        <v>146</v>
      </c>
      <c r="D42" s="240" t="s">
        <v>147</v>
      </c>
      <c r="E42" s="157"/>
      <c r="F42" s="291"/>
      <c r="G42" s="269">
        <f>IFERROR('I&amp;E'!G109/F42*1000,0)</f>
        <v>0</v>
      </c>
      <c r="H42" s="269">
        <f t="shared" si="0"/>
        <v>0</v>
      </c>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row>
    <row r="43" spans="1:37" x14ac:dyDescent="0.35">
      <c r="C43" s="149" t="s">
        <v>148</v>
      </c>
      <c r="D43" s="241" t="s">
        <v>149</v>
      </c>
      <c r="E43" s="169"/>
      <c r="F43" s="271">
        <f>SUM(F40:F42)</f>
        <v>0</v>
      </c>
      <c r="G43" s="271">
        <f>IFERROR(SUM('I&amp;E'!G107:G109)/F43*1000,0)</f>
        <v>0</v>
      </c>
      <c r="H43" s="271">
        <f t="shared" si="0"/>
        <v>0</v>
      </c>
      <c r="I43" s="14"/>
      <c r="J43" s="14"/>
      <c r="K43" s="14"/>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row>
    <row r="44" spans="1:37" x14ac:dyDescent="0.35">
      <c r="C44" s="149"/>
      <c r="D44" s="33"/>
      <c r="E44" s="33"/>
      <c r="F44" s="33"/>
      <c r="G44" s="33"/>
      <c r="H44" s="33"/>
      <c r="I44" s="14"/>
      <c r="J44" s="14"/>
      <c r="K44" s="14"/>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row>
    <row r="45" spans="1:37" x14ac:dyDescent="0.35">
      <c r="C45" s="149" t="s">
        <v>150</v>
      </c>
      <c r="D45" s="240" t="s">
        <v>151</v>
      </c>
      <c r="E45" s="169"/>
      <c r="F45" s="291"/>
      <c r="G45" s="269">
        <f>IFERROR('I&amp;E'!G110/F45*1000,0)</f>
        <v>0</v>
      </c>
      <c r="H45" s="269">
        <f t="shared" si="0"/>
        <v>0</v>
      </c>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35">
      <c r="C46" s="149" t="s">
        <v>152</v>
      </c>
      <c r="D46" s="243" t="s">
        <v>67</v>
      </c>
      <c r="E46" s="155"/>
      <c r="F46" s="291"/>
      <c r="G46" s="269">
        <f>IFERROR('I&amp;E'!G112/F46*1000,0)</f>
        <v>0</v>
      </c>
      <c r="H46" s="269">
        <f t="shared" si="0"/>
        <v>0</v>
      </c>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35">
      <c r="C47" s="149" t="s">
        <v>153</v>
      </c>
      <c r="D47" s="241" t="s">
        <v>154</v>
      </c>
      <c r="E47" s="169"/>
      <c r="F47" s="271">
        <f>SUM(F45:F46)</f>
        <v>0</v>
      </c>
      <c r="G47" s="271">
        <f>IFERROR(SUM('I&amp;E'!G110,'I&amp;E'!G112)/F47*1000,0)</f>
        <v>0</v>
      </c>
      <c r="H47" s="271">
        <f t="shared" si="0"/>
        <v>0</v>
      </c>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row r="48" spans="1:37" x14ac:dyDescent="0.35">
      <c r="C48" s="149"/>
      <c r="D48" s="244"/>
      <c r="E48" s="33"/>
      <c r="F48" s="33"/>
      <c r="G48" s="33"/>
      <c r="H48" s="33"/>
      <c r="I48" s="14"/>
      <c r="J48" s="14"/>
      <c r="K48" s="14"/>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row>
    <row r="49" spans="2:37" x14ac:dyDescent="0.35">
      <c r="C49" s="149" t="s">
        <v>155</v>
      </c>
      <c r="D49" s="241" t="s">
        <v>156</v>
      </c>
      <c r="E49" s="169"/>
      <c r="F49" s="271">
        <f>F38+F43+F47</f>
        <v>0</v>
      </c>
      <c r="G49" s="271">
        <f>IFERROR(SUM('I&amp;E'!G105:G112)/F49*1000,0)</f>
        <v>0</v>
      </c>
      <c r="H49" s="271">
        <f t="shared" si="0"/>
        <v>0</v>
      </c>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row>
    <row r="50" spans="2:37" x14ac:dyDescent="0.35">
      <c r="C50" s="149"/>
      <c r="D50" s="244"/>
      <c r="E50" s="33"/>
      <c r="F50" s="33"/>
      <c r="G50" s="33"/>
      <c r="H50" s="33"/>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row>
    <row r="51" spans="2:37" x14ac:dyDescent="0.35">
      <c r="C51" s="149" t="s">
        <v>157</v>
      </c>
      <c r="D51" s="240" t="s">
        <v>158</v>
      </c>
      <c r="E51" s="157"/>
      <c r="F51" s="291"/>
      <c r="G51" s="269">
        <f>IFERROR(H35/F51*1000,0)</f>
        <v>0</v>
      </c>
      <c r="H51" s="269">
        <f>IFERROR($G$27/F51,0)</f>
        <v>0</v>
      </c>
      <c r="I51" s="14"/>
      <c r="J51" s="14"/>
      <c r="K51" s="14"/>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row>
    <row r="52" spans="2:37" x14ac:dyDescent="0.35">
      <c r="C52" s="149"/>
      <c r="D52" s="244"/>
      <c r="E52" s="33"/>
      <c r="F52" s="33"/>
      <c r="G52" s="33"/>
      <c r="H52" s="33"/>
      <c r="I52" s="14"/>
      <c r="J52" s="14"/>
      <c r="K52" s="14"/>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row>
    <row r="53" spans="2:37" x14ac:dyDescent="0.35">
      <c r="C53" s="149"/>
      <c r="D53" s="244"/>
      <c r="E53" s="33"/>
      <c r="F53" s="29"/>
      <c r="G53" s="33"/>
      <c r="H53" s="266" t="s">
        <v>159</v>
      </c>
      <c r="I53" s="14"/>
      <c r="J53" s="14"/>
      <c r="K53" s="14"/>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row>
    <row r="54" spans="2:37" x14ac:dyDescent="0.35">
      <c r="B54" s="81" t="s">
        <v>5</v>
      </c>
      <c r="C54" s="149" t="s">
        <v>160</v>
      </c>
      <c r="D54" s="245" t="s">
        <v>161</v>
      </c>
      <c r="E54" s="170"/>
      <c r="F54" s="170"/>
      <c r="G54" s="171"/>
      <c r="H54" s="28"/>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row>
    <row r="55" spans="2:37" x14ac:dyDescent="0.35">
      <c r="C55" s="149"/>
      <c r="D55" s="246"/>
      <c r="E55" s="172"/>
      <c r="F55" s="33"/>
      <c r="G55" s="33"/>
      <c r="H55" s="33"/>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row>
    <row r="56" spans="2:37" x14ac:dyDescent="0.35">
      <c r="C56" s="149"/>
      <c r="D56" s="246"/>
      <c r="E56" s="172"/>
      <c r="F56" s="33"/>
      <c r="G56" s="33"/>
      <c r="H56" s="33"/>
      <c r="I56" s="14"/>
      <c r="J56" s="14"/>
      <c r="K56" s="14"/>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row>
    <row r="57" spans="2:37" x14ac:dyDescent="0.35">
      <c r="C57" s="149"/>
      <c r="D57" s="244"/>
      <c r="E57" s="33"/>
      <c r="F57" s="29"/>
      <c r="G57" s="33"/>
      <c r="H57" s="266" t="s">
        <v>319</v>
      </c>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row>
    <row r="58" spans="2:37" x14ac:dyDescent="0.35">
      <c r="C58" s="149" t="s">
        <v>1874</v>
      </c>
      <c r="D58" s="245" t="s">
        <v>2001</v>
      </c>
      <c r="E58" s="170"/>
      <c r="F58" s="170"/>
      <c r="G58" s="171"/>
      <c r="H58" s="412"/>
      <c r="I58" s="14"/>
      <c r="J58" s="14"/>
      <c r="K58" s="14"/>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row>
    <row r="59" spans="2:37" x14ac:dyDescent="0.35">
      <c r="C59" s="149"/>
      <c r="D59" s="414"/>
      <c r="E59" s="170"/>
      <c r="F59" s="170"/>
      <c r="G59" s="171"/>
      <c r="H59" s="266" t="s">
        <v>1873</v>
      </c>
      <c r="I59" s="14"/>
      <c r="J59" s="14"/>
      <c r="K59" s="14"/>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row>
    <row r="60" spans="2:37" x14ac:dyDescent="0.35">
      <c r="C60" s="149" t="s">
        <v>1875</v>
      </c>
      <c r="D60" s="245" t="s">
        <v>1876</v>
      </c>
      <c r="E60" s="170"/>
      <c r="F60" s="170"/>
      <c r="G60" s="171"/>
      <c r="H60" s="413"/>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row>
    <row r="61" spans="2:37" x14ac:dyDescent="0.35">
      <c r="C61" s="149"/>
      <c r="D61" s="246"/>
      <c r="E61" s="172"/>
      <c r="F61" s="33"/>
      <c r="G61" s="33"/>
      <c r="H61" s="33"/>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row>
    <row r="62" spans="2:37" x14ac:dyDescent="0.35">
      <c r="C62" s="149"/>
      <c r="D62" s="246"/>
      <c r="E62" s="172"/>
      <c r="F62" s="33"/>
      <c r="G62" s="33"/>
      <c r="H62" s="33"/>
      <c r="I62" s="14"/>
      <c r="J62" s="14"/>
      <c r="K62" s="14"/>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row>
    <row r="63" spans="2:37" x14ac:dyDescent="0.35">
      <c r="C63" s="173"/>
      <c r="D63" s="247"/>
      <c r="E63" s="172"/>
      <c r="F63" s="29"/>
      <c r="G63" s="377" t="str">
        <f>"Y/E "&amp;TEXT(DATE(YEAR(Parameters!E5),3,31),"dd mmmm yy")</f>
        <v>Y/E 31 March 25</v>
      </c>
      <c r="H63" s="377" t="str">
        <f>"Y/E "&amp;TEXT(DATE(YEAR(Parameters!E5)+1,3,31),"dd mmmm yy")</f>
        <v>Y/E 31 March 26</v>
      </c>
      <c r="I63" s="14"/>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row>
    <row r="64" spans="2:37" ht="15.75" customHeight="1" x14ac:dyDescent="0.35">
      <c r="B64" s="81" t="s">
        <v>5</v>
      </c>
      <c r="C64" s="149" t="s">
        <v>162</v>
      </c>
      <c r="D64" s="245" t="s">
        <v>163</v>
      </c>
      <c r="E64" s="174"/>
      <c r="F64" s="175"/>
      <c r="G64" s="183"/>
      <c r="H64" s="183"/>
      <c r="I64" s="14"/>
      <c r="J64" s="14"/>
      <c r="K64" s="14"/>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row>
    <row r="65" spans="1:37" x14ac:dyDescent="0.35">
      <c r="C65" s="149"/>
      <c r="D65" s="176"/>
      <c r="E65" s="176"/>
      <c r="F65" s="176"/>
      <c r="G65" s="29"/>
      <c r="H65" s="29"/>
      <c r="I65" s="14"/>
      <c r="J65" s="14"/>
      <c r="K65" s="14"/>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row>
    <row r="66" spans="1:37" ht="56" x14ac:dyDescent="0.35">
      <c r="C66" s="149"/>
      <c r="D66" s="176"/>
      <c r="E66" s="176"/>
      <c r="F66" s="176"/>
      <c r="G66" s="265" t="s">
        <v>103</v>
      </c>
      <c r="H66" s="264" t="s">
        <v>164</v>
      </c>
      <c r="I66" s="14"/>
      <c r="J66" s="14"/>
      <c r="K66" s="14"/>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row>
    <row r="67" spans="1:37" x14ac:dyDescent="0.35">
      <c r="C67" s="149" t="s">
        <v>165</v>
      </c>
      <c r="D67" s="248" t="s">
        <v>166</v>
      </c>
      <c r="E67" s="170"/>
      <c r="F67" s="171"/>
      <c r="G67" s="272"/>
      <c r="H67" s="269">
        <f>IFERROR(Miscellaneous!G58/G67*1000,0)</f>
        <v>0</v>
      </c>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row>
    <row r="68" spans="1:37" x14ac:dyDescent="0.35">
      <c r="C68" s="149"/>
      <c r="D68" s="244"/>
      <c r="E68" s="33"/>
      <c r="F68" s="33"/>
      <c r="G68" s="33"/>
      <c r="H68" s="33"/>
      <c r="I68" s="14"/>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row>
    <row r="69" spans="1:37" x14ac:dyDescent="0.35">
      <c r="C69" s="149"/>
      <c r="D69" s="32"/>
      <c r="E69" s="32"/>
      <c r="F69" s="32"/>
      <c r="G69" s="32"/>
      <c r="H69" s="177"/>
      <c r="I69" s="14"/>
      <c r="J69" s="14"/>
      <c r="K69" s="14"/>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row>
    <row r="70" spans="1:37" x14ac:dyDescent="0.35">
      <c r="C70" s="149"/>
      <c r="D70" s="32"/>
      <c r="E70" s="32"/>
      <c r="F70" s="32"/>
      <c r="G70" s="32"/>
      <c r="H70" s="177"/>
      <c r="I70" s="14"/>
      <c r="J70" s="14"/>
      <c r="K70" s="14"/>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row>
    <row r="71" spans="1:37" x14ac:dyDescent="0.35">
      <c r="C71" s="149"/>
      <c r="D71" s="33"/>
      <c r="E71" s="33"/>
      <c r="F71" s="33"/>
      <c r="G71" s="33"/>
      <c r="H71" s="33"/>
      <c r="I71" s="14"/>
      <c r="J71" s="14"/>
      <c r="K71" s="14"/>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row>
    <row r="72" spans="1:37" x14ac:dyDescent="0.35">
      <c r="A72" s="356"/>
      <c r="B72" s="356"/>
      <c r="C72" s="357">
        <v>3</v>
      </c>
      <c r="D72" s="358" t="s">
        <v>167</v>
      </c>
      <c r="E72" s="356"/>
      <c r="F72" s="356"/>
      <c r="G72" s="356"/>
      <c r="H72" s="356"/>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row>
    <row r="73" spans="1:37" ht="30.75" customHeight="1" x14ac:dyDescent="0.35">
      <c r="B73" s="81"/>
      <c r="C73" s="149"/>
      <c r="D73" s="29"/>
      <c r="E73" s="29"/>
      <c r="F73" s="29"/>
      <c r="G73" s="359" t="s">
        <v>168</v>
      </c>
      <c r="H73" s="360" t="s">
        <v>169</v>
      </c>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row>
    <row r="74" spans="1:37" x14ac:dyDescent="0.35">
      <c r="B74" s="81" t="s">
        <v>5</v>
      </c>
      <c r="C74" s="149" t="s">
        <v>170</v>
      </c>
      <c r="D74" s="240" t="s">
        <v>171</v>
      </c>
      <c r="E74" s="250"/>
      <c r="F74" s="251"/>
      <c r="G74" s="269">
        <f>'I&amp;E'!G117</f>
        <v>0</v>
      </c>
      <c r="H74" s="269">
        <f>IFERROR(G74/$G$27*1000,0)</f>
        <v>0</v>
      </c>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row>
    <row r="75" spans="1:37" ht="15" customHeight="1" x14ac:dyDescent="0.35">
      <c r="B75" s="81" t="s">
        <v>5</v>
      </c>
      <c r="C75" s="149" t="s">
        <v>172</v>
      </c>
      <c r="D75" s="240" t="s">
        <v>173</v>
      </c>
      <c r="E75" s="250"/>
      <c r="F75" s="251"/>
      <c r="G75" s="269">
        <f>'I&amp;E'!G118</f>
        <v>0</v>
      </c>
      <c r="H75" s="269">
        <f>IFERROR(G75/$G$27*1000,0)</f>
        <v>0</v>
      </c>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row>
    <row r="76" spans="1:37" x14ac:dyDescent="0.35">
      <c r="C76" s="149"/>
      <c r="D76" s="252"/>
      <c r="E76" s="252"/>
      <c r="F76" s="252"/>
      <c r="G76" s="252"/>
      <c r="H76" s="29"/>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row>
    <row r="77" spans="1:37" ht="42.5" x14ac:dyDescent="0.35">
      <c r="C77" s="149"/>
      <c r="D77" s="252"/>
      <c r="E77" s="252"/>
      <c r="F77" s="252"/>
      <c r="G77" s="253" t="s">
        <v>168</v>
      </c>
      <c r="H77" s="265" t="s">
        <v>174</v>
      </c>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row>
    <row r="78" spans="1:37" x14ac:dyDescent="0.35">
      <c r="C78" s="149" t="s">
        <v>175</v>
      </c>
      <c r="D78" s="240" t="s">
        <v>176</v>
      </c>
      <c r="E78" s="250"/>
      <c r="F78" s="251"/>
      <c r="G78" s="272"/>
      <c r="H78" s="269">
        <f>IFERROR(G78/F49*1000,0)</f>
        <v>0</v>
      </c>
      <c r="I78" s="389" t="str">
        <f>IF(H78&gt;=Parameters!F365,"Warning: check figures","")</f>
        <v/>
      </c>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row>
    <row r="79" spans="1:37" x14ac:dyDescent="0.35">
      <c r="C79" s="149"/>
      <c r="D79" s="244"/>
      <c r="E79" s="244"/>
      <c r="F79" s="244"/>
      <c r="G79" s="244"/>
      <c r="H79" s="33"/>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row>
    <row r="80" spans="1:37" x14ac:dyDescent="0.35">
      <c r="A80" s="356"/>
      <c r="B80" s="356"/>
      <c r="C80" s="357">
        <v>4</v>
      </c>
      <c r="D80" s="358" t="s">
        <v>177</v>
      </c>
      <c r="E80" s="356"/>
      <c r="F80" s="356"/>
      <c r="G80" s="356"/>
      <c r="H80" s="356"/>
      <c r="I80" s="14"/>
      <c r="J80" s="14"/>
      <c r="K80" s="14"/>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row>
    <row r="81" spans="1:37" x14ac:dyDescent="0.35">
      <c r="C81" s="149"/>
      <c r="D81" s="254" t="s">
        <v>178</v>
      </c>
      <c r="E81" s="32"/>
      <c r="F81" s="32"/>
      <c r="G81" s="32"/>
      <c r="H81" s="406"/>
      <c r="I81" s="14"/>
      <c r="J81" s="14"/>
      <c r="K81" s="14"/>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row>
    <row r="82" spans="1:37" x14ac:dyDescent="0.35">
      <c r="C82" s="149" t="s">
        <v>179</v>
      </c>
      <c r="D82" s="240" t="s">
        <v>180</v>
      </c>
      <c r="E82" s="156"/>
      <c r="F82" s="156"/>
      <c r="G82" s="157"/>
      <c r="H82" s="306"/>
      <c r="I82" s="14"/>
      <c r="J82" s="14"/>
      <c r="K82" s="14"/>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row>
    <row r="83" spans="1:37" x14ac:dyDescent="0.35">
      <c r="C83" s="149" t="s">
        <v>181</v>
      </c>
      <c r="D83" s="240" t="s">
        <v>182</v>
      </c>
      <c r="E83" s="156"/>
      <c r="F83" s="156"/>
      <c r="G83" s="157"/>
      <c r="H83" s="306"/>
      <c r="I83" s="14"/>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row>
    <row r="84" spans="1:37" x14ac:dyDescent="0.35">
      <c r="C84" s="149" t="s">
        <v>183</v>
      </c>
      <c r="D84" s="240" t="s">
        <v>184</v>
      </c>
      <c r="E84" s="156"/>
      <c r="F84" s="156"/>
      <c r="G84" s="157"/>
      <c r="H84" s="306"/>
      <c r="I84" s="14"/>
      <c r="J84" s="14"/>
      <c r="K84" s="14"/>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row>
    <row r="85" spans="1:37" x14ac:dyDescent="0.35">
      <c r="C85" s="149" t="s">
        <v>185</v>
      </c>
      <c r="D85" s="240" t="s">
        <v>186</v>
      </c>
      <c r="E85" s="156"/>
      <c r="F85" s="156"/>
      <c r="G85" s="157"/>
      <c r="H85" s="306"/>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row>
    <row r="86" spans="1:37" x14ac:dyDescent="0.35">
      <c r="C86" s="149" t="s">
        <v>187</v>
      </c>
      <c r="D86" s="240" t="s">
        <v>188</v>
      </c>
      <c r="E86" s="156"/>
      <c r="F86" s="156"/>
      <c r="G86" s="157"/>
      <c r="H86" s="306"/>
      <c r="I86" s="14"/>
      <c r="J86" s="14"/>
      <c r="K86" s="14"/>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row>
    <row r="87" spans="1:37" x14ac:dyDescent="0.35">
      <c r="C87" s="204"/>
      <c r="D87" s="307"/>
      <c r="E87" s="308"/>
      <c r="F87" s="308"/>
      <c r="G87" s="308"/>
      <c r="H87" s="406"/>
    </row>
    <row r="88" spans="1:37" x14ac:dyDescent="0.35">
      <c r="B88" s="81" t="s">
        <v>5</v>
      </c>
      <c r="C88" s="149" t="s">
        <v>189</v>
      </c>
      <c r="D88" s="240" t="s">
        <v>190</v>
      </c>
      <c r="E88" s="156"/>
      <c r="F88" s="156"/>
      <c r="G88" s="157"/>
      <c r="H88" s="309"/>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row>
    <row r="89" spans="1:37" x14ac:dyDescent="0.35">
      <c r="C89" s="149"/>
      <c r="D89" s="33"/>
      <c r="E89" s="33"/>
      <c r="F89" s="33"/>
      <c r="G89" s="33"/>
      <c r="H89" s="33"/>
      <c r="I89" s="14"/>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row>
    <row r="90" spans="1:37" x14ac:dyDescent="0.35">
      <c r="A90" s="356"/>
      <c r="B90" s="356"/>
      <c r="C90" s="357">
        <v>5</v>
      </c>
      <c r="D90" s="249" t="s">
        <v>191</v>
      </c>
      <c r="E90" s="5"/>
      <c r="F90" s="5"/>
      <c r="G90" s="5"/>
      <c r="H90" s="5"/>
      <c r="I90" s="14"/>
      <c r="J90" s="14"/>
      <c r="K90" s="14"/>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row>
    <row r="91" spans="1:37" ht="15" customHeight="1" x14ac:dyDescent="0.35">
      <c r="B91" s="81" t="s">
        <v>5</v>
      </c>
      <c r="C91" s="149" t="s">
        <v>192</v>
      </c>
      <c r="D91" s="255" t="s">
        <v>193</v>
      </c>
      <c r="E91" s="178"/>
      <c r="F91" s="310"/>
      <c r="G91" s="363"/>
      <c r="H91" s="309"/>
      <c r="I91" s="14"/>
      <c r="J91" s="14"/>
      <c r="K91" s="14"/>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row>
    <row r="92" spans="1:37" ht="15" customHeight="1" x14ac:dyDescent="0.35">
      <c r="C92" s="149" t="s">
        <v>194</v>
      </c>
      <c r="D92" s="255" t="s">
        <v>195</v>
      </c>
      <c r="E92" s="178"/>
      <c r="F92" s="178"/>
      <c r="G92" s="311"/>
      <c r="H92" s="415">
        <f>IFERROR(H91/G27,0)</f>
        <v>0</v>
      </c>
      <c r="I92" s="14"/>
      <c r="J92" s="14"/>
      <c r="K92" s="14"/>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row>
    <row r="93" spans="1:37" ht="15" customHeight="1" x14ac:dyDescent="0.35">
      <c r="C93" s="149" t="s">
        <v>196</v>
      </c>
      <c r="D93" s="255" t="s">
        <v>197</v>
      </c>
      <c r="E93" s="178"/>
      <c r="F93" s="178"/>
      <c r="G93" s="311"/>
      <c r="H93" s="312">
        <f>'I&amp;E'!G109+'I&amp;E'!G120+'I&amp;E'!G122</f>
        <v>0</v>
      </c>
      <c r="I93" s="14"/>
      <c r="J93" s="14"/>
      <c r="K93" s="14"/>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row>
    <row r="94" spans="1:37" ht="15" customHeight="1" x14ac:dyDescent="0.35">
      <c r="C94" s="149" t="s">
        <v>198</v>
      </c>
      <c r="D94" s="237" t="s">
        <v>199</v>
      </c>
      <c r="E94" s="178"/>
      <c r="F94" s="178"/>
      <c r="G94" s="311"/>
      <c r="H94" s="312">
        <f>IFERROR(H93/H91*1000,0)</f>
        <v>0</v>
      </c>
      <c r="I94" s="14"/>
      <c r="J94" s="14"/>
      <c r="K94" s="14"/>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row>
    <row r="95" spans="1:37" ht="15" customHeight="1" x14ac:dyDescent="0.35">
      <c r="C95" s="149"/>
      <c r="D95" s="320"/>
      <c r="E95" s="179"/>
      <c r="F95" s="179"/>
      <c r="G95" s="310"/>
      <c r="H95" s="14"/>
      <c r="I95" s="14"/>
      <c r="J95" s="14"/>
      <c r="K95" s="14"/>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row>
    <row r="96" spans="1:37" ht="28" customHeight="1" x14ac:dyDescent="0.35">
      <c r="C96" s="204"/>
      <c r="D96" s="313"/>
      <c r="E96" s="314"/>
      <c r="G96" s="315" t="s">
        <v>200</v>
      </c>
      <c r="H96" s="262" t="s">
        <v>201</v>
      </c>
    </row>
    <row r="97" spans="1:37" ht="15" customHeight="1" x14ac:dyDescent="0.35">
      <c r="C97" s="204" t="s">
        <v>202</v>
      </c>
      <c r="D97" s="472" t="s">
        <v>203</v>
      </c>
      <c r="E97" s="473"/>
      <c r="F97" s="474"/>
      <c r="G97" s="272"/>
      <c r="H97" s="269">
        <f>IFERROR(G97/$H$91*1000,0)</f>
        <v>0</v>
      </c>
    </row>
    <row r="98" spans="1:37" ht="15" customHeight="1" x14ac:dyDescent="0.35">
      <c r="C98" s="204" t="s">
        <v>204</v>
      </c>
      <c r="D98" s="256" t="s">
        <v>205</v>
      </c>
      <c r="E98" s="314"/>
      <c r="F98" s="395"/>
      <c r="G98" s="394"/>
      <c r="H98" s="269">
        <f t="shared" ref="H98:H99" si="1">IFERROR(G98/$H$91*1000,0)</f>
        <v>0</v>
      </c>
    </row>
    <row r="99" spans="1:37" ht="15" customHeight="1" x14ac:dyDescent="0.35">
      <c r="C99" s="149" t="s">
        <v>206</v>
      </c>
      <c r="D99" s="255" t="s">
        <v>207</v>
      </c>
      <c r="E99" s="178"/>
      <c r="F99" s="311"/>
      <c r="G99" s="394"/>
      <c r="H99" s="269">
        <f t="shared" si="1"/>
        <v>0</v>
      </c>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row>
    <row r="100" spans="1:37" ht="15" customHeight="1" x14ac:dyDescent="0.35">
      <c r="C100" s="149" t="s">
        <v>208</v>
      </c>
      <c r="D100" s="237" t="s">
        <v>209</v>
      </c>
      <c r="E100" s="178"/>
      <c r="F100" s="178"/>
      <c r="G100" s="312">
        <f>SUM(G97:G99)</f>
        <v>0</v>
      </c>
      <c r="H100" s="316">
        <f>IFERROR(G100/$H$91*1000,0)</f>
        <v>0</v>
      </c>
      <c r="I100" s="389" t="str">
        <f>IF(G100&gt;=Parameters!H371,"Warning: check figures","")</f>
        <v/>
      </c>
      <c r="J100" s="14"/>
      <c r="K100" s="14"/>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row>
    <row r="101" spans="1:37" ht="15" customHeight="1" x14ac:dyDescent="0.35">
      <c r="C101" s="149"/>
      <c r="D101" s="317"/>
      <c r="E101" s="179"/>
      <c r="F101" s="179"/>
      <c r="G101" s="318"/>
      <c r="H101" s="179"/>
      <c r="I101" s="14"/>
      <c r="J101" s="14"/>
      <c r="K101" s="14"/>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row>
    <row r="102" spans="1:37" ht="15" customHeight="1" x14ac:dyDescent="0.35">
      <c r="C102" s="149"/>
      <c r="D102" s="317"/>
      <c r="E102" s="179"/>
      <c r="F102" s="179"/>
      <c r="G102" s="315" t="s">
        <v>210</v>
      </c>
      <c r="H102" s="262" t="s">
        <v>211</v>
      </c>
      <c r="I102" s="14"/>
      <c r="J102" s="14"/>
      <c r="K102" s="14"/>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row>
    <row r="103" spans="1:37" ht="15" customHeight="1" x14ac:dyDescent="0.35">
      <c r="C103" s="204" t="s">
        <v>212</v>
      </c>
      <c r="D103" s="476" t="s">
        <v>213</v>
      </c>
      <c r="E103" s="473"/>
      <c r="F103" s="474"/>
      <c r="G103" s="272"/>
      <c r="H103" s="269">
        <f>IFERROR(G103/H91*1000,0)</f>
        <v>0</v>
      </c>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row>
    <row r="104" spans="1:37" ht="15" customHeight="1" x14ac:dyDescent="0.35">
      <c r="C104" s="149"/>
      <c r="D104" s="317"/>
      <c r="E104" s="179"/>
      <c r="F104" s="179"/>
      <c r="G104" s="318"/>
      <c r="H104" s="179"/>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row>
    <row r="105" spans="1:37" ht="15" customHeight="1" x14ac:dyDescent="0.35">
      <c r="B105" s="81" t="s">
        <v>5</v>
      </c>
      <c r="C105" s="149" t="s">
        <v>214</v>
      </c>
      <c r="D105" s="237" t="s">
        <v>215</v>
      </c>
      <c r="E105" s="178"/>
      <c r="F105" s="178"/>
      <c r="G105" s="311"/>
      <c r="H105" s="319">
        <f>IFERROR((-Cashflow!G39-Cashflow!G41)/Ratios!H39,0)</f>
        <v>0</v>
      </c>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row>
    <row r="106" spans="1:37" ht="15" customHeight="1" x14ac:dyDescent="0.35">
      <c r="B106" s="81" t="s">
        <v>5</v>
      </c>
      <c r="C106" s="149" t="s">
        <v>216</v>
      </c>
      <c r="D106" s="237" t="s">
        <v>217</v>
      </c>
      <c r="E106" s="178"/>
      <c r="F106" s="178"/>
      <c r="G106" s="311"/>
      <c r="H106" s="319">
        <f>IFERROR((-Cashflow!G39-Cashflow!G41)/Ratios!H8,0)</f>
        <v>0</v>
      </c>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row>
    <row r="107" spans="1:37" ht="15" customHeight="1" x14ac:dyDescent="0.35">
      <c r="C107" s="149"/>
      <c r="D107" s="320"/>
      <c r="E107" s="179"/>
      <c r="F107" s="179"/>
      <c r="H107" s="321"/>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row>
    <row r="108" spans="1:37" x14ac:dyDescent="0.35">
      <c r="B108" s="81" t="s">
        <v>5</v>
      </c>
      <c r="C108" s="149" t="s">
        <v>218</v>
      </c>
      <c r="D108" s="237" t="s">
        <v>219</v>
      </c>
      <c r="E108" s="178"/>
      <c r="F108" s="178"/>
      <c r="G108" s="311"/>
      <c r="H108" s="371"/>
      <c r="I108" s="339"/>
      <c r="J108" s="14"/>
      <c r="K108" s="17"/>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row>
    <row r="109" spans="1:37" ht="15" customHeight="1" x14ac:dyDescent="0.35">
      <c r="C109" s="149"/>
      <c r="D109" s="320"/>
      <c r="E109" s="179"/>
      <c r="F109" s="179"/>
      <c r="H109" s="322"/>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row>
    <row r="110" spans="1:37" ht="15" customHeight="1" x14ac:dyDescent="0.35">
      <c r="C110" s="149" t="s">
        <v>220</v>
      </c>
      <c r="D110" s="237" t="s">
        <v>221</v>
      </c>
      <c r="E110" s="178"/>
      <c r="F110" s="178"/>
      <c r="G110" s="311"/>
      <c r="H110" s="312">
        <f>IFERROR((Ratios!H8-'CFFR SOCI'!G22)/H91*1000,0)</f>
        <v>0</v>
      </c>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row>
    <row r="111" spans="1:37" ht="15" customHeight="1" x14ac:dyDescent="0.35">
      <c r="C111" s="149"/>
      <c r="D111" s="317"/>
      <c r="E111" s="179"/>
      <c r="F111" s="179"/>
      <c r="G111" s="318"/>
      <c r="H111" s="179"/>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row>
    <row r="112" spans="1:37" x14ac:dyDescent="0.35">
      <c r="A112" s="356"/>
      <c r="B112" s="356"/>
      <c r="C112" s="357">
        <v>6</v>
      </c>
      <c r="D112" s="358" t="s">
        <v>222</v>
      </c>
      <c r="E112" s="356"/>
      <c r="F112" s="356"/>
      <c r="G112" s="356"/>
      <c r="H112" s="356"/>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row>
    <row r="113" spans="2:37" x14ac:dyDescent="0.35">
      <c r="C113"/>
      <c r="D113" s="349"/>
      <c r="E113" s="349"/>
      <c r="F113" s="349"/>
      <c r="G113" s="349"/>
      <c r="H113" s="349"/>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row>
    <row r="114" spans="2:37" ht="31.5" customHeight="1" x14ac:dyDescent="0.35">
      <c r="C114"/>
      <c r="D114" s="465" t="s">
        <v>223</v>
      </c>
      <c r="E114" s="465"/>
      <c r="F114" s="465"/>
      <c r="G114" s="465"/>
      <c r="H114" s="465"/>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row>
    <row r="115" spans="2:37" x14ac:dyDescent="0.35">
      <c r="C115"/>
      <c r="D115" s="349"/>
      <c r="E115" s="349"/>
      <c r="F115" s="349"/>
      <c r="G115" s="349"/>
      <c r="H115" s="349"/>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row>
    <row r="116" spans="2:37" x14ac:dyDescent="0.35">
      <c r="C116" s="149" t="s">
        <v>224</v>
      </c>
      <c r="D116" s="475" t="s">
        <v>225</v>
      </c>
      <c r="E116" s="466"/>
      <c r="F116" s="466"/>
      <c r="G116" s="467"/>
      <c r="H116" s="362"/>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row>
    <row r="117" spans="2:37" x14ac:dyDescent="0.35">
      <c r="C117" s="149"/>
      <c r="D117" s="323"/>
      <c r="E117" s="323"/>
      <c r="F117" s="323"/>
      <c r="G117" s="323"/>
      <c r="H117" s="372"/>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row>
    <row r="118" spans="2:37" x14ac:dyDescent="0.35">
      <c r="B118" s="81" t="s">
        <v>5</v>
      </c>
      <c r="C118" s="149" t="s">
        <v>226</v>
      </c>
      <c r="D118" s="240" t="s">
        <v>227</v>
      </c>
      <c r="E118" s="250"/>
      <c r="F118" s="250"/>
      <c r="G118" s="311"/>
      <c r="H118" s="32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row>
    <row r="119" spans="2:37" x14ac:dyDescent="0.35">
      <c r="C119" s="149" t="s">
        <v>228</v>
      </c>
      <c r="D119" s="240" t="s">
        <v>229</v>
      </c>
      <c r="E119" s="250"/>
      <c r="F119" s="250"/>
      <c r="G119" s="311"/>
      <c r="H119" s="32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row>
    <row r="120" spans="2:37" x14ac:dyDescent="0.35">
      <c r="B120" s="81" t="s">
        <v>5</v>
      </c>
      <c r="C120" s="149" t="s">
        <v>230</v>
      </c>
      <c r="D120" s="240" t="s">
        <v>231</v>
      </c>
      <c r="E120" s="250"/>
      <c r="F120" s="250"/>
      <c r="G120" s="311"/>
      <c r="H120" s="32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row>
    <row r="121" spans="2:37" x14ac:dyDescent="0.35">
      <c r="C121" s="149" t="s">
        <v>232</v>
      </c>
      <c r="D121" s="241" t="s">
        <v>233</v>
      </c>
      <c r="E121" s="325"/>
      <c r="F121" s="325"/>
      <c r="G121" s="326"/>
      <c r="H121" s="341">
        <f>IFERROR(H118/(H119-H120),0)</f>
        <v>0</v>
      </c>
      <c r="I121" s="389" t="str">
        <f>IF(AND(H118&lt;&gt;0,OR(H121&gt;=Parameters!H376,H121&lt;=Parameters!I376)),"Warning: check figures","")</f>
        <v/>
      </c>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row>
    <row r="122" spans="2:37" x14ac:dyDescent="0.35">
      <c r="C122" s="149" t="s">
        <v>234</v>
      </c>
      <c r="D122" s="241" t="s">
        <v>235</v>
      </c>
      <c r="E122" s="325"/>
      <c r="F122" s="325"/>
      <c r="G122" s="326"/>
      <c r="H122" s="341">
        <f>IFERROR(H120/H119,0)</f>
        <v>0</v>
      </c>
      <c r="I122" s="389" t="str">
        <f>IF(H122&gt;=Parameters!H377,"Warning: check figures","")</f>
        <v/>
      </c>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row>
    <row r="123" spans="2:37" x14ac:dyDescent="0.35">
      <c r="C123" s="149" t="s">
        <v>236</v>
      </c>
      <c r="D123" s="241" t="s">
        <v>237</v>
      </c>
      <c r="E123" s="325"/>
      <c r="F123" s="325"/>
      <c r="G123" s="326"/>
      <c r="H123" s="340">
        <f>IFERROR(H122*'I&amp;E'!G105*1000,0)</f>
        <v>0</v>
      </c>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row>
    <row r="124" spans="2:37" x14ac:dyDescent="0.35">
      <c r="C124" s="149"/>
      <c r="D124" s="323"/>
      <c r="E124" s="323"/>
      <c r="F124" s="323"/>
      <c r="G124" s="323"/>
      <c r="H124" s="372"/>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row>
    <row r="125" spans="2:37" x14ac:dyDescent="0.35">
      <c r="B125" s="81"/>
      <c r="C125" s="149"/>
      <c r="D125" s="327" t="s">
        <v>238</v>
      </c>
      <c r="E125" s="323"/>
      <c r="F125" s="323"/>
      <c r="G125" s="323"/>
      <c r="H125" s="372"/>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row>
    <row r="126" spans="2:37" x14ac:dyDescent="0.35">
      <c r="B126" s="81" t="s">
        <v>5</v>
      </c>
      <c r="C126" s="149" t="s">
        <v>239</v>
      </c>
      <c r="D126" s="305" t="s">
        <v>240</v>
      </c>
      <c r="E126" s="466" t="s">
        <v>241</v>
      </c>
      <c r="F126" s="466"/>
      <c r="G126" s="467"/>
      <c r="H126" s="390"/>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row>
    <row r="127" spans="2:37" x14ac:dyDescent="0.35">
      <c r="C127" s="149" t="s">
        <v>242</v>
      </c>
      <c r="D127" s="305" t="s">
        <v>240</v>
      </c>
      <c r="E127" s="466" t="s">
        <v>243</v>
      </c>
      <c r="F127" s="466"/>
      <c r="G127" s="467"/>
      <c r="H127" s="390"/>
      <c r="I127" s="14"/>
      <c r="J127" s="14"/>
      <c r="K127" s="14"/>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row>
    <row r="128" spans="2:37" x14ac:dyDescent="0.35">
      <c r="C128" s="149" t="s">
        <v>244</v>
      </c>
      <c r="D128" s="305" t="s">
        <v>240</v>
      </c>
      <c r="E128" s="466" t="s">
        <v>245</v>
      </c>
      <c r="F128" s="466"/>
      <c r="G128" s="467"/>
      <c r="H128" s="390"/>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row>
    <row r="129" spans="2:37" x14ac:dyDescent="0.35">
      <c r="C129" s="149" t="s">
        <v>246</v>
      </c>
      <c r="D129" s="305" t="s">
        <v>240</v>
      </c>
      <c r="E129" s="466" t="s">
        <v>247</v>
      </c>
      <c r="F129" s="466"/>
      <c r="G129" s="467"/>
      <c r="H129" s="390"/>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row>
    <row r="130" spans="2:37" x14ac:dyDescent="0.35">
      <c r="C130" s="149" t="s">
        <v>248</v>
      </c>
      <c r="D130" s="305" t="s">
        <v>240</v>
      </c>
      <c r="E130" s="466" t="s">
        <v>249</v>
      </c>
      <c r="F130" s="466"/>
      <c r="G130" s="467"/>
      <c r="H130" s="390"/>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row>
    <row r="131" spans="2:37" x14ac:dyDescent="0.35">
      <c r="C131" s="149"/>
      <c r="D131" s="323"/>
      <c r="E131" s="323"/>
      <c r="F131" s="323"/>
      <c r="G131" s="323"/>
      <c r="H131" s="372"/>
      <c r="I131" s="14"/>
      <c r="J131" s="14"/>
      <c r="K131" s="14"/>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row>
    <row r="132" spans="2:37" x14ac:dyDescent="0.35">
      <c r="B132" s="81"/>
      <c r="C132" s="149"/>
      <c r="D132" s="244" t="s">
        <v>250</v>
      </c>
      <c r="E132" s="323"/>
      <c r="F132" s="323"/>
      <c r="G132" s="323"/>
      <c r="H132" s="372"/>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row>
    <row r="133" spans="2:37" x14ac:dyDescent="0.35">
      <c r="B133" s="81" t="s">
        <v>5</v>
      </c>
      <c r="C133" s="149" t="s">
        <v>251</v>
      </c>
      <c r="D133" s="240" t="s">
        <v>252</v>
      </c>
      <c r="E133" s="310"/>
      <c r="F133" s="328"/>
      <c r="G133" s="250" t="s">
        <v>253</v>
      </c>
      <c r="H133" s="324"/>
      <c r="I133" s="14"/>
      <c r="J133" s="14"/>
      <c r="K133" s="14"/>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row>
    <row r="134" spans="2:37" x14ac:dyDescent="0.35">
      <c r="C134" s="149" t="s">
        <v>254</v>
      </c>
      <c r="D134" s="240" t="s">
        <v>252</v>
      </c>
      <c r="E134" s="310"/>
      <c r="F134" s="310"/>
      <c r="G134" s="250" t="s">
        <v>255</v>
      </c>
      <c r="H134" s="324"/>
      <c r="I134" s="14"/>
      <c r="J134" s="14"/>
      <c r="K134" s="14"/>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row>
    <row r="135" spans="2:37" x14ac:dyDescent="0.35">
      <c r="C135" s="149" t="s">
        <v>256</v>
      </c>
      <c r="D135" s="240" t="s">
        <v>252</v>
      </c>
      <c r="E135" s="310"/>
      <c r="G135" s="250" t="s">
        <v>257</v>
      </c>
      <c r="H135" s="32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row>
    <row r="136" spans="2:37" x14ac:dyDescent="0.35">
      <c r="C136" s="149" t="s">
        <v>258</v>
      </c>
      <c r="D136" s="240" t="s">
        <v>252</v>
      </c>
      <c r="E136" s="310"/>
      <c r="F136" s="310"/>
      <c r="G136" s="250" t="s">
        <v>259</v>
      </c>
      <c r="H136" s="32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row>
    <row r="137" spans="2:37" x14ac:dyDescent="0.35">
      <c r="C137" s="149"/>
      <c r="D137" s="254"/>
      <c r="F137" s="254"/>
      <c r="G137" s="323"/>
      <c r="H137" s="373"/>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row>
    <row r="138" spans="2:37" x14ac:dyDescent="0.35">
      <c r="C138" s="149" t="s">
        <v>260</v>
      </c>
      <c r="D138" s="240" t="s">
        <v>261</v>
      </c>
      <c r="E138" s="250"/>
      <c r="F138" s="250"/>
      <c r="G138" s="311"/>
      <c r="H138" s="324"/>
      <c r="I138" s="14"/>
      <c r="J138" s="14"/>
      <c r="K138" s="14"/>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row>
    <row r="139" spans="2:37" x14ac:dyDescent="0.35">
      <c r="C139" s="149" t="s">
        <v>262</v>
      </c>
      <c r="D139" s="240" t="s">
        <v>263</v>
      </c>
      <c r="E139" s="250"/>
      <c r="F139" s="250"/>
      <c r="G139" s="311"/>
      <c r="H139" s="32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row>
    <row r="140" spans="2:37" x14ac:dyDescent="0.35">
      <c r="C140" s="149" t="s">
        <v>264</v>
      </c>
      <c r="D140" s="241" t="s">
        <v>265</v>
      </c>
      <c r="E140" s="325"/>
      <c r="F140" s="325"/>
      <c r="G140" s="326"/>
      <c r="H140" s="341">
        <f>IFERROR(1-(H139/H138),0)</f>
        <v>0</v>
      </c>
      <c r="I140" s="389" t="str">
        <f>IF(H140&lt;0,"Warning: Check figures","")</f>
        <v/>
      </c>
      <c r="J140" s="14"/>
      <c r="K140" s="14"/>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row>
    <row r="141" spans="2:37" x14ac:dyDescent="0.35">
      <c r="C141" s="149"/>
      <c r="D141" s="323"/>
      <c r="E141" s="323"/>
      <c r="F141" s="323"/>
      <c r="G141" s="323"/>
      <c r="H141" s="372"/>
      <c r="I141" s="14"/>
      <c r="J141" s="14"/>
      <c r="K141" s="14"/>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row>
    <row r="142" spans="2:37" x14ac:dyDescent="0.35">
      <c r="C142" s="149" t="s">
        <v>266</v>
      </c>
      <c r="D142" s="240" t="s">
        <v>267</v>
      </c>
      <c r="E142" s="250"/>
      <c r="F142" s="250"/>
      <c r="G142" s="311"/>
      <c r="H142" s="324"/>
      <c r="I142" s="14"/>
      <c r="J142" s="14"/>
      <c r="K142" s="14"/>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row>
    <row r="143" spans="2:37" x14ac:dyDescent="0.35">
      <c r="C143" s="149" t="s">
        <v>268</v>
      </c>
      <c r="D143" s="240" t="s">
        <v>269</v>
      </c>
      <c r="E143" s="250"/>
      <c r="F143" s="250"/>
      <c r="G143" s="311"/>
      <c r="H143" s="324"/>
      <c r="I143" s="14"/>
      <c r="J143" s="14"/>
      <c r="K143" s="14"/>
      <c r="L143" s="14"/>
      <c r="M143" s="14"/>
      <c r="N143" s="14"/>
      <c r="O143" s="14"/>
      <c r="P143" s="14"/>
      <c r="Q143" s="14"/>
      <c r="R143" s="14"/>
      <c r="S143" s="14"/>
      <c r="T143" s="14"/>
      <c r="U143" s="14"/>
      <c r="V143" s="14"/>
      <c r="W143" s="14"/>
      <c r="X143" s="14"/>
      <c r="Y143" s="14"/>
      <c r="Z143" s="14"/>
      <c r="AA143" s="14"/>
      <c r="AB143" s="14"/>
      <c r="AC143" s="14"/>
      <c r="AD143" s="14"/>
      <c r="AE143" s="14"/>
      <c r="AF143" s="14"/>
      <c r="AG143" s="14"/>
      <c r="AH143" s="14"/>
      <c r="AI143" s="14"/>
      <c r="AJ143" s="14"/>
      <c r="AK143" s="14"/>
    </row>
    <row r="144" spans="2:37" x14ac:dyDescent="0.35">
      <c r="C144" s="149" t="s">
        <v>270</v>
      </c>
      <c r="D144" s="241" t="s">
        <v>271</v>
      </c>
      <c r="E144" s="325"/>
      <c r="F144" s="325"/>
      <c r="G144" s="326"/>
      <c r="H144" s="342">
        <f>IFERROR(H143/H142,)</f>
        <v>0</v>
      </c>
      <c r="I144" s="14"/>
      <c r="J144" s="14"/>
      <c r="K144" s="14"/>
      <c r="L144" s="14"/>
      <c r="M144" s="14"/>
      <c r="N144" s="14"/>
      <c r="O144" s="14"/>
      <c r="P144" s="14"/>
      <c r="Q144" s="14"/>
      <c r="R144" s="14"/>
      <c r="S144" s="14"/>
      <c r="T144" s="14"/>
      <c r="U144" s="14"/>
      <c r="V144" s="14"/>
      <c r="W144" s="14"/>
      <c r="X144" s="14"/>
      <c r="Y144" s="14"/>
      <c r="Z144" s="14"/>
      <c r="AA144" s="14"/>
      <c r="AB144" s="14"/>
      <c r="AC144" s="14"/>
      <c r="AD144" s="14"/>
      <c r="AE144" s="14"/>
      <c r="AF144" s="14"/>
      <c r="AG144" s="14"/>
      <c r="AH144" s="14"/>
      <c r="AI144" s="14"/>
      <c r="AJ144" s="14"/>
      <c r="AK144" s="14"/>
    </row>
    <row r="145" spans="3:37" x14ac:dyDescent="0.35">
      <c r="C145" s="149"/>
      <c r="D145" s="244"/>
      <c r="E145" s="244"/>
      <c r="F145" s="244"/>
      <c r="G145" s="36"/>
      <c r="H145" s="343"/>
      <c r="I145" s="14"/>
      <c r="J145" s="14"/>
      <c r="K145" s="14"/>
      <c r="L145" s="14"/>
      <c r="M145" s="14"/>
      <c r="N145" s="14"/>
      <c r="O145" s="14"/>
      <c r="P145" s="14"/>
      <c r="Q145" s="14"/>
      <c r="R145" s="14"/>
      <c r="S145" s="14"/>
      <c r="T145" s="14"/>
      <c r="U145" s="14"/>
      <c r="V145" s="14"/>
      <c r="W145" s="14"/>
      <c r="X145" s="14"/>
      <c r="Y145" s="14"/>
      <c r="Z145" s="14"/>
      <c r="AA145" s="14"/>
      <c r="AB145" s="14"/>
      <c r="AC145" s="14"/>
      <c r="AD145" s="14"/>
      <c r="AE145" s="14"/>
      <c r="AF145" s="14"/>
      <c r="AG145" s="14"/>
      <c r="AH145" s="14"/>
      <c r="AI145" s="14"/>
      <c r="AJ145" s="14"/>
      <c r="AK145" s="14"/>
    </row>
    <row r="146" spans="3:37" x14ac:dyDescent="0.35">
      <c r="C146" s="149" t="s">
        <v>272</v>
      </c>
      <c r="D146" s="241" t="s">
        <v>273</v>
      </c>
      <c r="E146" s="325"/>
      <c r="F146" s="325"/>
      <c r="G146" s="326"/>
      <c r="H146" s="342">
        <f>IFERROR(('I&amp;E'!G12+'I&amp;E'!G22+'I&amp;E'!G28+'I&amp;E'!G37+'I&amp;E'!G45+'I&amp;E'!G52+'I&amp;E'!G59-('I&amp;E'!G13+'I&amp;E'!G23+'I&amp;E'!G29+'I&amp;E'!G38+'I&amp;E'!G46+'I&amp;E'!G53+'I&amp;E'!G60)+('I&amp;E'!G74-'I&amp;E'!G69)),0)</f>
        <v>0</v>
      </c>
      <c r="I146" s="14"/>
      <c r="J146" s="14"/>
      <c r="K146" s="14"/>
      <c r="L146" s="14"/>
      <c r="M146" s="14"/>
      <c r="N146" s="14"/>
      <c r="O146" s="14"/>
      <c r="P146" s="14"/>
      <c r="Q146" s="14"/>
      <c r="R146" s="14"/>
      <c r="S146" s="14"/>
      <c r="T146" s="14"/>
      <c r="U146" s="14"/>
      <c r="V146" s="14"/>
      <c r="W146" s="14"/>
      <c r="X146" s="14"/>
      <c r="Y146" s="14"/>
      <c r="Z146" s="14"/>
      <c r="AA146" s="14"/>
      <c r="AB146" s="14"/>
      <c r="AC146" s="14"/>
      <c r="AD146" s="14"/>
      <c r="AE146" s="14"/>
      <c r="AF146" s="14"/>
      <c r="AG146" s="14"/>
      <c r="AH146" s="14"/>
      <c r="AI146" s="14"/>
      <c r="AJ146" s="14"/>
      <c r="AK146" s="14"/>
    </row>
    <row r="147" spans="3:37" x14ac:dyDescent="0.35">
      <c r="C147" s="149" t="s">
        <v>274</v>
      </c>
      <c r="D147" s="241" t="s">
        <v>275</v>
      </c>
      <c r="E147" s="325"/>
      <c r="F147" s="325"/>
      <c r="G147" s="326"/>
      <c r="H147" s="342">
        <f>IFERROR(('I&amp;E'!G105+'I&amp;E'!G106+'I&amp;E'!G107+('I&amp;E'!G111*(('I&amp;E'!G105+'I&amp;E'!G106+'I&amp;E'!G107)/('I&amp;E'!G105+'I&amp;E'!G106+'I&amp;E'!G107+'I&amp;E'!G108+'I&amp;E'!G109+'I&amp;E'!G110+'I&amp;E'!G112)))+'I&amp;E'!G117+'I&amp;E'!G118+'I&amp;E'!G121),0)</f>
        <v>0</v>
      </c>
      <c r="I147" s="14"/>
      <c r="J147" s="14"/>
      <c r="K147" s="14"/>
      <c r="L147" s="14"/>
      <c r="M147" s="14"/>
      <c r="N147" s="14"/>
      <c r="O147" s="14"/>
      <c r="P147" s="14"/>
      <c r="Q147" s="14"/>
      <c r="R147" s="14"/>
      <c r="S147" s="14"/>
      <c r="T147" s="14"/>
      <c r="U147" s="14"/>
      <c r="V147" s="14"/>
      <c r="W147" s="14"/>
      <c r="X147" s="14"/>
      <c r="Y147" s="14"/>
      <c r="Z147" s="14"/>
      <c r="AA147" s="14"/>
      <c r="AB147" s="14"/>
      <c r="AC147" s="14"/>
      <c r="AD147" s="14"/>
      <c r="AE147" s="14"/>
      <c r="AF147" s="14"/>
      <c r="AG147" s="14"/>
      <c r="AH147" s="14"/>
      <c r="AI147" s="14"/>
      <c r="AJ147" s="14"/>
      <c r="AK147" s="14"/>
    </row>
    <row r="148" spans="3:37" x14ac:dyDescent="0.35">
      <c r="C148" s="149" t="s">
        <v>276</v>
      </c>
      <c r="D148" s="241" t="s">
        <v>277</v>
      </c>
      <c r="E148" s="325"/>
      <c r="F148" s="325"/>
      <c r="G148" s="326"/>
      <c r="H148" s="342">
        <f>H146-H147</f>
        <v>0</v>
      </c>
      <c r="I148" s="14"/>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row>
    <row r="149" spans="3:37" x14ac:dyDescent="0.35">
      <c r="C149" s="149" t="s">
        <v>278</v>
      </c>
      <c r="D149" s="241" t="s">
        <v>279</v>
      </c>
      <c r="E149" s="325"/>
      <c r="F149" s="325"/>
      <c r="G149" s="326"/>
      <c r="H149" s="341">
        <f>IFERROR(H148/H146,0)</f>
        <v>0</v>
      </c>
      <c r="I149" s="14"/>
      <c r="J149" s="14"/>
      <c r="K149" s="14"/>
      <c r="L149" s="14"/>
      <c r="M149" s="14"/>
      <c r="N149" s="14"/>
      <c r="O149" s="14"/>
      <c r="P149" s="14"/>
      <c r="Q149" s="14"/>
      <c r="R149" s="14"/>
      <c r="S149" s="14"/>
      <c r="T149" s="14"/>
      <c r="U149" s="14"/>
      <c r="V149" s="14"/>
      <c r="W149" s="14"/>
      <c r="X149" s="14"/>
      <c r="Y149" s="14"/>
      <c r="Z149" s="14"/>
      <c r="AA149" s="14"/>
      <c r="AB149" s="14"/>
      <c r="AC149" s="14"/>
      <c r="AD149" s="14"/>
      <c r="AE149" s="14"/>
      <c r="AF149" s="14"/>
      <c r="AG149" s="14"/>
      <c r="AH149" s="14"/>
      <c r="AI149" s="14"/>
      <c r="AJ149" s="14"/>
      <c r="AK149" s="14"/>
    </row>
    <row r="150" spans="3:37" x14ac:dyDescent="0.35">
      <c r="C150" s="149"/>
      <c r="D150" s="244"/>
      <c r="E150" s="244"/>
      <c r="F150" s="244"/>
      <c r="G150" s="36"/>
      <c r="H150" s="344"/>
      <c r="I150" s="14"/>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row>
    <row r="151" spans="3:37" x14ac:dyDescent="0.35">
      <c r="C151" s="149" t="s">
        <v>280</v>
      </c>
      <c r="D151" s="241" t="s">
        <v>281</v>
      </c>
      <c r="E151" s="325"/>
      <c r="F151" s="325"/>
      <c r="G151" s="326"/>
      <c r="H151" s="341">
        <f>IFERROR(('I&amp;E'!G18+'I&amp;E'!G19)/Ratios!H8,0)</f>
        <v>0</v>
      </c>
      <c r="I151" s="14"/>
      <c r="J151" s="14"/>
      <c r="K151" s="14"/>
      <c r="L151" s="14"/>
      <c r="M151" s="14"/>
      <c r="N151" s="14"/>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row>
    <row r="152" spans="3:37" x14ac:dyDescent="0.35">
      <c r="C152" s="149" t="s">
        <v>282</v>
      </c>
      <c r="D152" s="241" t="s">
        <v>283</v>
      </c>
      <c r="E152" s="325"/>
      <c r="F152" s="325"/>
      <c r="G152" s="326"/>
      <c r="H152" s="341">
        <f>IFERROR(G30/G27,0)</f>
        <v>0</v>
      </c>
      <c r="I152" s="14"/>
      <c r="J152" s="14"/>
      <c r="K152" s="14"/>
      <c r="L152" s="14"/>
      <c r="M152" s="14"/>
      <c r="N152" s="14"/>
      <c r="O152" s="14"/>
      <c r="P152" s="14"/>
      <c r="Q152" s="14"/>
      <c r="R152" s="14"/>
      <c r="S152" s="14"/>
      <c r="T152" s="14"/>
      <c r="U152" s="14"/>
      <c r="V152" s="14"/>
      <c r="W152" s="14"/>
      <c r="X152" s="14"/>
      <c r="Y152" s="14"/>
      <c r="Z152" s="14"/>
      <c r="AA152" s="14"/>
      <c r="AB152" s="14"/>
      <c r="AC152" s="14"/>
      <c r="AD152" s="14"/>
      <c r="AE152" s="14"/>
      <c r="AF152" s="14"/>
      <c r="AG152" s="14"/>
      <c r="AH152" s="14"/>
      <c r="AI152" s="14"/>
      <c r="AJ152" s="14"/>
      <c r="AK152" s="14"/>
    </row>
    <row r="153" spans="3:37" x14ac:dyDescent="0.35">
      <c r="C153" s="149"/>
      <c r="D153" s="244"/>
      <c r="E153" s="244"/>
      <c r="F153" s="244"/>
      <c r="G153" s="36"/>
      <c r="H153" s="344"/>
      <c r="I153" s="14"/>
      <c r="J153" s="14"/>
      <c r="K153" s="14"/>
      <c r="L153" s="14"/>
      <c r="M153" s="14"/>
      <c r="N153" s="14"/>
      <c r="O153" s="14"/>
      <c r="P153" s="14"/>
      <c r="Q153" s="14"/>
      <c r="R153" s="14"/>
      <c r="S153" s="14"/>
      <c r="T153" s="14"/>
      <c r="U153" s="14"/>
      <c r="V153" s="14"/>
      <c r="W153" s="14"/>
      <c r="X153" s="14"/>
      <c r="Y153" s="14"/>
      <c r="Z153" s="14"/>
      <c r="AA153" s="14"/>
      <c r="AB153" s="14"/>
      <c r="AC153" s="14"/>
      <c r="AD153" s="14"/>
      <c r="AE153" s="14"/>
      <c r="AF153" s="14"/>
      <c r="AG153" s="14"/>
      <c r="AH153" s="14"/>
      <c r="AI153" s="14"/>
      <c r="AJ153" s="14"/>
      <c r="AK153" s="14"/>
    </row>
    <row r="154" spans="3:37" x14ac:dyDescent="0.35">
      <c r="C154" s="149" t="s">
        <v>284</v>
      </c>
      <c r="D154" s="241" t="s">
        <v>285</v>
      </c>
      <c r="E154" s="325"/>
      <c r="F154" s="325"/>
      <c r="G154" s="326"/>
      <c r="H154" s="345">
        <f>IFERROR('I&amp;E'!G108+'I&amp;E'!G109+'I&amp;E'!G110+'I&amp;E'!G112+('I&amp;E'!G111*(('I&amp;E'!G108+'I&amp;E'!G109+'I&amp;E'!G110+'I&amp;E'!G112)/('I&amp;E'!G105+'I&amp;E'!G106+'I&amp;E'!G107+'I&amp;E'!G108+'I&amp;E'!G109+'I&amp;E'!G110+'I&amp;E'!G112)))+'I&amp;E'!G119+'I&amp;E'!G120+'I&amp;E'!G122+'I&amp;E'!G123+'I&amp;E'!G126,0)</f>
        <v>0</v>
      </c>
      <c r="I154" s="1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row>
    <row r="155" spans="3:37" x14ac:dyDescent="0.35">
      <c r="C155" s="149" t="s">
        <v>286</v>
      </c>
      <c r="D155" s="241" t="s">
        <v>287</v>
      </c>
      <c r="E155" s="325"/>
      <c r="F155" s="325"/>
      <c r="G155" s="326"/>
      <c r="H155" s="341">
        <f>IFERROR(H154/(Ratios!H8-'CFFR SOCI'!G22),0)</f>
        <v>0</v>
      </c>
      <c r="I155" s="14"/>
      <c r="J155" s="14"/>
      <c r="K155" s="14"/>
      <c r="L155" s="14"/>
      <c r="M155" s="14"/>
      <c r="N155" s="14"/>
      <c r="O155" s="14"/>
      <c r="P155" s="14"/>
      <c r="Q155" s="14"/>
      <c r="R155" s="14"/>
      <c r="S155" s="14"/>
      <c r="T155" s="14"/>
      <c r="U155" s="14"/>
      <c r="V155" s="14"/>
      <c r="W155" s="14"/>
      <c r="X155" s="14"/>
      <c r="Y155" s="14"/>
      <c r="Z155" s="14"/>
      <c r="AA155" s="14"/>
      <c r="AB155" s="14"/>
      <c r="AC155" s="14"/>
      <c r="AD155" s="14"/>
      <c r="AE155" s="14"/>
      <c r="AF155" s="14"/>
      <c r="AG155" s="14"/>
      <c r="AH155" s="14"/>
      <c r="AI155" s="14"/>
      <c r="AJ155" s="14"/>
      <c r="AK155" s="14"/>
    </row>
    <row r="156" spans="3:37" ht="14.25" customHeight="1" x14ac:dyDescent="0.35">
      <c r="C156" s="149"/>
      <c r="D156" s="32"/>
      <c r="E156" s="32"/>
      <c r="F156" s="32"/>
      <c r="G156" s="32"/>
      <c r="H156" s="180"/>
      <c r="I156" s="14"/>
      <c r="J156" s="14"/>
      <c r="K156" s="14"/>
      <c r="L156" s="14"/>
      <c r="M156" s="14"/>
      <c r="N156" s="14"/>
      <c r="O156" s="14"/>
      <c r="P156" s="14"/>
      <c r="Q156" s="14"/>
      <c r="R156" s="14"/>
      <c r="S156" s="14"/>
      <c r="T156" s="14"/>
      <c r="U156" s="14"/>
      <c r="V156" s="14"/>
      <c r="W156" s="14"/>
      <c r="X156" s="14"/>
      <c r="Y156" s="14"/>
      <c r="Z156" s="14"/>
      <c r="AA156" s="14"/>
      <c r="AB156" s="14"/>
      <c r="AC156" s="14"/>
      <c r="AD156" s="14"/>
      <c r="AE156" s="14"/>
      <c r="AF156" s="14"/>
      <c r="AG156" s="14"/>
      <c r="AH156" s="14"/>
      <c r="AI156" s="14"/>
      <c r="AJ156" s="14"/>
      <c r="AK156" s="14"/>
    </row>
    <row r="157" spans="3:37" x14ac:dyDescent="0.35">
      <c r="C157" s="153"/>
      <c r="D157" s="14"/>
      <c r="E157" s="14"/>
      <c r="F157" s="14"/>
      <c r="G157" s="14"/>
      <c r="H157" s="14"/>
      <c r="I157" s="14"/>
      <c r="J157" s="14"/>
      <c r="K157" s="14"/>
      <c r="L157" s="14"/>
      <c r="M157" s="14"/>
      <c r="N157" s="14"/>
      <c r="O157" s="14"/>
      <c r="P157" s="14"/>
      <c r="Q157" s="14"/>
      <c r="R157" s="14"/>
      <c r="S157" s="14"/>
      <c r="T157" s="14"/>
      <c r="U157" s="14"/>
      <c r="V157" s="14"/>
      <c r="W157" s="14"/>
      <c r="X157" s="14"/>
      <c r="Y157" s="14"/>
      <c r="Z157" s="14"/>
      <c r="AA157" s="14"/>
      <c r="AB157" s="14"/>
      <c r="AC157" s="14"/>
      <c r="AD157" s="14"/>
      <c r="AE157" s="14"/>
      <c r="AF157" s="14"/>
      <c r="AG157" s="14"/>
      <c r="AH157" s="14"/>
      <c r="AI157" s="14"/>
      <c r="AJ157" s="14"/>
      <c r="AK157" s="14"/>
    </row>
    <row r="158" spans="3:37" ht="32.9" customHeight="1" x14ac:dyDescent="0.35">
      <c r="C158" s="153"/>
      <c r="D158" s="464"/>
      <c r="E158" s="464"/>
      <c r="F158" s="464"/>
      <c r="G158" s="464"/>
      <c r="H158" s="464"/>
      <c r="I158" s="14"/>
      <c r="J158" s="14"/>
      <c r="K158" s="14"/>
      <c r="L158" s="14"/>
      <c r="M158" s="14"/>
      <c r="N158" s="14"/>
      <c r="O158" s="14"/>
      <c r="P158" s="14"/>
      <c r="Q158" s="14"/>
      <c r="R158" s="14"/>
      <c r="S158" s="14"/>
      <c r="T158" s="14"/>
      <c r="U158" s="14"/>
      <c r="V158" s="14"/>
      <c r="W158" s="14"/>
      <c r="X158" s="14"/>
      <c r="Y158" s="14"/>
      <c r="Z158" s="14"/>
      <c r="AA158" s="14"/>
      <c r="AB158" s="14"/>
      <c r="AC158" s="14"/>
      <c r="AD158" s="14"/>
      <c r="AE158" s="14"/>
      <c r="AF158" s="14"/>
      <c r="AG158" s="14"/>
      <c r="AH158" s="14"/>
      <c r="AI158" s="14"/>
      <c r="AJ158" s="14"/>
      <c r="AK158" s="14"/>
    </row>
    <row r="159" spans="3:37" x14ac:dyDescent="0.35">
      <c r="C159" s="32"/>
      <c r="I159" s="14"/>
      <c r="J159" s="14"/>
      <c r="K159" s="14"/>
      <c r="L159" s="14"/>
      <c r="M159" s="14"/>
      <c r="N159" s="14"/>
      <c r="O159" s="14"/>
      <c r="P159" s="14"/>
      <c r="Q159" s="14"/>
      <c r="R159" s="14"/>
      <c r="S159" s="14"/>
      <c r="T159" s="14"/>
      <c r="U159" s="14"/>
      <c r="V159" s="14"/>
      <c r="W159" s="14"/>
      <c r="X159" s="14"/>
      <c r="Y159" s="14"/>
      <c r="Z159" s="14"/>
      <c r="AA159" s="14"/>
      <c r="AB159" s="14"/>
      <c r="AC159" s="14"/>
      <c r="AD159" s="14"/>
      <c r="AE159" s="14"/>
      <c r="AF159" s="14"/>
      <c r="AG159" s="14"/>
      <c r="AH159" s="14"/>
      <c r="AI159" s="14"/>
      <c r="AJ159" s="14"/>
      <c r="AK159" s="14"/>
    </row>
    <row r="160" spans="3:37" x14ac:dyDescent="0.35">
      <c r="C160" s="32"/>
      <c r="I160" s="14"/>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row>
    <row r="161" spans="3:37" ht="14.25" customHeight="1" x14ac:dyDescent="0.35">
      <c r="I161" s="14"/>
      <c r="J161" s="14"/>
      <c r="K161" s="14"/>
      <c r="L161" s="14"/>
      <c r="M161" s="14"/>
      <c r="N161" s="14"/>
      <c r="O161" s="14"/>
      <c r="P161" s="14"/>
      <c r="Q161" s="14"/>
      <c r="R161" s="14"/>
      <c r="S161" s="14"/>
      <c r="T161" s="14"/>
      <c r="U161" s="14"/>
      <c r="V161" s="14"/>
      <c r="W161" s="14"/>
      <c r="X161" s="14"/>
      <c r="Y161" s="14"/>
      <c r="Z161" s="14"/>
      <c r="AA161" s="14"/>
      <c r="AB161" s="14"/>
      <c r="AC161" s="14"/>
      <c r="AD161" s="14"/>
      <c r="AE161" s="14"/>
    </row>
    <row r="162" spans="3:37" x14ac:dyDescent="0.35">
      <c r="I162" s="14"/>
      <c r="J162" s="14"/>
      <c r="K162" s="14"/>
      <c r="L162" s="14"/>
      <c r="M162" s="14"/>
      <c r="N162" s="14"/>
      <c r="O162" s="14"/>
      <c r="P162" s="14"/>
      <c r="Q162" s="14"/>
      <c r="R162" s="14"/>
      <c r="S162" s="14"/>
      <c r="T162" s="14"/>
      <c r="U162" s="14"/>
      <c r="V162" s="14"/>
      <c r="W162" s="14"/>
      <c r="X162" s="14"/>
      <c r="Y162" s="14"/>
      <c r="Z162" s="14"/>
      <c r="AA162" s="14"/>
      <c r="AB162" s="14"/>
      <c r="AC162" s="14"/>
      <c r="AD162" s="14"/>
      <c r="AE162" s="14"/>
    </row>
    <row r="163" spans="3:37" x14ac:dyDescent="0.35">
      <c r="D163" s="14"/>
      <c r="E163" s="14"/>
      <c r="F163" s="14"/>
      <c r="G163" s="14"/>
      <c r="H163" s="14"/>
      <c r="I163" s="14"/>
      <c r="J163" s="14"/>
      <c r="K163" s="14"/>
      <c r="L163" s="14"/>
      <c r="M163" s="14"/>
      <c r="N163" s="14"/>
      <c r="O163" s="14"/>
      <c r="P163" s="14"/>
      <c r="Q163" s="14"/>
      <c r="R163" s="14"/>
      <c r="S163" s="14"/>
      <c r="T163" s="14"/>
      <c r="U163" s="14"/>
      <c r="V163" s="14"/>
      <c r="W163" s="14"/>
      <c r="X163" s="14"/>
      <c r="Y163" s="14"/>
      <c r="Z163" s="14"/>
      <c r="AA163" s="14"/>
      <c r="AB163" s="14"/>
      <c r="AC163" s="14"/>
      <c r="AD163" s="14"/>
      <c r="AE163" s="14"/>
    </row>
    <row r="164" spans="3:37" x14ac:dyDescent="0.35">
      <c r="D164" s="14"/>
      <c r="E164" s="14"/>
      <c r="F164" s="14"/>
      <c r="G164" s="14"/>
      <c r="H164" s="14"/>
      <c r="I164" s="14"/>
      <c r="J164" s="14"/>
      <c r="K164" s="14"/>
      <c r="L164" s="14"/>
      <c r="M164" s="14"/>
      <c r="N164" s="14"/>
      <c r="O164" s="14"/>
      <c r="P164" s="14"/>
      <c r="Q164" s="14"/>
      <c r="R164" s="14"/>
      <c r="S164" s="14"/>
      <c r="T164" s="14"/>
      <c r="U164" s="14"/>
      <c r="V164" s="14"/>
      <c r="W164" s="14"/>
      <c r="X164" s="14"/>
      <c r="Y164" s="14"/>
      <c r="Z164" s="14"/>
      <c r="AA164" s="14"/>
      <c r="AB164" s="14"/>
      <c r="AC164" s="14"/>
      <c r="AD164" s="14"/>
      <c r="AE164" s="14"/>
    </row>
    <row r="165" spans="3:37" x14ac:dyDescent="0.35">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row>
    <row r="166" spans="3:37" x14ac:dyDescent="0.35">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row>
    <row r="167" spans="3:37" x14ac:dyDescent="0.35">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row>
    <row r="168" spans="3:37" x14ac:dyDescent="0.35">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row>
    <row r="169" spans="3:37" x14ac:dyDescent="0.35">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row>
    <row r="170" spans="3:37" x14ac:dyDescent="0.35">
      <c r="C170" s="32"/>
      <c r="D170" s="29"/>
      <c r="E170" s="29"/>
      <c r="F170" s="29"/>
      <c r="G170" s="29"/>
      <c r="H170" s="29"/>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G170" s="14"/>
      <c r="AH170" s="14"/>
      <c r="AI170" s="14"/>
      <c r="AJ170" s="14"/>
      <c r="AK170" s="14"/>
    </row>
    <row r="171" spans="3:37" x14ac:dyDescent="0.35">
      <c r="C171" s="33"/>
      <c r="D171" s="32"/>
      <c r="E171" s="32"/>
      <c r="F171" s="32"/>
      <c r="G171" s="32"/>
      <c r="H171" s="34"/>
      <c r="I171" s="14"/>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row>
    <row r="172" spans="3:37" x14ac:dyDescent="0.35">
      <c r="D172" s="14"/>
      <c r="E172" s="14"/>
      <c r="F172" s="14"/>
      <c r="G172" s="14"/>
      <c r="H172" s="14"/>
      <c r="I172" s="14"/>
      <c r="J172" s="14"/>
      <c r="K172" s="14"/>
      <c r="L172" s="14"/>
      <c r="M172" s="14"/>
      <c r="N172" s="14"/>
      <c r="O172" s="14"/>
      <c r="P172" s="14"/>
      <c r="Q172" s="14"/>
      <c r="R172" s="14"/>
      <c r="S172" s="14"/>
      <c r="T172" s="14"/>
      <c r="U172" s="14"/>
      <c r="V172" s="14"/>
      <c r="W172" s="14"/>
      <c r="X172" s="14"/>
      <c r="Y172" s="14"/>
      <c r="Z172" s="14"/>
      <c r="AA172" s="14"/>
      <c r="AB172" s="14"/>
      <c r="AC172" s="14"/>
      <c r="AD172" s="14"/>
      <c r="AE172" s="14"/>
      <c r="AF172" s="14"/>
      <c r="AG172" s="14"/>
      <c r="AH172" s="14"/>
      <c r="AI172" s="14"/>
      <c r="AJ172" s="14"/>
      <c r="AK172" s="14"/>
    </row>
    <row r="173" spans="3:37" x14ac:dyDescent="0.35">
      <c r="D173" s="14"/>
      <c r="E173" s="14"/>
      <c r="F173" s="14"/>
      <c r="G173" s="14"/>
      <c r="H173" s="14"/>
      <c r="I173" s="14"/>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row>
    <row r="174" spans="3:37" x14ac:dyDescent="0.35">
      <c r="D174" s="14"/>
      <c r="E174" s="14"/>
      <c r="F174" s="14"/>
      <c r="G174" s="14"/>
      <c r="H174" s="14"/>
      <c r="I174" s="14"/>
      <c r="J174" s="14"/>
      <c r="K174" s="14"/>
      <c r="L174" s="14"/>
      <c r="M174" s="14"/>
      <c r="N174" s="14"/>
      <c r="O174" s="14"/>
      <c r="P174" s="14"/>
      <c r="Q174" s="14"/>
      <c r="R174" s="14"/>
      <c r="S174" s="14"/>
      <c r="T174" s="14"/>
      <c r="U174" s="14"/>
      <c r="V174" s="14"/>
      <c r="W174" s="14"/>
      <c r="X174" s="14"/>
      <c r="Y174" s="14"/>
      <c r="Z174" s="14"/>
      <c r="AA174" s="14"/>
      <c r="AB174" s="14"/>
      <c r="AC174" s="14"/>
      <c r="AD174" s="14"/>
      <c r="AE174" s="14"/>
      <c r="AF174" s="14"/>
      <c r="AG174" s="14"/>
      <c r="AH174" s="14"/>
      <c r="AI174" s="14"/>
      <c r="AJ174" s="14"/>
      <c r="AK174" s="14"/>
    </row>
    <row r="175" spans="3:37" x14ac:dyDescent="0.35">
      <c r="D175" s="14"/>
      <c r="E175" s="14"/>
      <c r="F175" s="14"/>
      <c r="G175" s="14"/>
      <c r="H175" s="14"/>
      <c r="I175" s="14"/>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row>
    <row r="176" spans="3:37" x14ac:dyDescent="0.35">
      <c r="D176" s="14"/>
      <c r="E176" s="14"/>
      <c r="F176" s="14"/>
      <c r="G176" s="14"/>
      <c r="H176" s="14"/>
      <c r="I176" s="14"/>
      <c r="J176" s="14"/>
      <c r="K176" s="14"/>
      <c r="L176" s="14"/>
      <c r="M176" s="14"/>
      <c r="N176" s="14"/>
      <c r="O176" s="14"/>
      <c r="P176" s="14"/>
      <c r="Q176" s="14"/>
      <c r="R176" s="14"/>
      <c r="S176" s="14"/>
      <c r="T176" s="14"/>
      <c r="U176" s="14"/>
      <c r="V176" s="14"/>
      <c r="W176" s="14"/>
      <c r="X176" s="14"/>
      <c r="Y176" s="14"/>
      <c r="Z176" s="14"/>
      <c r="AA176" s="14"/>
      <c r="AB176" s="14"/>
      <c r="AC176" s="14"/>
      <c r="AD176" s="14"/>
      <c r="AE176" s="14"/>
      <c r="AF176" s="14"/>
      <c r="AG176" s="14"/>
      <c r="AH176" s="14"/>
      <c r="AI176" s="14"/>
      <c r="AJ176" s="14"/>
      <c r="AK176" s="14"/>
    </row>
    <row r="177" spans="4:37" x14ac:dyDescent="0.35">
      <c r="D177" s="14"/>
      <c r="E177" s="14"/>
      <c r="F177" s="14"/>
      <c r="G177" s="14"/>
      <c r="H177" s="14"/>
      <c r="I177" s="14"/>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row>
    <row r="178" spans="4:37" x14ac:dyDescent="0.35">
      <c r="D178" s="14"/>
      <c r="E178" s="14"/>
      <c r="F178" s="14"/>
      <c r="G178" s="14"/>
      <c r="H178" s="14"/>
      <c r="I178" s="14"/>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row>
    <row r="179" spans="4:37" x14ac:dyDescent="0.35">
      <c r="D179" s="14"/>
      <c r="E179" s="14"/>
      <c r="F179" s="14"/>
      <c r="G179" s="14"/>
      <c r="H179" s="14"/>
      <c r="I179" s="14"/>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row>
    <row r="180" spans="4:37" x14ac:dyDescent="0.35">
      <c r="D180" s="14"/>
      <c r="E180" s="14"/>
      <c r="F180" s="14"/>
      <c r="G180" s="14"/>
      <c r="H180" s="14"/>
      <c r="I180" s="14"/>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row>
    <row r="181" spans="4:37" x14ac:dyDescent="0.35">
      <c r="D181" s="14"/>
      <c r="E181" s="14"/>
      <c r="F181" s="14"/>
      <c r="G181" s="14"/>
      <c r="H181" s="14"/>
      <c r="I181" s="14"/>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row>
    <row r="182" spans="4:37" x14ac:dyDescent="0.35">
      <c r="D182" s="14"/>
      <c r="E182" s="14"/>
      <c r="F182" s="14"/>
      <c r="G182" s="14"/>
      <c r="H182" s="14"/>
      <c r="I182" s="14"/>
      <c r="J182" s="14"/>
      <c r="K182" s="14"/>
      <c r="L182" s="14"/>
      <c r="M182" s="14"/>
      <c r="N182" s="14"/>
      <c r="O182" s="14"/>
      <c r="P182" s="14"/>
      <c r="Q182" s="14"/>
      <c r="R182" s="14"/>
      <c r="S182" s="14"/>
      <c r="T182" s="14"/>
      <c r="U182" s="14"/>
      <c r="V182" s="14"/>
      <c r="W182" s="14"/>
      <c r="X182" s="14"/>
      <c r="Y182" s="14"/>
      <c r="Z182" s="14"/>
      <c r="AA182" s="14"/>
      <c r="AB182" s="14"/>
      <c r="AC182" s="14"/>
      <c r="AD182" s="14"/>
      <c r="AE182" s="14"/>
      <c r="AF182" s="14"/>
      <c r="AG182" s="14"/>
      <c r="AH182" s="14"/>
      <c r="AI182" s="14"/>
      <c r="AJ182" s="14"/>
      <c r="AK182" s="14"/>
    </row>
    <row r="183" spans="4:37" x14ac:dyDescent="0.35">
      <c r="D183" s="14"/>
      <c r="E183" s="14"/>
      <c r="F183" s="14"/>
      <c r="G183" s="14"/>
      <c r="H183" s="14"/>
      <c r="I183" s="14"/>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row>
    <row r="184" spans="4:37" x14ac:dyDescent="0.35">
      <c r="D184" s="14"/>
      <c r="E184" s="14"/>
      <c r="F184" s="14"/>
      <c r="G184" s="14"/>
      <c r="H184" s="14"/>
      <c r="I184" s="14"/>
      <c r="J184" s="14"/>
      <c r="K184" s="14"/>
      <c r="L184" s="14"/>
      <c r="M184" s="14"/>
      <c r="N184" s="14"/>
      <c r="O184" s="14"/>
      <c r="P184" s="14"/>
      <c r="Q184" s="14"/>
      <c r="R184" s="14"/>
      <c r="S184" s="14"/>
      <c r="T184" s="14"/>
      <c r="U184" s="14"/>
      <c r="V184" s="14"/>
      <c r="W184" s="14"/>
      <c r="X184" s="14"/>
      <c r="Y184" s="14"/>
      <c r="Z184" s="14"/>
      <c r="AA184" s="14"/>
      <c r="AB184" s="14"/>
      <c r="AC184" s="14"/>
      <c r="AD184" s="14"/>
      <c r="AE184" s="14"/>
      <c r="AF184" s="14"/>
      <c r="AG184" s="14"/>
      <c r="AH184" s="14"/>
      <c r="AI184" s="14"/>
      <c r="AJ184" s="14"/>
      <c r="AK184" s="14"/>
    </row>
    <row r="185" spans="4:37" x14ac:dyDescent="0.35">
      <c r="D185" s="14"/>
      <c r="E185" s="14"/>
      <c r="F185" s="14"/>
      <c r="G185" s="14"/>
      <c r="H185" s="14"/>
      <c r="I185" s="14"/>
      <c r="J185" s="14"/>
      <c r="K185" s="14"/>
      <c r="L185" s="14"/>
      <c r="M185" s="14"/>
      <c r="N185" s="14"/>
      <c r="O185" s="14"/>
      <c r="P185" s="14"/>
      <c r="Q185" s="14"/>
      <c r="R185" s="14"/>
      <c r="S185" s="14"/>
      <c r="T185" s="14"/>
      <c r="U185" s="14"/>
      <c r="V185" s="14"/>
      <c r="W185" s="14"/>
      <c r="X185" s="14"/>
      <c r="Y185" s="14"/>
      <c r="Z185" s="14"/>
      <c r="AA185" s="14"/>
      <c r="AB185" s="14"/>
      <c r="AC185" s="14"/>
      <c r="AD185" s="14"/>
      <c r="AE185" s="14"/>
      <c r="AF185" s="14"/>
      <c r="AG185" s="14"/>
      <c r="AH185" s="14"/>
      <c r="AI185" s="14"/>
      <c r="AJ185" s="14"/>
      <c r="AK185" s="14"/>
    </row>
    <row r="186" spans="4:37" x14ac:dyDescent="0.35">
      <c r="D186" s="14"/>
      <c r="E186" s="14"/>
      <c r="F186" s="14"/>
      <c r="G186" s="14"/>
      <c r="H186" s="14"/>
      <c r="I186" s="14"/>
      <c r="J186" s="14"/>
      <c r="K186" s="14"/>
      <c r="L186" s="14"/>
      <c r="M186" s="14"/>
      <c r="N186" s="14"/>
      <c r="O186" s="14"/>
      <c r="P186" s="14"/>
      <c r="Q186" s="14"/>
      <c r="R186" s="14"/>
      <c r="S186" s="14"/>
      <c r="T186" s="14"/>
      <c r="U186" s="14"/>
      <c r="V186" s="14"/>
      <c r="W186" s="14"/>
      <c r="X186" s="14"/>
      <c r="Y186" s="14"/>
      <c r="Z186" s="14"/>
      <c r="AA186" s="14"/>
      <c r="AB186" s="14"/>
      <c r="AC186" s="14"/>
      <c r="AD186" s="14"/>
      <c r="AE186" s="14"/>
      <c r="AF186" s="14"/>
      <c r="AG186" s="14"/>
      <c r="AH186" s="14"/>
      <c r="AI186" s="14"/>
      <c r="AJ186" s="14"/>
      <c r="AK186" s="14"/>
    </row>
    <row r="187" spans="4:37" x14ac:dyDescent="0.35">
      <c r="D187" s="14"/>
      <c r="E187" s="14"/>
      <c r="F187" s="14"/>
      <c r="G187" s="14"/>
      <c r="H187" s="14"/>
      <c r="I187" s="14"/>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row>
    <row r="188" spans="4:37" x14ac:dyDescent="0.35">
      <c r="D188" s="14"/>
      <c r="E188" s="14"/>
      <c r="F188" s="14"/>
      <c r="G188" s="14"/>
      <c r="H188" s="14"/>
      <c r="I188" s="14"/>
      <c r="J188" s="14"/>
      <c r="K188" s="14"/>
      <c r="L188" s="14"/>
      <c r="M188" s="14"/>
      <c r="N188" s="14"/>
      <c r="O188" s="14"/>
      <c r="P188" s="14"/>
      <c r="Q188" s="14"/>
      <c r="R188" s="14"/>
      <c r="S188" s="14"/>
      <c r="T188" s="14"/>
      <c r="U188" s="14"/>
      <c r="V188" s="14"/>
      <c r="W188" s="14"/>
      <c r="X188" s="14"/>
      <c r="Y188" s="14"/>
      <c r="Z188" s="14"/>
      <c r="AA188" s="14"/>
      <c r="AB188" s="14"/>
      <c r="AC188" s="14"/>
      <c r="AD188" s="14"/>
      <c r="AE188" s="14"/>
      <c r="AF188" s="14"/>
      <c r="AG188" s="14"/>
      <c r="AH188" s="14"/>
      <c r="AI188" s="14"/>
      <c r="AJ188" s="14"/>
      <c r="AK188" s="14"/>
    </row>
    <row r="189" spans="4:37" x14ac:dyDescent="0.35">
      <c r="D189" s="14"/>
      <c r="E189" s="14"/>
      <c r="F189" s="14"/>
      <c r="G189" s="14"/>
      <c r="H189" s="14"/>
      <c r="I189" s="14"/>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row>
    <row r="190" spans="4:37" x14ac:dyDescent="0.35">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c r="AE190" s="14"/>
      <c r="AF190" s="14"/>
      <c r="AG190" s="14"/>
      <c r="AH190" s="14"/>
      <c r="AI190" s="14"/>
      <c r="AJ190" s="14"/>
      <c r="AK190" s="14"/>
    </row>
    <row r="191" spans="4:37" x14ac:dyDescent="0.35">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row>
    <row r="192" spans="4:37" x14ac:dyDescent="0.35">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c r="AE192" s="14"/>
      <c r="AF192" s="14"/>
      <c r="AG192" s="14"/>
      <c r="AH192" s="14"/>
      <c r="AI192" s="14"/>
      <c r="AJ192" s="14"/>
      <c r="AK192" s="14"/>
    </row>
    <row r="193" spans="4:37" x14ac:dyDescent="0.35">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row>
    <row r="194" spans="4:37" x14ac:dyDescent="0.35">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row>
    <row r="195" spans="4:37" x14ac:dyDescent="0.35">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row>
    <row r="196" spans="4:37" x14ac:dyDescent="0.35">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c r="AE196" s="14"/>
      <c r="AF196" s="14"/>
      <c r="AG196" s="14"/>
      <c r="AH196" s="14"/>
      <c r="AI196" s="14"/>
      <c r="AJ196" s="14"/>
      <c r="AK196" s="14"/>
    </row>
    <row r="197" spans="4:37" x14ac:dyDescent="0.35">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row>
    <row r="198" spans="4:37" x14ac:dyDescent="0.35">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c r="AE198" s="14"/>
      <c r="AF198" s="14"/>
      <c r="AG198" s="14"/>
      <c r="AH198" s="14"/>
      <c r="AI198" s="14"/>
      <c r="AJ198" s="14"/>
      <c r="AK198" s="14"/>
    </row>
    <row r="199" spans="4:37" x14ac:dyDescent="0.35">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row>
    <row r="200" spans="4:37" x14ac:dyDescent="0.35">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c r="AE200" s="14"/>
      <c r="AF200" s="14"/>
      <c r="AG200" s="14"/>
      <c r="AH200" s="14"/>
      <c r="AI200" s="14"/>
      <c r="AJ200" s="14"/>
      <c r="AK200" s="14"/>
    </row>
    <row r="201" spans="4:37" x14ac:dyDescent="0.35">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row>
    <row r="202" spans="4:37" x14ac:dyDescent="0.35">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row>
    <row r="203" spans="4:37" x14ac:dyDescent="0.35">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row>
    <row r="204" spans="4:37" x14ac:dyDescent="0.35">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row>
    <row r="205" spans="4:37" x14ac:dyDescent="0.35">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c r="AE205" s="14"/>
      <c r="AF205" s="14"/>
      <c r="AG205" s="14"/>
      <c r="AH205" s="14"/>
      <c r="AI205" s="14"/>
      <c r="AJ205" s="14"/>
      <c r="AK205" s="14"/>
    </row>
    <row r="206" spans="4:37" x14ac:dyDescent="0.35">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c r="AE206" s="14"/>
      <c r="AF206" s="14"/>
      <c r="AG206" s="14"/>
      <c r="AH206" s="14"/>
      <c r="AI206" s="14"/>
      <c r="AJ206" s="14"/>
      <c r="AK206" s="14"/>
    </row>
    <row r="207" spans="4:37" x14ac:dyDescent="0.35">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c r="AE207" s="14"/>
      <c r="AF207" s="14"/>
      <c r="AG207" s="14"/>
      <c r="AH207" s="14"/>
      <c r="AI207" s="14"/>
      <c r="AJ207" s="14"/>
      <c r="AK207" s="14"/>
    </row>
    <row r="208" spans="4:37" x14ac:dyDescent="0.35">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row>
    <row r="209" spans="4:37" x14ac:dyDescent="0.35">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c r="AE209" s="14"/>
      <c r="AF209" s="14"/>
      <c r="AG209" s="14"/>
      <c r="AH209" s="14"/>
      <c r="AI209" s="14"/>
      <c r="AJ209" s="14"/>
      <c r="AK209" s="14"/>
    </row>
    <row r="210" spans="4:37" x14ac:dyDescent="0.35">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row>
    <row r="211" spans="4:37" x14ac:dyDescent="0.35">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row>
    <row r="212" spans="4:37" x14ac:dyDescent="0.35">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row>
    <row r="213" spans="4:37" x14ac:dyDescent="0.35">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c r="AE213" s="14"/>
      <c r="AF213" s="14"/>
      <c r="AG213" s="14"/>
      <c r="AH213" s="14"/>
      <c r="AI213" s="14"/>
      <c r="AJ213" s="14"/>
      <c r="AK213" s="14"/>
    </row>
    <row r="214" spans="4:37" x14ac:dyDescent="0.35">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row>
    <row r="215" spans="4:37" x14ac:dyDescent="0.35">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row>
    <row r="216" spans="4:37" x14ac:dyDescent="0.35">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row>
    <row r="217" spans="4:37" x14ac:dyDescent="0.35">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row>
    <row r="218" spans="4:37" x14ac:dyDescent="0.35">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row>
    <row r="219" spans="4:37" x14ac:dyDescent="0.35">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row>
    <row r="220" spans="4:37" x14ac:dyDescent="0.35">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row>
    <row r="221" spans="4:37" x14ac:dyDescent="0.35">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row>
    <row r="222" spans="4:37" x14ac:dyDescent="0.35">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row>
    <row r="223" spans="4:37" x14ac:dyDescent="0.35">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row>
    <row r="224" spans="4:37" x14ac:dyDescent="0.35">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row>
    <row r="225" spans="4:37" x14ac:dyDescent="0.35">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row>
    <row r="226" spans="4:37" x14ac:dyDescent="0.35">
      <c r="D226" s="14"/>
      <c r="E226" s="14"/>
      <c r="F226" s="14"/>
      <c r="G226" s="14"/>
      <c r="H226" s="14"/>
      <c r="I226" s="14"/>
      <c r="J226" s="14"/>
      <c r="K226" s="14"/>
      <c r="L226" s="14"/>
      <c r="M226" s="14"/>
      <c r="N226" s="14"/>
      <c r="O226" s="14"/>
      <c r="P226" s="14"/>
      <c r="Q226" s="14"/>
      <c r="R226" s="14"/>
      <c r="S226" s="14"/>
      <c r="T226" s="14"/>
      <c r="U226" s="14"/>
      <c r="V226" s="14"/>
      <c r="W226" s="14"/>
      <c r="X226" s="14"/>
      <c r="Y226" s="14"/>
      <c r="Z226" s="14"/>
      <c r="AA226" s="14"/>
      <c r="AB226" s="14"/>
      <c r="AC226" s="14"/>
      <c r="AD226" s="14"/>
      <c r="AE226" s="14"/>
      <c r="AF226" s="14"/>
      <c r="AG226" s="14"/>
      <c r="AH226" s="14"/>
      <c r="AI226" s="14"/>
      <c r="AJ226" s="14"/>
      <c r="AK226" s="14"/>
    </row>
    <row r="227" spans="4:37" x14ac:dyDescent="0.35">
      <c r="D227" s="14"/>
      <c r="E227" s="14"/>
      <c r="F227" s="14"/>
      <c r="G227" s="14"/>
      <c r="H227" s="14"/>
      <c r="I227" s="14"/>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row>
    <row r="228" spans="4:37" x14ac:dyDescent="0.35">
      <c r="D228" s="14"/>
      <c r="E228" s="14"/>
      <c r="F228" s="14"/>
      <c r="G228" s="14"/>
      <c r="H228" s="14"/>
      <c r="I228" s="14"/>
      <c r="J228" s="14"/>
      <c r="K228" s="14"/>
      <c r="L228" s="14"/>
      <c r="M228" s="14"/>
      <c r="N228" s="14"/>
      <c r="O228" s="14"/>
      <c r="P228" s="14"/>
      <c r="Q228" s="14"/>
      <c r="R228" s="14"/>
      <c r="S228" s="14"/>
      <c r="T228" s="14"/>
      <c r="U228" s="14"/>
      <c r="V228" s="14"/>
      <c r="W228" s="14"/>
      <c r="X228" s="14"/>
      <c r="Y228" s="14"/>
      <c r="Z228" s="14"/>
      <c r="AA228" s="14"/>
      <c r="AB228" s="14"/>
      <c r="AC228" s="14"/>
      <c r="AD228" s="14"/>
      <c r="AE228" s="14"/>
      <c r="AF228" s="14"/>
      <c r="AG228" s="14"/>
      <c r="AH228" s="14"/>
      <c r="AI228" s="14"/>
      <c r="AJ228" s="14"/>
      <c r="AK228" s="14"/>
    </row>
    <row r="229" spans="4:37" x14ac:dyDescent="0.35">
      <c r="D229" s="14"/>
      <c r="E229" s="14"/>
      <c r="F229" s="14"/>
      <c r="G229" s="14"/>
      <c r="H229" s="14"/>
      <c r="I229" s="14"/>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row>
    <row r="230" spans="4:37" x14ac:dyDescent="0.35">
      <c r="D230" s="14"/>
      <c r="E230" s="14"/>
      <c r="F230" s="14"/>
      <c r="G230" s="14"/>
      <c r="H230" s="14"/>
      <c r="I230" s="14"/>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row>
    <row r="231" spans="4:37" x14ac:dyDescent="0.35">
      <c r="D231" s="14"/>
      <c r="E231" s="14"/>
      <c r="F231" s="14"/>
      <c r="G231" s="14"/>
      <c r="H231" s="14"/>
      <c r="I231" s="14"/>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row>
    <row r="232" spans="4:37" x14ac:dyDescent="0.35">
      <c r="D232" s="14"/>
      <c r="E232" s="14"/>
      <c r="F232" s="14"/>
      <c r="G232" s="14"/>
      <c r="H232" s="14"/>
      <c r="I232" s="14"/>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row>
    <row r="233" spans="4:37" x14ac:dyDescent="0.35">
      <c r="D233" s="14"/>
      <c r="E233" s="14"/>
      <c r="F233" s="14"/>
      <c r="G233" s="14"/>
      <c r="H233" s="14"/>
      <c r="I233" s="14"/>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row>
    <row r="234" spans="4:37" x14ac:dyDescent="0.35">
      <c r="D234" s="14"/>
      <c r="E234" s="14"/>
      <c r="F234" s="14"/>
      <c r="G234" s="14"/>
      <c r="H234" s="14"/>
      <c r="I234" s="14"/>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row>
    <row r="235" spans="4:37" x14ac:dyDescent="0.35">
      <c r="D235" s="14"/>
      <c r="E235" s="14"/>
      <c r="F235" s="14"/>
      <c r="G235" s="14"/>
      <c r="H235" s="14"/>
      <c r="I235" s="14"/>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row>
    <row r="236" spans="4:37" x14ac:dyDescent="0.35">
      <c r="D236" s="14"/>
      <c r="E236" s="14"/>
      <c r="F236" s="14"/>
      <c r="G236" s="14"/>
      <c r="H236" s="14"/>
      <c r="I236" s="14"/>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row>
    <row r="237" spans="4:37" x14ac:dyDescent="0.35">
      <c r="D237" s="14"/>
      <c r="E237" s="14"/>
      <c r="F237" s="14"/>
      <c r="G237" s="14"/>
      <c r="H237" s="14"/>
      <c r="I237" s="14"/>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row>
    <row r="238" spans="4:37" x14ac:dyDescent="0.35">
      <c r="D238" s="14"/>
      <c r="E238" s="14"/>
      <c r="F238" s="14"/>
      <c r="G238" s="14"/>
      <c r="H238" s="14"/>
      <c r="I238" s="14"/>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row>
    <row r="239" spans="4:37" x14ac:dyDescent="0.35">
      <c r="D239" s="14"/>
      <c r="E239" s="14"/>
      <c r="F239" s="14"/>
      <c r="G239" s="14"/>
      <c r="H239" s="14"/>
      <c r="I239" s="14"/>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row>
    <row r="240" spans="4:37" x14ac:dyDescent="0.35">
      <c r="D240" s="14"/>
      <c r="E240" s="14"/>
      <c r="F240" s="14"/>
      <c r="G240" s="14"/>
      <c r="H240" s="14"/>
      <c r="I240" s="14"/>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row>
    <row r="241" spans="4:37" x14ac:dyDescent="0.35">
      <c r="D241" s="14"/>
      <c r="E241" s="14"/>
      <c r="F241" s="14"/>
      <c r="G241" s="14"/>
      <c r="H241" s="14"/>
      <c r="I241" s="14"/>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row>
    <row r="242" spans="4:37" x14ac:dyDescent="0.35">
      <c r="D242" s="14"/>
      <c r="E242" s="14"/>
      <c r="F242" s="14"/>
      <c r="G242" s="14"/>
      <c r="H242" s="14"/>
      <c r="I242" s="14"/>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row>
    <row r="243" spans="4:37" x14ac:dyDescent="0.35">
      <c r="D243" s="14"/>
      <c r="E243" s="14"/>
      <c r="F243" s="14"/>
      <c r="G243" s="14"/>
      <c r="H243" s="14"/>
      <c r="I243" s="14"/>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row>
    <row r="244" spans="4:37" x14ac:dyDescent="0.35">
      <c r="D244" s="14"/>
      <c r="E244" s="14"/>
      <c r="F244" s="14"/>
      <c r="G244" s="14"/>
      <c r="H244" s="14"/>
      <c r="I244" s="14"/>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row>
    <row r="245" spans="4:37" x14ac:dyDescent="0.35">
      <c r="D245" s="14"/>
      <c r="E245" s="14"/>
      <c r="F245" s="14"/>
      <c r="G245" s="14"/>
      <c r="H245" s="14"/>
      <c r="I245" s="14"/>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row>
    <row r="246" spans="4:37" x14ac:dyDescent="0.35">
      <c r="D246" s="14"/>
      <c r="E246" s="14"/>
      <c r="F246" s="14"/>
      <c r="G246" s="14"/>
      <c r="H246" s="14"/>
      <c r="I246" s="14"/>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row>
    <row r="247" spans="4:37" x14ac:dyDescent="0.35">
      <c r="D247" s="14"/>
      <c r="E247" s="14"/>
      <c r="F247" s="14"/>
      <c r="G247" s="14"/>
      <c r="H247" s="14"/>
      <c r="I247" s="14"/>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row>
    <row r="248" spans="4:37" x14ac:dyDescent="0.35">
      <c r="D248" s="14"/>
      <c r="E248" s="14"/>
      <c r="F248" s="14"/>
      <c r="G248" s="14"/>
      <c r="H248" s="14"/>
      <c r="I248" s="14"/>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row>
    <row r="249" spans="4:37" x14ac:dyDescent="0.35">
      <c r="D249" s="14"/>
      <c r="E249" s="14"/>
      <c r="F249" s="14"/>
      <c r="G249" s="14"/>
      <c r="H249" s="14"/>
      <c r="I249" s="14"/>
      <c r="J249" s="14"/>
      <c r="K249" s="14"/>
      <c r="L249" s="14"/>
      <c r="M249" s="14"/>
      <c r="N249" s="14"/>
      <c r="O249" s="14"/>
      <c r="P249" s="14"/>
      <c r="Q249" s="14"/>
      <c r="R249" s="14"/>
      <c r="S249" s="14"/>
      <c r="T249" s="14"/>
      <c r="U249" s="14"/>
      <c r="V249" s="14"/>
      <c r="W249" s="14"/>
      <c r="X249" s="14"/>
      <c r="Y249" s="14"/>
      <c r="Z249" s="14"/>
      <c r="AA249" s="14"/>
      <c r="AB249" s="14"/>
      <c r="AC249" s="14"/>
      <c r="AD249" s="14"/>
      <c r="AE249" s="14"/>
      <c r="AF249" s="14"/>
      <c r="AG249" s="14"/>
      <c r="AH249" s="14"/>
      <c r="AI249" s="14"/>
      <c r="AJ249" s="14"/>
      <c r="AK249" s="14"/>
    </row>
    <row r="250" spans="4:37" x14ac:dyDescent="0.35">
      <c r="D250" s="14"/>
      <c r="E250" s="14"/>
      <c r="F250" s="14"/>
      <c r="G250" s="14"/>
      <c r="H250" s="14"/>
      <c r="I250" s="14"/>
      <c r="J250" s="14"/>
      <c r="K250" s="14"/>
      <c r="L250" s="14"/>
      <c r="M250" s="14"/>
      <c r="N250" s="14"/>
      <c r="O250" s="14"/>
      <c r="P250" s="14"/>
      <c r="Q250" s="14"/>
      <c r="R250" s="14"/>
      <c r="S250" s="14"/>
      <c r="T250" s="14"/>
      <c r="U250" s="14"/>
      <c r="V250" s="14"/>
      <c r="W250" s="14"/>
      <c r="X250" s="14"/>
      <c r="Y250" s="14"/>
      <c r="Z250" s="14"/>
      <c r="AA250" s="14"/>
      <c r="AB250" s="14"/>
      <c r="AC250" s="14"/>
      <c r="AD250" s="14"/>
      <c r="AE250" s="14"/>
      <c r="AF250" s="14"/>
      <c r="AG250" s="14"/>
      <c r="AH250" s="14"/>
      <c r="AI250" s="14"/>
      <c r="AJ250" s="14"/>
      <c r="AK250" s="14"/>
    </row>
    <row r="251" spans="4:37" x14ac:dyDescent="0.35">
      <c r="D251" s="14"/>
      <c r="E251" s="14"/>
      <c r="F251" s="14"/>
      <c r="G251" s="14"/>
      <c r="H251" s="14"/>
      <c r="I251" s="14"/>
      <c r="J251" s="14"/>
      <c r="K251" s="14"/>
      <c r="L251" s="14"/>
      <c r="M251" s="14"/>
      <c r="N251" s="14"/>
      <c r="O251" s="14"/>
      <c r="P251" s="14"/>
      <c r="Q251" s="14"/>
      <c r="R251" s="14"/>
      <c r="S251" s="14"/>
      <c r="T251" s="14"/>
      <c r="U251" s="14"/>
      <c r="V251" s="14"/>
      <c r="W251" s="14"/>
      <c r="X251" s="14"/>
      <c r="Y251" s="14"/>
      <c r="Z251" s="14"/>
      <c r="AA251" s="14"/>
      <c r="AB251" s="14"/>
      <c r="AC251" s="14"/>
      <c r="AD251" s="14"/>
      <c r="AE251" s="14"/>
      <c r="AF251" s="14"/>
      <c r="AG251" s="14"/>
      <c r="AH251" s="14"/>
      <c r="AI251" s="14"/>
      <c r="AJ251" s="14"/>
      <c r="AK251" s="14"/>
    </row>
    <row r="252" spans="4:37" x14ac:dyDescent="0.35">
      <c r="D252" s="14"/>
      <c r="E252" s="14"/>
      <c r="F252" s="14"/>
      <c r="G252" s="14"/>
      <c r="H252" s="14"/>
      <c r="I252" s="14"/>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row>
    <row r="253" spans="4:37" x14ac:dyDescent="0.35">
      <c r="D253" s="14"/>
      <c r="E253" s="14"/>
      <c r="F253" s="14"/>
      <c r="G253" s="14"/>
      <c r="H253" s="14"/>
      <c r="I253" s="14"/>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row>
    <row r="254" spans="4:37" x14ac:dyDescent="0.35">
      <c r="D254" s="14"/>
      <c r="E254" s="14"/>
      <c r="F254" s="14"/>
      <c r="G254" s="14"/>
      <c r="H254" s="14"/>
      <c r="I254" s="14"/>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row>
    <row r="255" spans="4:37" x14ac:dyDescent="0.35">
      <c r="I255" s="14"/>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row>
    <row r="256" spans="4:37" x14ac:dyDescent="0.35">
      <c r="I256" s="14"/>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row>
    <row r="257" spans="9:37" x14ac:dyDescent="0.35">
      <c r="I257" s="14"/>
      <c r="J257" s="14"/>
      <c r="K257" s="14"/>
      <c r="L257" s="14"/>
      <c r="M257" s="14"/>
      <c r="N257" s="14"/>
      <c r="O257" s="14"/>
      <c r="P257" s="14"/>
      <c r="Q257" s="14"/>
      <c r="R257" s="14"/>
      <c r="S257" s="14"/>
      <c r="T257" s="14"/>
      <c r="U257" s="14"/>
      <c r="V257" s="14"/>
      <c r="W257" s="14"/>
      <c r="X257" s="14"/>
      <c r="Y257" s="14"/>
      <c r="Z257" s="14"/>
      <c r="AA257" s="14"/>
      <c r="AB257" s="14"/>
      <c r="AC257" s="14"/>
      <c r="AD257" s="14"/>
      <c r="AE257" s="14"/>
      <c r="AF257" s="14"/>
      <c r="AG257" s="14"/>
      <c r="AH257" s="14"/>
      <c r="AI257" s="14"/>
      <c r="AJ257" s="14"/>
      <c r="AK257" s="14"/>
    </row>
    <row r="258" spans="9:37" x14ac:dyDescent="0.35">
      <c r="I258" s="14"/>
      <c r="J258" s="14"/>
      <c r="K258" s="14"/>
      <c r="L258" s="14"/>
      <c r="M258" s="14"/>
      <c r="N258" s="14"/>
      <c r="O258" s="14"/>
      <c r="P258" s="14"/>
      <c r="Q258" s="14"/>
      <c r="R258" s="14"/>
      <c r="S258" s="14"/>
      <c r="T258" s="14"/>
      <c r="U258" s="14"/>
      <c r="V258" s="14"/>
      <c r="W258" s="14"/>
      <c r="X258" s="14"/>
      <c r="Y258" s="14"/>
      <c r="Z258" s="14"/>
      <c r="AA258" s="14"/>
      <c r="AB258" s="14"/>
      <c r="AC258" s="14"/>
      <c r="AD258" s="14"/>
      <c r="AE258" s="14"/>
      <c r="AF258" s="14"/>
      <c r="AG258" s="14"/>
      <c r="AH258" s="14"/>
      <c r="AI258" s="14"/>
      <c r="AJ258" s="14"/>
      <c r="AK258" s="14"/>
    </row>
    <row r="259" spans="9:37" x14ac:dyDescent="0.35">
      <c r="I259" s="14"/>
      <c r="J259" s="14"/>
      <c r="K259" s="14"/>
      <c r="L259" s="14"/>
      <c r="M259" s="14"/>
      <c r="N259" s="14"/>
      <c r="O259" s="14"/>
      <c r="P259" s="14"/>
      <c r="Q259" s="14"/>
      <c r="R259" s="14"/>
      <c r="S259" s="14"/>
      <c r="T259" s="14"/>
      <c r="U259" s="14"/>
      <c r="V259" s="14"/>
      <c r="W259" s="14"/>
      <c r="X259" s="14"/>
      <c r="Y259" s="14"/>
      <c r="Z259" s="14"/>
      <c r="AA259" s="14"/>
      <c r="AB259" s="14"/>
      <c r="AC259" s="14"/>
      <c r="AD259" s="14"/>
      <c r="AE259" s="14"/>
      <c r="AF259" s="14"/>
      <c r="AG259" s="14"/>
      <c r="AH259" s="14"/>
      <c r="AI259" s="14"/>
      <c r="AJ259" s="14"/>
      <c r="AK259" s="14"/>
    </row>
    <row r="260" spans="9:37" x14ac:dyDescent="0.35">
      <c r="I260" s="14"/>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row>
    <row r="261" spans="9:37" x14ac:dyDescent="0.35">
      <c r="I261" s="14"/>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row>
    <row r="262" spans="9:37" x14ac:dyDescent="0.35">
      <c r="I262" s="14"/>
      <c r="J262" s="14"/>
      <c r="K262" s="14"/>
      <c r="L262" s="14"/>
      <c r="M262" s="14"/>
      <c r="N262" s="14"/>
      <c r="O262" s="14"/>
      <c r="P262" s="14"/>
      <c r="Q262" s="14"/>
      <c r="R262" s="14"/>
      <c r="S262" s="14"/>
      <c r="T262" s="14"/>
      <c r="U262" s="14"/>
      <c r="V262" s="14"/>
      <c r="W262" s="14"/>
      <c r="X262" s="14"/>
      <c r="Y262" s="14"/>
      <c r="Z262" s="14"/>
      <c r="AA262" s="14"/>
      <c r="AB262" s="14"/>
      <c r="AC262" s="14"/>
      <c r="AD262" s="14"/>
      <c r="AE262" s="14"/>
      <c r="AF262" s="14"/>
      <c r="AG262" s="14"/>
      <c r="AH262" s="14"/>
      <c r="AI262" s="14"/>
      <c r="AJ262" s="14"/>
      <c r="AK262" s="14"/>
    </row>
  </sheetData>
  <sheetProtection algorithmName="SHA-512" hashValue="nj06lqEkiNWurvIfH35/47MwOCya6s5GhCHq+31swD0IExC9h7DCvpNIcLgE/nK0YP363wHUrazdbbci4e5G6g==" saltValue="+8AHfbEHHJCUCGZ+nVjT2w==" spinCount="100000" sheet="1" objects="1" scenarios="1"/>
  <mergeCells count="12">
    <mergeCell ref="D18:E18"/>
    <mergeCell ref="D19:E19"/>
    <mergeCell ref="D97:F97"/>
    <mergeCell ref="D116:G116"/>
    <mergeCell ref="E126:G126"/>
    <mergeCell ref="D103:F103"/>
    <mergeCell ref="D158:H158"/>
    <mergeCell ref="D114:H114"/>
    <mergeCell ref="E128:G128"/>
    <mergeCell ref="E129:G129"/>
    <mergeCell ref="E130:G130"/>
    <mergeCell ref="E127:G127"/>
  </mergeCells>
  <conditionalFormatting sqref="A1:A2">
    <cfRule type="cellIs" dxfId="230" priority="1" operator="equal">
      <formula>0</formula>
    </cfRule>
    <cfRule type="cellIs" dxfId="229" priority="2" operator="greaterThan">
      <formula>0</formula>
    </cfRule>
  </conditionalFormatting>
  <dataValidations xWindow="149" yWindow="720" count="40">
    <dataValidation type="decimal" operator="greaterThanOrEqual" allowBlank="1" showInputMessage="1" showErrorMessage="1" error="Please enter a number greater than or equal to zero" sqref="G111 H93 G92 G101 G104" xr:uid="{826DDD92-251E-4AD7-BE6D-E305F393BBFD}">
      <formula1>0</formula1>
    </dataValidation>
    <dataValidation allowBlank="1" showInputMessage="1" showErrorMessage="1" prompt="Enter the annualised teacher contract hours for a standard teacher with no responsibility or management points._x000a__x000a_The figure should include teaching time and tutorial time." sqref="D54" xr:uid="{24728F2B-BDE8-4B1B-9D80-EC80D7B5833F}"/>
    <dataValidation type="list" allowBlank="1" showInputMessage="1" showErrorMessage="1" sqref="H82:H86" xr:uid="{76E642EB-EE98-4AC6-83DB-7EE60A618CBA}">
      <formula1>"Yes,No"</formula1>
    </dataValidation>
    <dataValidation allowBlank="1" showInputMessage="1" showErrorMessage="1" prompt="Figures based on core funding only and exclude indirect income" sqref="H8 H17 H12" xr:uid="{61EDA74A-35EB-4683-BDE4-2FEC2540EDF2}"/>
    <dataValidation allowBlank="1" showErrorMessage="1" sqref="H26 H23 D38:E38 F37 H29" xr:uid="{9FDBF955-AD5B-4897-A005-FE46BB39FA75}"/>
    <dataValidation type="custom" showInputMessage="1" showErrorMessage="1" error="Please input numeric value" sqref="G9:G10" xr:uid="{1BB34BF7-CB17-475D-9508-3A679BD4DA21}">
      <formula1>ISNUMBER(G9)</formula1>
    </dataValidation>
    <dataValidation type="custom" allowBlank="1" showInputMessage="1" showErrorMessage="1" error="Please enter numeric value" sqref="H171 F40:F42 G18:G21 F45:F46 H112:H113 F51 G64:H64 G67 G24 G13:G15 G30" xr:uid="{99805DEA-DC5B-4DB8-984F-5B17DE98FFD0}">
      <formula1>ISNUMBER(F13)</formula1>
    </dataValidation>
    <dataValidation type="list" allowBlank="1" showInputMessage="1" showErrorMessage="1" prompt="Select from list" sqref="H116" xr:uid="{FC743194-265B-4D08-9F2F-76CEBF6DC284}">
      <formula1>"Yes,No,Partly"</formula1>
    </dataValidation>
    <dataValidation allowBlank="1" showInputMessage="1" promptTitle="Av. ded. funding per learner £" prompt="Figures based on core funding only and exclude indirect income" sqref="B23 B73" xr:uid="{80620B96-9486-40AF-88D6-4AB17C263ED3}"/>
    <dataValidation allowBlank="1" showErrorMessage="1" prompt="Figures based on core funding only and exclude indirect income" sqref="H23" xr:uid="{55862550-78DF-43A6-BC63-70531EA2455E}"/>
    <dataValidation allowBlank="1" showInputMessage="1" promptTitle="Av. ded. funding per learner £" prompt="Figures based on total income from all sources" sqref="B26" xr:uid="{6B49F019-6CEE-448C-BEEE-5FFAC5D02A7D}"/>
    <dataValidation allowBlank="1" showInputMessage="1" promptTitle="Av. ded. funding per learner £" prompt="Figures based on element 2 plus element 3 income_x000a_" sqref="B29" xr:uid="{549D4D04-6A52-4268-99E5-7C8A55780641}"/>
    <dataValidation allowBlank="1" showInputMessage="1" promptTitle="1-FTE  / 2-Average learners" prompt="1 - To include staff who also have an SMT role, separate benchmarking data for SMT is included below _x000a__x000a_2 - Based on ESFA and OfS funded learners_x000a__x000a_" sqref="B37" xr:uid="{FE637F2F-6694-4338-ACEF-800890FCF5A8}"/>
    <dataValidation allowBlank="1" showInputMessage="1" promptTitle="Teaching staff" prompt="To include assessors, to exclude contracted tuition services" sqref="B38" xr:uid="{BD653BFA-48C5-43F1-B4D6-C0DD439EC873}"/>
    <dataValidation allowBlank="1" showInputMessage="1" promptTitle="Hours" prompt="For non sixth form college contracts: number of annual teaching hours a full-time member of staff is contracted to deliver_x000a__x000a_For sixth form college contracts: number of annual expected teaching hours as part of total directed time" sqref="B54" xr:uid="{3BBC5C93-70D2-4F27-8564-31CFBC9A54FA}"/>
    <dataValidation allowBlank="1" showInputMessage="1" promptTitle="Av. cost per learner £" prompt="Figures based on ESFA and OfS funded learners" sqref="B74:B75" xr:uid="{A9D443E2-18F0-4FAB-B4F8-9774C394049B}"/>
    <dataValidation allowBlank="1" showInputMessage="1" promptTitle="Value of outsourced contracts" prompt="This is designed to enable colleges to investigate differences between their staff:income ratio and that of other colleges" sqref="B88" xr:uid="{B7603B83-6543-421E-8D5B-9631735833DC}"/>
    <dataValidation allowBlank="1" showInputMessage="1" promptTitle="Av. ded. funding per learner" prompt="Figures based on core funding only and exclude indirect income" sqref="B24" xr:uid="{DAE18C11-4FC6-4EE0-BAA8-455E9946ACF8}"/>
    <dataValidation allowBlank="1" showInputMessage="1" promptTitle="Av. ded. funding per learner" prompt="Figures based on total income from all sources" sqref="B27" xr:uid="{E8EE15C7-99ED-4750-95D3-7D6B5D67BF53}"/>
    <dataValidation allowBlank="1" showInputMessage="1" promptTitle="Av. ded. funding per learner" prompt="Figures based on element 2 plus element 3 income_x000a_" sqref="B30" xr:uid="{D22C0467-2CD7-4B7B-BF10-180F5109D2F7}"/>
    <dataValidation allowBlank="1" showInputMessage="1" promptTitle="Premises Area" prompt="Gross internal floor area" sqref="B91" xr:uid="{742A26D2-73E2-4819-87EE-EF6E3E0EEBF7}"/>
    <dataValidation allowBlank="1" showInputMessage="1" promptTitle="NCE as % of EBITDA" prompt="Net of grants received" sqref="B105" xr:uid="{7A515647-9C97-4AA6-A1EB-8376D06A6B44}"/>
    <dataValidation allowBlank="1" showInputMessage="1" promptTitle="NCE as % of adj. income" prompt="Net of grants received" sqref="B106" xr:uid="{8371CE21-EAA0-427D-A612-BF804B062CB2}"/>
    <dataValidation allowBlank="1" promptTitle="Single/multi-sited" prompt="This is to enable comparison with other, similar colleges. Please see benchmarking section 5 of the guide sheet for guidance on how to answer._x000a__x000a_" sqref="B108" xr:uid="{E5A98E54-BC14-4062-A9BF-A4D5710AFADA}"/>
    <dataValidation allowBlank="1" showInputMessage="1" promptTitle="Actual registered teaching hours" prompt="Delivery hours only - does not include remitted hours_x000a_" sqref="B118" xr:uid="{0CB2D292-D0BA-4150-981E-932654A157C1}"/>
    <dataValidation allowBlank="1" showInputMessage="1" promptTitle="Total remitted teaching hours" prompt="This should include remission given to curriculum managers" sqref="B120" xr:uid="{A70DF069-1A42-4D90-91A1-67E4A5764785}"/>
    <dataValidation allowBlank="1" showInputMessage="1" promptTitle="Average class sizes" prompt="Average class size = number of learners / number of classes_x000a__x000a_This should cover all students by headcount, including part time students, by level_x000a__x000a_For 16-19 students, this should be for their main aim only" sqref="B126" xr:uid="{872317FF-99EA-4368-ABCB-98A1C7CA9C05}"/>
    <dataValidation allowBlank="1" promptTitle="Average class sizes" prompt="Average class size = number of learners / number of classes_x000a__x000a_This should cover all students by headcount, including part time students, by level_x000a__x000a_For 16-19 students, this should be for their main aim only" sqref="B125" xr:uid="{B373A99B-C595-42ED-8DEF-75F9201398F5}"/>
    <dataValidation allowBlank="1" showInputMessage="1" promptTitle="16-19 study programme hours" prompt="Total average actual annual study programme hours per student - where students are e.g. undertaking a L2 qualification alongside a L3 main aim, include those students in L3" sqref="B133" xr:uid="{23F63756-85FD-41D9-884C-F14BCB46EECA}"/>
    <dataValidation allowBlank="1" promptTitle="Av. ded. funding per learner £" prompt="Figures based on core funding only and exclude indirect income" sqref="B132" xr:uid="{16F89651-420E-4A5A-91D5-99280F7E8B20}"/>
    <dataValidation allowBlank="1" showInputMessage="1" showErrorMessage="1" promptTitle="LGPS contribution rate" prompt="For colleges with members in multiple LGPS schemes, please enter the rate for the scheme with the largest number of members" sqref="B64" xr:uid="{82B9D043-6D03-414C-8AA9-C0DAD2E5D3B8}"/>
    <dataValidation type="whole" operator="greaterThan" allowBlank="1" showInputMessage="1" showErrorMessage="1" errorTitle="Error" error="Please enter whole number; if 0 please leave blank" sqref="H120" xr:uid="{49F37E83-9587-4F77-AD77-C1F404C996AE}">
      <formula1>0</formula1>
    </dataValidation>
    <dataValidation type="decimal" operator="greaterThan" allowBlank="1" showInputMessage="1" showErrorMessage="1" error="If 0, please leave cell blank" prompt="If 0, please leave blank. _x000a_Cell is formatted to show one decimal place." sqref="H126:H130" xr:uid="{FC923D48-B78F-4C03-BF8D-7150FCA772CF}">
      <formula1>0.9</formula1>
    </dataValidation>
    <dataValidation type="whole" operator="greaterThanOrEqual" allowBlank="1" showInputMessage="1" showErrorMessage="1" error="Please enter whole number" sqref="H138:H139" xr:uid="{A3E28D7A-26C8-4B15-A509-71AB32FB545C}">
      <formula1>0</formula1>
    </dataValidation>
    <dataValidation type="decimal" operator="greaterThanOrEqual" allowBlank="1" showInputMessage="1" showErrorMessage="1" sqref="F38" xr:uid="{C0F1D9C5-4DF9-43B1-87A8-5913E66673D4}">
      <formula1>0</formula1>
    </dataValidation>
    <dataValidation operator="greaterThanOrEqual" allowBlank="1" showInputMessage="1" showErrorMessage="1" error="Please enter a number greater than or equal to zero" sqref="G102" xr:uid="{D8A9F8F3-96BE-4DDB-AC84-53D60FEACBE4}"/>
    <dataValidation type="whole" operator="greaterThan" allowBlank="1" showInputMessage="1" showErrorMessage="1" error="Enter whole number, if 0, please leave blank" prompt="Enter whole number, if 0, please leave blank" sqref="H143" xr:uid="{AA69B5B4-902D-4B43-9175-4E6E1DD88706}">
      <formula1>0</formula1>
    </dataValidation>
    <dataValidation type="decimal" allowBlank="1" showInputMessage="1" showErrorMessage="1" prompt="Enter the average % increase agreed in any pay award during the year" sqref="H58" xr:uid="{3D1C7F18-B033-415A-A307-1AB61B5AE6ED}">
      <formula1>0</formula1>
      <formula2>1</formula2>
    </dataValidation>
    <dataValidation type="date" allowBlank="1" showInputMessage="1" showErrorMessage="1" error="Please enter a date during the financial year being reported" prompt="Enter the date from which any pay award was applied" sqref="H60" xr:uid="{3F9587B1-D5C2-4DCA-90FF-34561BE21F05}">
      <formula1>45139</formula1>
      <formula2>45869</formula2>
    </dataValidation>
    <dataValidation type="whole" allowBlank="1" showInputMessage="1" showErrorMessage="1" error="Enter whole number, if 0, please leave blank" prompt="Enter whole number, if 0, please leave blank" sqref="H142" xr:uid="{4A979693-5A9E-4DDE-B09E-F9897D866452}">
      <formula1>1</formula1>
      <formula2>300</formula2>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xWindow="149" yWindow="720" count="11">
        <x14:dataValidation type="list" allowBlank="1" showInputMessage="1" showErrorMessage="1" xr:uid="{9991DF41-50B3-4D97-8911-F4448C0064AB}">
          <x14:formula1>
            <xm:f>Parameters!$D$225:$D$226</xm:f>
          </x14:formula1>
          <xm:sqref>H108</xm:sqref>
        </x14:dataValidation>
        <x14:dataValidation type="whole" operator="greaterThan" allowBlank="1" showInputMessage="1" showErrorMessage="1" error="Plese enter the total annual teaching hours for your college" xr:uid="{FFBF1A68-5308-4030-B1B8-EC2B6E4B3CFE}">
          <x14:formula1>
            <xm:f>Parameters!G373</xm:f>
          </x14:formula1>
          <xm:sqref>H118:H119</xm:sqref>
        </x14:dataValidation>
        <x14:dataValidation type="whole" allowBlank="1" showInputMessage="1" showErrorMessage="1" error="Please enter a whole number between 50 and 2,000" prompt="If 0, please leave blank. " xr:uid="{DBEA2F4A-7CC2-43D4-8C33-8F56589E21FB}">
          <x14:formula1>
            <xm:f>Parameters!G383</xm:f>
          </x14:formula1>
          <x14:formula2>
            <xm:f>Parameters!F383</xm:f>
          </x14:formula2>
          <xm:sqref>H133</xm:sqref>
        </x14:dataValidation>
        <x14:dataValidation type="whole" allowBlank="1" showInputMessage="1" showErrorMessage="1" error="Please enter a whole number between 100 and 2,000" prompt="If 0, please leave blank. " xr:uid="{B58F8566-7D7A-474B-970E-1B70C6272152}">
          <x14:formula1>
            <xm:f>Parameters!G384</xm:f>
          </x14:formula1>
          <x14:formula2>
            <xm:f>Parameters!F384</xm:f>
          </x14:formula2>
          <xm:sqref>H134:H136</xm:sqref>
        </x14:dataValidation>
        <x14:dataValidation type="whole" allowBlank="1" showInputMessage="1" showErrorMessage="1" errorTitle="Error" error="Please enter numeric value as £000s" prompt="Must be whole number as £000s" xr:uid="{29B7BEF9-85EE-48DC-A4FF-BC3DE216CDD7}">
          <x14:formula1>
            <xm:f>Parameters!G368</xm:f>
          </x14:formula1>
          <x14:formula2>
            <xm:f>Parameters!F368</xm:f>
          </x14:formula2>
          <xm:sqref>G97:G99</xm:sqref>
        </x14:dataValidation>
        <x14:dataValidation type="whole" allowBlank="1" showInputMessage="1" showErrorMessage="1" errorTitle="Error" error="Please enter numeric value as £000s" prompt="Must be whole number as £000s" xr:uid="{DB7388E8-E2DC-4E67-BE44-42AA26FDF4B3}">
          <x14:formula1>
            <xm:f>Parameters!G365</xm:f>
          </x14:formula1>
          <x14:formula2>
            <xm:f>Parameters!F365</xm:f>
          </x14:formula2>
          <xm:sqref>G78</xm:sqref>
        </x14:dataValidation>
        <x14:dataValidation type="whole" allowBlank="1" showInputMessage="1" showErrorMessage="1" error="Please enter numeric value as 000s" prompt="Please enter whole number as £000s" xr:uid="{7757C4F4-6EAE-4B3E-AEB7-1DC0C3377586}">
          <x14:formula1>
            <xm:f>Parameters!G366</xm:f>
          </x14:formula1>
          <x14:formula2>
            <xm:f>Parameters!F366</xm:f>
          </x14:formula2>
          <xm:sqref>H88</xm:sqref>
        </x14:dataValidation>
        <x14:dataValidation type="decimal" operator="greaterThan" allowBlank="1" showInputMessage="1" showErrorMessage="1" errorTitle="Error" error="This should be actual m², do not enter in 000s" prompt="This should be actual m², do not enter in 000s" xr:uid="{91B3F6BF-CABE-4D7A-9F8B-FBE4264761F0}">
          <x14:formula1>
            <xm:f>Parameters!G367</xm:f>
          </x14:formula1>
          <xm:sqref>H91</xm:sqref>
        </x14:dataValidation>
        <x14:dataValidation type="decimal" allowBlank="1" showInputMessage="1" showErrorMessage="1" error="Must be whole number of £000s" xr:uid="{A7D77C2A-4C96-4C6C-8465-FD75A0DCC0F9}">
          <x14:formula1>
            <xm:f>Parameters!G372</xm:f>
          </x14:formula1>
          <x14:formula2>
            <xm:f>Parameters!F372</xm:f>
          </x14:formula2>
          <xm:sqref>G103</xm:sqref>
        </x14:dataValidation>
        <x14:dataValidation type="whole" allowBlank="1" showInputMessage="1" showErrorMessage="1" errorTitle="Error" error="Please ensure that this shows the standard teaching hours used by the college in a teaching contract to nearest whole number" prompt="Standard teaching hours used by college in a teaching contract." xr:uid="{75430E95-78D5-4943-BC99-B2D8DC211322}">
          <x14:formula1>
            <xm:f>Parameters!G364</xm:f>
          </x14:formula1>
          <x14:formula2>
            <xm:f>Parameters!F364</xm:f>
          </x14:formula2>
          <xm:sqref>H54</xm:sqref>
        </x14:dataValidation>
        <x14:dataValidation type="whole" allowBlank="1" showInputMessage="1" showErrorMessage="1" errorTitle="Error" error="Must be whole number entered as £000s" prompt="Please input as £000s" xr:uid="{973DCD86-804C-4900-86E9-0305EF86D550}">
          <x14:formula1>
            <xm:f>Parameters!G363</xm:f>
          </x14:formula1>
          <x14:formula2>
            <xm:f>Parameters!F363</xm:f>
          </x14:formula2>
          <xm:sqref>H35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C779D2-4E53-483A-BA81-D7AD82A71E1C}">
  <sheetPr codeName="Sheet5">
    <tabColor rgb="FF002060"/>
  </sheetPr>
  <dimension ref="A1:O73"/>
  <sheetViews>
    <sheetView showGridLines="0" zoomScaleNormal="100" workbookViewId="0">
      <pane ySplit="5" topLeftCell="A6" activePane="bottomLeft" state="frozen"/>
      <selection activeCell="B29" sqref="B29"/>
      <selection pane="bottomLeft"/>
    </sheetView>
  </sheetViews>
  <sheetFormatPr defaultColWidth="9" defaultRowHeight="14.5" x14ac:dyDescent="0.35"/>
  <cols>
    <col min="4" max="4" width="76.7265625" customWidth="1"/>
    <col min="6" max="6" width="12.26953125" customWidth="1"/>
    <col min="7" max="7" width="2.54296875" customWidth="1"/>
    <col min="8" max="8" width="11.54296875" customWidth="1"/>
  </cols>
  <sheetData>
    <row r="1" spans="1:15" x14ac:dyDescent="0.35">
      <c r="A1" s="147">
        <f ca="1">ToC!A1</f>
        <v>0</v>
      </c>
      <c r="B1" s="2" t="s">
        <v>58</v>
      </c>
      <c r="C1" s="2"/>
      <c r="D1" s="2">
        <f>'Cover sheet'!E8</f>
        <v>0</v>
      </c>
      <c r="E1" s="2"/>
      <c r="F1" s="2"/>
      <c r="G1" s="2"/>
      <c r="H1" s="2"/>
    </row>
    <row r="2" spans="1:15" x14ac:dyDescent="0.35">
      <c r="A2" s="13" cm="1">
        <f t="array" aca="1" ref="A2" ca="1">HYPERLINK(CONCATENATE("#",CELL("address",IF(SUM(A$7:A$59)=0,$A$2,INDEX(A$7:A$59,MATCH(1,A$7:A$59,0))))),SUM(A$7:A$59))</f>
        <v>0</v>
      </c>
      <c r="B2" s="2"/>
      <c r="C2" s="2"/>
      <c r="D2" s="2"/>
      <c r="E2" s="2"/>
      <c r="F2" s="2"/>
      <c r="G2" s="2"/>
      <c r="H2" s="2"/>
    </row>
    <row r="3" spans="1:15" x14ac:dyDescent="0.35">
      <c r="A3" s="111" t="str" cm="1">
        <f t="array" aca="1" ref="A3" ca="1">HYPERLINK(CONCATENATE("#",CELL("address",ToC!$A$1)),ToC!$C$1)</f>
        <v>TOC</v>
      </c>
      <c r="B3" s="111"/>
      <c r="C3" s="2"/>
      <c r="D3" s="2"/>
      <c r="E3" s="2"/>
      <c r="F3" s="2"/>
      <c r="G3" s="2"/>
      <c r="H3" s="2"/>
    </row>
    <row r="4" spans="1:15" x14ac:dyDescent="0.35">
      <c r="A4" s="2"/>
      <c r="B4" s="2"/>
      <c r="C4" s="2"/>
      <c r="D4" s="2"/>
      <c r="E4" s="2"/>
      <c r="F4" s="2"/>
      <c r="G4" s="2"/>
      <c r="H4" s="2"/>
    </row>
    <row r="5" spans="1:15" ht="29" x14ac:dyDescent="0.35">
      <c r="A5" s="2" t="s">
        <v>7</v>
      </c>
      <c r="B5" s="2"/>
      <c r="C5" s="2" t="s">
        <v>8</v>
      </c>
      <c r="D5" s="2" t="s">
        <v>9</v>
      </c>
      <c r="E5" s="2" t="s">
        <v>288</v>
      </c>
      <c r="F5" s="143" t="s">
        <v>289</v>
      </c>
      <c r="G5" s="2"/>
      <c r="H5" s="37" t="str">
        <f>'Cover sheet'!E17</f>
        <v>FY2025</v>
      </c>
    </row>
    <row r="7" spans="1:15" x14ac:dyDescent="0.35">
      <c r="D7" s="36" t="s">
        <v>290</v>
      </c>
    </row>
    <row r="8" spans="1:15" x14ac:dyDescent="0.35">
      <c r="B8" s="81" t="s">
        <v>5</v>
      </c>
      <c r="C8" s="135" t="s">
        <v>291</v>
      </c>
      <c r="D8" t="s">
        <v>292</v>
      </c>
      <c r="E8" t="s">
        <v>134</v>
      </c>
      <c r="H8" s="19">
        <f>('I&amp;E'!G102-'I&amp;E'!G100-'I&amp;E'!G96+'I&amp;E'!G145)</f>
        <v>0</v>
      </c>
    </row>
    <row r="9" spans="1:15" x14ac:dyDescent="0.35">
      <c r="B9" s="81" t="s">
        <v>5</v>
      </c>
      <c r="C9" s="135" t="s">
        <v>293</v>
      </c>
      <c r="D9" t="s">
        <v>294</v>
      </c>
      <c r="E9" t="s">
        <v>134</v>
      </c>
      <c r="H9" s="19">
        <f>SUM('I&amp;E'!G114, 'I&amp;E'!G128)</f>
        <v>0</v>
      </c>
    </row>
    <row r="10" spans="1:15" x14ac:dyDescent="0.35">
      <c r="C10" s="135"/>
    </row>
    <row r="11" spans="1:15" x14ac:dyDescent="0.35">
      <c r="B11" s="36"/>
      <c r="C11" s="135"/>
      <c r="D11" s="36" t="s">
        <v>295</v>
      </c>
      <c r="K11" s="14"/>
      <c r="L11" s="14"/>
      <c r="M11" s="14"/>
      <c r="N11" s="14"/>
      <c r="O11" s="14"/>
    </row>
    <row r="12" spans="1:15" x14ac:dyDescent="0.35">
      <c r="B12" s="84" t="s">
        <v>5</v>
      </c>
      <c r="C12" s="135" t="s">
        <v>296</v>
      </c>
      <c r="D12" t="s">
        <v>297</v>
      </c>
      <c r="E12" t="s">
        <v>134</v>
      </c>
      <c r="H12" s="19">
        <f>(('I&amp;E'!G114-'I&amp;E'!G113)+('I&amp;E'!G128-'I&amp;E'!G125)+'I&amp;E'!G146)</f>
        <v>0</v>
      </c>
    </row>
    <row r="13" spans="1:15" x14ac:dyDescent="0.35">
      <c r="B13" s="36"/>
      <c r="C13" s="135" t="s">
        <v>298</v>
      </c>
      <c r="D13" t="s">
        <v>299</v>
      </c>
      <c r="E13" t="s">
        <v>134</v>
      </c>
      <c r="H13" s="19">
        <f>BS!G28+BS!G27</f>
        <v>0</v>
      </c>
    </row>
    <row r="14" spans="1:15" x14ac:dyDescent="0.35">
      <c r="B14" s="84" t="s">
        <v>5</v>
      </c>
      <c r="C14" s="135" t="s">
        <v>300</v>
      </c>
      <c r="D14" t="s">
        <v>301</v>
      </c>
      <c r="E14" t="s">
        <v>302</v>
      </c>
      <c r="F14" s="144" t="s">
        <v>1919</v>
      </c>
      <c r="H14" s="19">
        <f>IF(OR(H13&lt;0, H12=0), 0, H13/H12)*Parameters!$E$33</f>
        <v>0</v>
      </c>
    </row>
    <row r="15" spans="1:15" x14ac:dyDescent="0.35">
      <c r="C15" s="135"/>
    </row>
    <row r="16" spans="1:15" x14ac:dyDescent="0.35">
      <c r="B16" s="81" t="s">
        <v>5</v>
      </c>
      <c r="C16" s="135" t="s">
        <v>303</v>
      </c>
      <c r="D16" t="s">
        <v>304</v>
      </c>
      <c r="E16" t="s">
        <v>305</v>
      </c>
      <c r="H16" s="38">
        <f>IFERROR(BS!G30/BS!G51,0)</f>
        <v>0</v>
      </c>
    </row>
    <row r="17" spans="2:9" x14ac:dyDescent="0.35">
      <c r="B17" s="81" t="s">
        <v>5</v>
      </c>
      <c r="C17" s="135" t="s">
        <v>306</v>
      </c>
      <c r="D17" t="s">
        <v>307</v>
      </c>
      <c r="E17" t="s">
        <v>305</v>
      </c>
      <c r="F17" s="144" t="s">
        <v>308</v>
      </c>
      <c r="H17" s="39">
        <f>IFERROR((BS!G30-BS!G29-BS!G20)/(BS!G51-BS!G47-BS!G38), 0)</f>
        <v>0</v>
      </c>
    </row>
    <row r="18" spans="2:9" x14ac:dyDescent="0.35">
      <c r="B18" s="81" t="s">
        <v>5</v>
      </c>
      <c r="C18" s="135" t="s">
        <v>309</v>
      </c>
      <c r="D18" t="s">
        <v>310</v>
      </c>
      <c r="E18" t="s">
        <v>134</v>
      </c>
      <c r="H18" s="40">
        <f>SUM('I&amp;E'!G35, 'I&amp;E'!G41, 'I&amp;E'!G44, 'I&amp;E'!G50,'I&amp;E'!G58, 'I&amp;E'!G63:G68, 'I&amp;E'!G70:G72, 'I&amp;E'!G85, 'I&amp;E'!G88)</f>
        <v>0</v>
      </c>
    </row>
    <row r="19" spans="2:9" x14ac:dyDescent="0.35">
      <c r="B19" s="81" t="s">
        <v>5</v>
      </c>
      <c r="C19" s="135" t="s">
        <v>311</v>
      </c>
      <c r="D19" t="s">
        <v>312</v>
      </c>
      <c r="E19" t="s">
        <v>302</v>
      </c>
      <c r="H19" s="38">
        <f>IF(H18=0, 0, BS!G22/Ratios!H18)*Parameters!$E$33</f>
        <v>0</v>
      </c>
      <c r="I19" s="68"/>
    </row>
    <row r="20" spans="2:9" x14ac:dyDescent="0.35">
      <c r="B20" s="81" t="s">
        <v>5</v>
      </c>
      <c r="C20" s="135" t="s">
        <v>313</v>
      </c>
      <c r="D20" t="s">
        <v>314</v>
      </c>
      <c r="E20" t="s">
        <v>302</v>
      </c>
      <c r="H20" s="38">
        <f>Parameters!$E$33*IF('I&amp;E'!G128=0, 0, BS!G39/'I&amp;E'!G128)</f>
        <v>0</v>
      </c>
    </row>
    <row r="21" spans="2:9" x14ac:dyDescent="0.35">
      <c r="B21" s="81"/>
      <c r="C21" s="135" t="s">
        <v>315</v>
      </c>
      <c r="D21" t="s">
        <v>316</v>
      </c>
      <c r="E21" t="s">
        <v>134</v>
      </c>
      <c r="H21" s="40">
        <f ca="1">Cashflow!G34</f>
        <v>0</v>
      </c>
    </row>
    <row r="22" spans="2:9" x14ac:dyDescent="0.35">
      <c r="B22" s="81"/>
      <c r="C22" s="135" t="s">
        <v>317</v>
      </c>
      <c r="D22" t="s">
        <v>318</v>
      </c>
      <c r="E22" t="s">
        <v>319</v>
      </c>
      <c r="H22" s="41">
        <f>IF(H$8=0, 0, H21/H8)</f>
        <v>0</v>
      </c>
    </row>
    <row r="23" spans="2:9" x14ac:dyDescent="0.35">
      <c r="C23" s="135"/>
    </row>
    <row r="24" spans="2:9" x14ac:dyDescent="0.35">
      <c r="B24" s="36"/>
      <c r="C24" s="135"/>
      <c r="D24" s="36" t="s">
        <v>320</v>
      </c>
    </row>
    <row r="25" spans="2:9" x14ac:dyDescent="0.35">
      <c r="B25" s="81" t="s">
        <v>5</v>
      </c>
      <c r="C25" s="135" t="s">
        <v>321</v>
      </c>
      <c r="D25" t="s">
        <v>322</v>
      </c>
      <c r="E25" t="s">
        <v>305</v>
      </c>
      <c r="F25" s="144" t="s">
        <v>323</v>
      </c>
      <c r="H25" s="120">
        <f ca="1">IFERROR(H21/-SUM(Cashflow!G48,Cashflow!G49,Cashflow!G51,Cashflow!G53), 0)</f>
        <v>0</v>
      </c>
    </row>
    <row r="26" spans="2:9" x14ac:dyDescent="0.35">
      <c r="B26" s="81" t="s">
        <v>5</v>
      </c>
      <c r="C26" s="135" t="s">
        <v>324</v>
      </c>
      <c r="D26" t="s">
        <v>325</v>
      </c>
      <c r="E26" t="s">
        <v>134</v>
      </c>
      <c r="H26" s="42">
        <f>(SUM(BS!G33:G36)+BS!G37+SUM(BS!G58:G60)+BS!G61)</f>
        <v>0</v>
      </c>
    </row>
    <row r="27" spans="2:9" x14ac:dyDescent="0.35">
      <c r="C27" s="135" t="s">
        <v>326</v>
      </c>
      <c r="D27" t="s">
        <v>327</v>
      </c>
      <c r="E27" t="s">
        <v>319</v>
      </c>
      <c r="H27" s="43">
        <f>IF(H8=0, 0, H26/H8)</f>
        <v>0</v>
      </c>
    </row>
    <row r="28" spans="2:9" x14ac:dyDescent="0.35">
      <c r="C28" s="135" t="s">
        <v>328</v>
      </c>
      <c r="D28" t="s">
        <v>329</v>
      </c>
      <c r="E28" t="s">
        <v>319</v>
      </c>
      <c r="H28" s="186">
        <f>IF(H8=0, 0, -(Cashflow!G48+Cashflow!G49)/Ratios!H8)</f>
        <v>0</v>
      </c>
    </row>
    <row r="29" spans="2:9" x14ac:dyDescent="0.35">
      <c r="C29" s="135"/>
    </row>
    <row r="30" spans="2:9" x14ac:dyDescent="0.35">
      <c r="B30" s="36"/>
      <c r="C30" s="135"/>
      <c r="D30" s="36" t="s">
        <v>330</v>
      </c>
    </row>
    <row r="31" spans="2:9" x14ac:dyDescent="0.35">
      <c r="C31" s="135" t="s">
        <v>331</v>
      </c>
      <c r="D31" t="s">
        <v>332</v>
      </c>
      <c r="E31" t="s">
        <v>134</v>
      </c>
      <c r="H31" s="19">
        <f>'I&amp;E'!G161</f>
        <v>0</v>
      </c>
    </row>
    <row r="32" spans="2:9" x14ac:dyDescent="0.35">
      <c r="C32" s="135" t="s">
        <v>333</v>
      </c>
      <c r="D32" t="s">
        <v>334</v>
      </c>
      <c r="E32" t="s">
        <v>319</v>
      </c>
      <c r="H32" s="44">
        <f>IF(H$8=0, 0, H31/H8)</f>
        <v>0</v>
      </c>
    </row>
    <row r="33" spans="2:8" x14ac:dyDescent="0.35">
      <c r="B33" s="81" t="s">
        <v>5</v>
      </c>
      <c r="C33" s="135" t="s">
        <v>335</v>
      </c>
      <c r="D33" t="s">
        <v>336</v>
      </c>
      <c r="E33" t="s">
        <v>319</v>
      </c>
      <c r="H33" s="44">
        <f>IFERROR('I&amp;E'!G165/Ratios!H8,0)</f>
        <v>0</v>
      </c>
    </row>
    <row r="34" spans="2:8" x14ac:dyDescent="0.35">
      <c r="B34" s="81" t="s">
        <v>5</v>
      </c>
      <c r="C34" s="135" t="s">
        <v>337</v>
      </c>
      <c r="D34" t="s">
        <v>338</v>
      </c>
      <c r="E34" t="s">
        <v>319</v>
      </c>
      <c r="H34" s="44">
        <f>IF(H8=0, 0, (BS!G78+BS!G67+BS!G68+BS!G69)/Ratios!H8)</f>
        <v>0</v>
      </c>
    </row>
    <row r="35" spans="2:8" x14ac:dyDescent="0.35">
      <c r="B35" s="81" t="s">
        <v>5</v>
      </c>
      <c r="C35" s="135" t="s">
        <v>339</v>
      </c>
      <c r="D35" t="s">
        <v>340</v>
      </c>
      <c r="E35" t="s">
        <v>134</v>
      </c>
      <c r="H35" s="19">
        <f>('I&amp;E'!G151-'I&amp;E'!G96+'I&amp;E'!G147+'I&amp;E'!G148+'I&amp;E'!G113+'I&amp;E'!G174)</f>
        <v>0</v>
      </c>
    </row>
    <row r="36" spans="2:8" x14ac:dyDescent="0.35">
      <c r="C36" s="135" t="s">
        <v>341</v>
      </c>
      <c r="D36" t="s">
        <v>342</v>
      </c>
      <c r="E36" t="s">
        <v>319</v>
      </c>
      <c r="H36" s="44">
        <f>IF(H$8=0, 0, H35/H$8)</f>
        <v>0</v>
      </c>
    </row>
    <row r="37" spans="2:8" x14ac:dyDescent="0.35">
      <c r="C37" s="135" t="s">
        <v>343</v>
      </c>
      <c r="D37" t="s">
        <v>344</v>
      </c>
      <c r="E37" t="s">
        <v>134</v>
      </c>
      <c r="H37" s="19">
        <f>'I&amp;E'!G141</f>
        <v>0</v>
      </c>
    </row>
    <row r="38" spans="2:8" x14ac:dyDescent="0.35">
      <c r="C38" s="135" t="s">
        <v>345</v>
      </c>
      <c r="D38" t="s">
        <v>346</v>
      </c>
      <c r="E38" t="s">
        <v>319</v>
      </c>
      <c r="H38" s="44">
        <f>IF(H$8=0, 0, H37/H$8)</f>
        <v>0</v>
      </c>
    </row>
    <row r="39" spans="2:8" x14ac:dyDescent="0.35">
      <c r="C39" s="135" t="s">
        <v>347</v>
      </c>
      <c r="D39" t="s">
        <v>348</v>
      </c>
      <c r="E39" t="s">
        <v>134</v>
      </c>
      <c r="H39" s="19">
        <f>'I&amp;E'!G176</f>
        <v>0</v>
      </c>
    </row>
    <row r="40" spans="2:8" x14ac:dyDescent="0.35">
      <c r="C40" s="135" t="s">
        <v>349</v>
      </c>
      <c r="D40" t="s">
        <v>350</v>
      </c>
      <c r="E40" t="s">
        <v>319</v>
      </c>
      <c r="F40" s="144" t="s">
        <v>1920</v>
      </c>
      <c r="H40" s="45">
        <f>IF(H$8=0, 0, H39/H$8)</f>
        <v>0</v>
      </c>
    </row>
    <row r="41" spans="2:8" x14ac:dyDescent="0.35">
      <c r="C41" s="135"/>
    </row>
    <row r="42" spans="2:8" x14ac:dyDescent="0.35">
      <c r="B42" s="36"/>
      <c r="C42" s="135"/>
      <c r="D42" s="36" t="s">
        <v>351</v>
      </c>
    </row>
    <row r="43" spans="2:8" x14ac:dyDescent="0.35">
      <c r="C43" s="275" t="s">
        <v>352</v>
      </c>
      <c r="D43" s="276" t="s">
        <v>353</v>
      </c>
      <c r="E43" s="276" t="s">
        <v>319</v>
      </c>
      <c r="F43" s="276"/>
      <c r="G43" s="278"/>
      <c r="H43" s="278"/>
    </row>
    <row r="44" spans="2:8" x14ac:dyDescent="0.35">
      <c r="C44" s="135" t="s">
        <v>354</v>
      </c>
      <c r="D44" t="s">
        <v>355</v>
      </c>
      <c r="E44" t="s">
        <v>319</v>
      </c>
      <c r="H44" s="44">
        <f>IF(H$8=0, 0, 'I&amp;E'!G$12/Ratios!H$8)</f>
        <v>0</v>
      </c>
    </row>
    <row r="45" spans="2:8" x14ac:dyDescent="0.35">
      <c r="C45" s="135" t="s">
        <v>356</v>
      </c>
      <c r="D45" t="s">
        <v>357</v>
      </c>
      <c r="E45" t="s">
        <v>319</v>
      </c>
      <c r="H45" s="44">
        <f>IF(H$8=0, 0, 'I&amp;E'!G22/Ratios!H$8)</f>
        <v>0</v>
      </c>
    </row>
    <row r="46" spans="2:8" x14ac:dyDescent="0.35">
      <c r="C46" s="135" t="s">
        <v>358</v>
      </c>
      <c r="D46" t="s">
        <v>359</v>
      </c>
      <c r="E46" t="s">
        <v>319</v>
      </c>
      <c r="H46" s="44">
        <f>IF(H$8=0, 0, 'I&amp;E'!G28/Ratios!H$8)</f>
        <v>0</v>
      </c>
    </row>
    <row r="47" spans="2:8" x14ac:dyDescent="0.35">
      <c r="C47" s="135" t="s">
        <v>360</v>
      </c>
      <c r="D47" t="s">
        <v>361</v>
      </c>
      <c r="E47" t="s">
        <v>319</v>
      </c>
      <c r="H47" s="44">
        <f>IF(H$8=0, 0, 'I&amp;E'!G37/Ratios!H$8)</f>
        <v>0</v>
      </c>
    </row>
    <row r="48" spans="2:8" x14ac:dyDescent="0.35">
      <c r="C48" s="135" t="s">
        <v>362</v>
      </c>
      <c r="D48" t="s">
        <v>363</v>
      </c>
      <c r="E48" t="s">
        <v>319</v>
      </c>
      <c r="H48" s="44">
        <f>IF(H$8=0, 0, 'I&amp;E'!G45/Ratios!H$8)</f>
        <v>0</v>
      </c>
    </row>
    <row r="49" spans="2:8" x14ac:dyDescent="0.35">
      <c r="C49" s="135" t="s">
        <v>364</v>
      </c>
      <c r="D49" t="s">
        <v>365</v>
      </c>
      <c r="E49" t="s">
        <v>319</v>
      </c>
      <c r="H49" s="44">
        <f>IF(H$8=0, 0, 'I&amp;E'!G52/Ratios!H$8)</f>
        <v>0</v>
      </c>
    </row>
    <row r="50" spans="2:8" x14ac:dyDescent="0.35">
      <c r="B50" s="81" t="s">
        <v>5</v>
      </c>
      <c r="C50" s="135" t="s">
        <v>366</v>
      </c>
      <c r="D50" t="s">
        <v>367</v>
      </c>
      <c r="E50" t="s">
        <v>319</v>
      </c>
      <c r="H50" s="44">
        <f>IF(H$8=0, 0, SUM('I&amp;E'!G74, 'I&amp;E'!G85, 'I&amp;E'!G90,'I&amp;E'!G59)/Ratios!H$8)</f>
        <v>0</v>
      </c>
    </row>
    <row r="51" spans="2:8" x14ac:dyDescent="0.35">
      <c r="C51" s="135"/>
    </row>
    <row r="52" spans="2:8" x14ac:dyDescent="0.35">
      <c r="B52" s="36"/>
      <c r="C52" s="135"/>
      <c r="D52" s="36" t="s">
        <v>368</v>
      </c>
    </row>
    <row r="53" spans="2:8" x14ac:dyDescent="0.35">
      <c r="B53" s="81" t="s">
        <v>5</v>
      </c>
      <c r="C53" s="135" t="s">
        <v>369</v>
      </c>
      <c r="D53" t="s">
        <v>370</v>
      </c>
      <c r="E53" t="s">
        <v>319</v>
      </c>
      <c r="H53" s="44">
        <f>IF(H$8=0, 0, SUM('I&amp;E'!G85, 'I&amp;E'!G90)/Ratios!H$8)</f>
        <v>0</v>
      </c>
    </row>
    <row r="54" spans="2:8" x14ac:dyDescent="0.35">
      <c r="C54" s="135"/>
    </row>
    <row r="55" spans="2:8" x14ac:dyDescent="0.35">
      <c r="B55" s="36"/>
      <c r="C55" s="135"/>
      <c r="D55" s="36" t="s">
        <v>371</v>
      </c>
      <c r="E55" t="s">
        <v>319</v>
      </c>
    </row>
    <row r="56" spans="2:8" x14ac:dyDescent="0.35">
      <c r="C56" s="135" t="s">
        <v>372</v>
      </c>
      <c r="D56" t="s">
        <v>373</v>
      </c>
      <c r="E56" t="s">
        <v>319</v>
      </c>
      <c r="H56" s="44">
        <f>IF(H$9=0, 0, SUM('I&amp;E'!G108, 'I&amp;E'!G119)/Ratios!H$9)</f>
        <v>0</v>
      </c>
    </row>
    <row r="57" spans="2:8" x14ac:dyDescent="0.35">
      <c r="C57" s="135" t="s">
        <v>374</v>
      </c>
      <c r="D57" t="s">
        <v>375</v>
      </c>
      <c r="E57" t="s">
        <v>319</v>
      </c>
      <c r="H57" s="44">
        <f>IF(H$8=0, 0, ('I&amp;E'!G128-'I&amp;E'!G124)/Ratios!H$8)</f>
        <v>0</v>
      </c>
    </row>
    <row r="58" spans="2:8" x14ac:dyDescent="0.35">
      <c r="C58" s="135"/>
    </row>
    <row r="59" spans="2:8" x14ac:dyDescent="0.35">
      <c r="B59" s="36"/>
      <c r="C59" s="135"/>
      <c r="D59" s="36" t="s">
        <v>376</v>
      </c>
    </row>
    <row r="60" spans="2:8" ht="29" x14ac:dyDescent="0.35">
      <c r="B60" s="81" t="s">
        <v>5</v>
      </c>
      <c r="C60" s="135" t="s">
        <v>377</v>
      </c>
      <c r="D60" s="4" t="s">
        <v>378</v>
      </c>
      <c r="E60" t="s">
        <v>319</v>
      </c>
      <c r="F60" s="270" t="s">
        <v>379</v>
      </c>
      <c r="H60" s="274">
        <f>IFERROR((SOCI!G18-'I&amp;E'!G113-'I&amp;E'!G133)/(Ratios!H8-'CFFR SOCI'!G22),0)</f>
        <v>0</v>
      </c>
    </row>
    <row r="61" spans="2:8" x14ac:dyDescent="0.35">
      <c r="C61" s="275" t="s">
        <v>380</v>
      </c>
      <c r="D61" s="276" t="s">
        <v>381</v>
      </c>
      <c r="E61" s="276" t="s">
        <v>319</v>
      </c>
      <c r="F61" s="276"/>
      <c r="G61" s="276"/>
      <c r="H61" s="277">
        <f>IFERROR(SOCI!G18/Ratios!H8, 0)</f>
        <v>0</v>
      </c>
    </row>
    <row r="62" spans="2:8" x14ac:dyDescent="0.35">
      <c r="C62" s="135"/>
    </row>
    <row r="63" spans="2:8" x14ac:dyDescent="0.35">
      <c r="C63" s="135"/>
    </row>
    <row r="64" spans="2:8" x14ac:dyDescent="0.35">
      <c r="C64" s="135"/>
    </row>
    <row r="65" spans="3:4" x14ac:dyDescent="0.35">
      <c r="C65" s="135"/>
      <c r="D65" s="31" t="s">
        <v>382</v>
      </c>
    </row>
    <row r="66" spans="3:4" x14ac:dyDescent="0.35">
      <c r="C66" s="135" t="s">
        <v>383</v>
      </c>
      <c r="D66" s="477"/>
    </row>
    <row r="67" spans="3:4" x14ac:dyDescent="0.35">
      <c r="D67" s="477"/>
    </row>
    <row r="68" spans="3:4" x14ac:dyDescent="0.35">
      <c r="D68" s="477"/>
    </row>
    <row r="69" spans="3:4" x14ac:dyDescent="0.35">
      <c r="D69" s="477"/>
    </row>
    <row r="70" spans="3:4" x14ac:dyDescent="0.35">
      <c r="D70" s="477"/>
    </row>
    <row r="71" spans="3:4" x14ac:dyDescent="0.35">
      <c r="D71" s="477"/>
    </row>
    <row r="72" spans="3:4" x14ac:dyDescent="0.35">
      <c r="D72" s="477"/>
    </row>
    <row r="73" spans="3:4" x14ac:dyDescent="0.35">
      <c r="D73" s="477"/>
    </row>
  </sheetData>
  <sheetProtection algorithmName="SHA-512" hashValue="iL271aaXAEHieAxaMPkS0iKgGVdH0XcYaVTdvIK1R1t/K7lOZXHMEPU5dSKKagV/QRYm++fwRhHLuR2PMJjCtQ==" saltValue="kB5BbvrXs1/D5OEoFFTALw==" spinCount="100000" sheet="1" objects="1" scenarios="1"/>
  <mergeCells count="1">
    <mergeCell ref="D66:D73"/>
  </mergeCells>
  <conditionalFormatting sqref="A1:A2">
    <cfRule type="cellIs" dxfId="228" priority="3" operator="equal">
      <formula>0</formula>
    </cfRule>
    <cfRule type="cellIs" dxfId="227" priority="4" operator="greaterThan">
      <formula>0</formula>
    </cfRule>
  </conditionalFormatting>
  <dataValidations count="19">
    <dataValidation allowBlank="1" showInputMessage="1" promptTitle="Creditor Days" prompt="Calculated as:_x000a_Trade payables / (other operating costs) _x000a__x000a_" sqref="B20" xr:uid="{34C66A17-D5F6-422E-B0DE-6C24400FE36D}"/>
    <dataValidation allowBlank="1" showInputMessage="1" promptTitle="Adjusted Cash Days" prompt="Calculated as:_x000a_Cash and cash equivalents / (Staff costs excl. restructuring costs and LGPS costs and contributions + other operating expenditure + interest expense)_x000a__x000a_" sqref="B14" xr:uid="{6F2DB4C6-129B-4593-9091-123A18FA9FEA}"/>
    <dataValidation allowBlank="1" showInputMessage="1" promptTitle="Income for debtor days" prompt="non-grant operating income _x000a_" sqref="B18" xr:uid="{65A0E669-1DC2-4FFC-983D-7D82A96A2D00}"/>
    <dataValidation allowBlank="1" showInputMessage="1" promptTitle="Borrowing" prompt="Calculated as:_x000a_Loans / overdrafts and finance leases due within one year _x000a_+ loans and finance leases due after one year _x000a_+ interest payable on loans/overdrafts_x000a_ _x000a_" sqref="B26" xr:uid="{6AB6B47E-F242-44D4-962D-293998F34BE7}"/>
    <dataValidation allowBlank="1" showInputMessage="1" promptTitle="Debtor Days" prompt="Calculated as:_x000a_(Trade Receivables / non-grant operating income) * 365 days_x000a__x000a_" sqref="B19" xr:uid="{28BBE44B-CBBB-40F5-A583-F1D736D4E37A}"/>
    <dataValidation allowBlank="1" showInputMessage="1" promptTitle="Expenditure for Adj. Cash Days" prompt="Expenditure for Adj. Cash Days includes:_x000a_&gt; Staff costs excl. restructuring less LGPS &amp; other pension costs and contributions_x000a_&gt; Other operating expenditure excl. bad debt provision costs_x000a_&gt; Interest expense on debt and finance leases_x000a__x000a_" sqref="B12" xr:uid="{51909561-9BFC-41D2-9585-DABF4575C63D}"/>
    <dataValidation allowBlank="1" showInputMessage="1" promptTitle="Staff costs as % of income" prompt="Calculated as:_x000a_(Total staff costs excl. restructuring less pension costs and contributions) / (Adjusted income - subcontracted out income)_x000a__x000a_" sqref="B60" xr:uid="{690D3595-7829-4A68-8AF0-61DE6E072C97}"/>
    <dataValidation allowBlank="1" showInputMessage="1" promptTitle="Adjusted cash days" prompt="Cash and cash equivalents/ (Staff costs excl. restructuring excluding LGPS costs and contributions + Other operating expenditure + interest expense)_x000a__x000a_" sqref="B15" xr:uid="{2D3C8639-AF82-43DE-AA82-A44B74D73941}"/>
    <dataValidation allowBlank="1" showInputMessage="1" promptTitle="Adj. Operating Surplus/Deficit" prompt="Surplus/Deficit after ITDA_x000a_less: _x000a_&gt;Emergency funding_x000a_&gt;Net pension interest income (if any)_x000a_plus: _x000a_&gt;Other FRS 102 (26) adj_x000a_&gt;Taxation_x000a_&gt;RF related expenditure_x000a_&gt;Net pension interest cost (if any)_x000a__x000a__x000a__x000a__x000a_" sqref="B35" xr:uid="{923079DB-D2D9-4384-A2A5-3B257C605303}"/>
    <dataValidation allowBlank="1" showInputMessage="1" promptTitle="Dependency on other income" prompt="Calculated as:_x000a_(Commercial Income + Other Income) / Adjusted income _x000a__x000a_" sqref="B53" xr:uid="{181368C3-D43D-431C-9F57-826C0479F896}"/>
    <dataValidation allowBlank="1" showInputMessage="1" promptTitle="Dependency on other income" prompt="Calculated as:_x000a_(Other Income from education and training + Total commercial Income + Total Other Income) / Adjusted income _x000a__x000a_Does not include income from emergency funding, gifts and donations_x000a__x000a_" sqref="B50" xr:uid="{38CD32EB-4FC3-45A0-90BF-E6CFD3EFA0F0}"/>
    <dataValidation allowBlank="1" showInputMessage="1" promptTitle="Available Reserves %" prompt="Calculated as:_x000a_(Income &amp; Expenditure reserve + pension reserves) / Adjusted income _x000a__x000a_" sqref="B34" xr:uid="{7D679F6A-10B2-400C-99BA-25C9E5414611}"/>
    <dataValidation allowBlank="1" showInputMessage="1" promptTitle="Comprehensive Income %" prompt="Calculated as:_x000a_(Total Surplus/Deficit - transfer to/from revaluation reserve - Actuarial gain/loss ) / Adjusted income _x000a__x000a_" sqref="B33" xr:uid="{9C9B4949-BDDF-4597-9380-954D3FACCA5F}"/>
    <dataValidation allowBlank="1" showInputMessage="1" promptTitle="Debt Service Cover Ratio (DSCR)" prompt="Calculated as:_x000a_Net operating cash flow/ (total interest paid + interest element of finance leases + repayment of amount borrowed + capital element of finance leases) _x000a__x000a_DSCR does not take into account early loan repayments and related fees._x000a__x000a_" sqref="B25" xr:uid="{2F8B91E7-CEAE-46C4-9227-349E7622F7FE}"/>
    <dataValidation allowBlank="1" showInputMessage="1" promptTitle="Creditor Days" prompt="Trade payables/(other operating costs) _x000a__x000a__x000a_" sqref="B21:B22" xr:uid="{76572E14-3267-4AAE-AED4-97571BFE7E55}"/>
    <dataValidation allowBlank="1" showInputMessage="1" promptTitle="Adjusted Current Ratio" prompt="Calculated as:_x000a_(Current assets - restricted cash - assets held for sale) / (current liabilities - capital grants due in less than one year - accrual for holiday &amp; sabbatical pay) _x000a__x000a_" sqref="B17" xr:uid="{7F369CA0-7F8D-423D-B960-810D16A6F6FA}"/>
    <dataValidation allowBlank="1" showInputMessage="1" promptTitle="Current Ratio" prompt="Calculated as:_x000a_current assets / creditors due within 1 year_x000a__x000a_" sqref="B16" xr:uid="{2BA14A6B-F505-48D2-A069-205405B8DFF5}"/>
    <dataValidation allowBlank="1" showInputMessage="1" promptTitle="Adjusted Expenditure" prompt="Total Expenditure excl. bursary costs _x000a__x000a_" sqref="B9" xr:uid="{517F6D1E-3FFB-44E3-8948-F154894D119B}"/>
    <dataValidation allowBlank="1" showInputMessage="1" promptTitle="Adjusted Income" prompt="Total Operating Income _x000a_less:_x000a_&gt;emergency funding _x000a_&gt;non cash receipts (gifts) &amp; donations of fixed assets_x000a_plus:_x000a_&gt; interest and investment income_x000a__x000a__x000a__x000a_" sqref="B8" xr:uid="{0A6E0537-D4C2-432E-801F-6C891206E8A0}"/>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4AFCD-806E-4C75-B849-B31B6CF756B2}">
  <sheetPr codeName="Sheet6">
    <tabColor rgb="FF002060"/>
  </sheetPr>
  <dimension ref="A1:T36"/>
  <sheetViews>
    <sheetView showGridLines="0" zoomScaleNormal="100" workbookViewId="0">
      <pane ySplit="5" topLeftCell="A6" activePane="bottomLeft" state="frozen"/>
      <selection activeCell="B29" sqref="B29"/>
      <selection pane="bottomLeft"/>
    </sheetView>
  </sheetViews>
  <sheetFormatPr defaultColWidth="9" defaultRowHeight="14.5" x14ac:dyDescent="0.35"/>
  <cols>
    <col min="1" max="1" width="9" style="14" customWidth="1"/>
    <col min="2" max="2" width="9" style="14"/>
    <col min="3" max="3" width="9" style="47"/>
    <col min="4" max="4" width="56.1796875" style="14" customWidth="1"/>
    <col min="5" max="5" width="6.453125" style="14" customWidth="1"/>
    <col min="6" max="6" width="23.26953125" customWidth="1"/>
    <col min="7" max="7" width="24.81640625" style="14" customWidth="1"/>
    <col min="8" max="8" width="10.26953125" style="14" customWidth="1"/>
    <col min="9" max="9" width="3.81640625" style="14" customWidth="1"/>
    <col min="10" max="12" width="9" style="14"/>
    <col min="13" max="13" width="9.453125" style="14" customWidth="1"/>
    <col min="14" max="14" width="9" style="14"/>
    <col min="15" max="15" width="22.453125" style="14" customWidth="1"/>
    <col min="16" max="16384" width="9" style="14"/>
  </cols>
  <sheetData>
    <row r="1" spans="1:20" x14ac:dyDescent="0.35">
      <c r="A1" s="147">
        <f ca="1">ToC!A1</f>
        <v>0</v>
      </c>
      <c r="B1" s="2" t="s">
        <v>384</v>
      </c>
      <c r="C1" s="2"/>
      <c r="D1" s="2">
        <f>'Cover sheet'!E8</f>
        <v>0</v>
      </c>
      <c r="E1" s="2"/>
      <c r="F1" s="2"/>
      <c r="G1" s="2"/>
      <c r="H1" s="14" t="s">
        <v>3</v>
      </c>
      <c r="I1" s="2"/>
      <c r="J1" s="2"/>
      <c r="K1" s="2"/>
      <c r="L1" s="2"/>
      <c r="M1" s="2"/>
      <c r="N1" s="2"/>
      <c r="O1" s="2"/>
    </row>
    <row r="2" spans="1:20" x14ac:dyDescent="0.35">
      <c r="A2" s="72" cm="1">
        <f t="array" aca="1" ref="A2" ca="1">HYPERLINK(CONCATENATE("#",CELL("address",IF(SUM(A$6:A$164)=0,$A$2,INDEX(A$6:A$164,MATCH(1,A$6:A$164,0))))),SUM(A$6:A$164))</f>
        <v>0</v>
      </c>
      <c r="B2" s="2"/>
      <c r="C2" s="2"/>
      <c r="D2" s="2"/>
      <c r="E2" s="2"/>
      <c r="F2" s="2"/>
      <c r="G2" s="2"/>
      <c r="H2" s="81" t="s">
        <v>5</v>
      </c>
      <c r="I2" s="2"/>
      <c r="J2" s="2"/>
      <c r="K2" s="2"/>
      <c r="L2" s="2"/>
      <c r="M2" s="2"/>
      <c r="N2" s="2"/>
      <c r="O2" s="2"/>
    </row>
    <row r="3" spans="1:20" x14ac:dyDescent="0.35">
      <c r="A3" s="111" t="str" cm="1">
        <f t="array" aca="1" ref="A3" ca="1">HYPERLINK(CONCATENATE("#",CELL("address",ToC!$A$1)),ToC!$C$1)</f>
        <v>TOC</v>
      </c>
      <c r="B3" s="111"/>
      <c r="C3" s="2"/>
      <c r="D3" s="2"/>
      <c r="E3" s="2"/>
      <c r="F3" s="2"/>
      <c r="G3" s="2"/>
      <c r="H3" s="301" cm="1">
        <f t="array" aca="1" ref="H3" ca="1">HYPERLINK(CONCATENATE("#",CELL("address",IF(SUM(H$7:H$175)=0,$H$3,INDEX(H$7:H$175,MATCH(1,H$7:H$175,0))))),SUM(H$7:H$175))</f>
        <v>0</v>
      </c>
      <c r="I3" s="2"/>
      <c r="J3" s="2"/>
      <c r="K3" s="2"/>
      <c r="L3" s="2"/>
      <c r="M3" s="2"/>
      <c r="N3" s="2"/>
      <c r="O3" s="2"/>
    </row>
    <row r="4" spans="1:20" x14ac:dyDescent="0.35">
      <c r="A4" s="2"/>
      <c r="B4" s="2"/>
      <c r="C4" s="2"/>
      <c r="D4" s="2"/>
      <c r="E4" s="2"/>
      <c r="F4" s="2"/>
      <c r="G4" s="2"/>
      <c r="H4" s="2"/>
      <c r="I4" s="2"/>
      <c r="J4" s="2"/>
      <c r="K4" s="2"/>
      <c r="L4" s="2"/>
      <c r="M4" s="2"/>
      <c r="N4" s="2"/>
      <c r="O4" s="2"/>
    </row>
    <row r="5" spans="1:20" x14ac:dyDescent="0.35">
      <c r="A5" s="2" t="s">
        <v>7</v>
      </c>
      <c r="B5" s="2"/>
      <c r="C5" s="2" t="s">
        <v>8</v>
      </c>
      <c r="D5" s="2" t="s">
        <v>9</v>
      </c>
      <c r="E5" s="2" t="s">
        <v>288</v>
      </c>
      <c r="F5" s="2"/>
      <c r="G5" s="37" t="str">
        <f>'Cover sheet'!E17</f>
        <v>FY2025</v>
      </c>
      <c r="H5" s="37"/>
      <c r="I5" s="2"/>
      <c r="J5" s="482" t="s">
        <v>385</v>
      </c>
      <c r="K5" s="482"/>
      <c r="L5" s="2"/>
      <c r="M5" s="2"/>
      <c r="N5" s="2"/>
      <c r="O5" s="2"/>
    </row>
    <row r="6" spans="1:20" x14ac:dyDescent="0.35">
      <c r="A6" s="5"/>
      <c r="B6" s="5"/>
      <c r="C6" s="5"/>
      <c r="D6" s="5" t="s">
        <v>386</v>
      </c>
      <c r="E6" s="5"/>
      <c r="F6" s="5"/>
      <c r="G6" s="5"/>
      <c r="K6"/>
      <c r="L6"/>
      <c r="M6"/>
      <c r="N6"/>
      <c r="O6"/>
      <c r="T6" s="15"/>
    </row>
    <row r="7" spans="1:20" x14ac:dyDescent="0.35">
      <c r="J7" s="36" t="s">
        <v>387</v>
      </c>
    </row>
    <row r="9" spans="1:20" ht="44.25" customHeight="1" x14ac:dyDescent="0.35">
      <c r="C9" s="128" t="s">
        <v>306</v>
      </c>
      <c r="D9" s="53" t="s">
        <v>307</v>
      </c>
      <c r="E9" s="54" t="s">
        <v>305</v>
      </c>
      <c r="G9" s="55">
        <f>Ratios!H17</f>
        <v>0</v>
      </c>
      <c r="J9" s="48" t="s">
        <v>388</v>
      </c>
      <c r="K9" s="478" t="s">
        <v>390</v>
      </c>
      <c r="L9" s="478" t="s">
        <v>307</v>
      </c>
      <c r="M9" s="478" t="s">
        <v>391</v>
      </c>
      <c r="N9" s="48" t="s">
        <v>388</v>
      </c>
      <c r="O9" s="48" t="s">
        <v>389</v>
      </c>
    </row>
    <row r="10" spans="1:20" x14ac:dyDescent="0.35">
      <c r="C10" s="128" t="s">
        <v>349</v>
      </c>
      <c r="D10" s="53" t="s">
        <v>350</v>
      </c>
      <c r="E10" s="54" t="s">
        <v>319</v>
      </c>
      <c r="G10" s="43">
        <f>Ratios!H40</f>
        <v>0</v>
      </c>
      <c r="J10" s="49"/>
      <c r="K10" s="479"/>
      <c r="L10" s="479"/>
      <c r="M10" s="479"/>
      <c r="N10" s="49"/>
      <c r="O10" s="49"/>
    </row>
    <row r="11" spans="1:20" x14ac:dyDescent="0.35">
      <c r="C11" s="128" t="s">
        <v>326</v>
      </c>
      <c r="D11" s="53" t="s">
        <v>327</v>
      </c>
      <c r="E11" s="54" t="s">
        <v>319</v>
      </c>
      <c r="G11" s="43">
        <f>Ratios!H27</f>
        <v>0</v>
      </c>
      <c r="J11" s="50">
        <v>100</v>
      </c>
      <c r="K11" s="51" t="s">
        <v>392</v>
      </c>
      <c r="L11" s="51" t="s">
        <v>393</v>
      </c>
      <c r="M11" s="51">
        <v>0</v>
      </c>
      <c r="N11" s="50">
        <v>100</v>
      </c>
      <c r="O11" s="52"/>
    </row>
    <row r="12" spans="1:20" x14ac:dyDescent="0.35">
      <c r="C12" s="128"/>
      <c r="D12" s="24"/>
      <c r="G12" s="58"/>
      <c r="J12" s="50">
        <v>90</v>
      </c>
      <c r="K12" s="51" t="s">
        <v>396</v>
      </c>
      <c r="L12" s="51" t="s">
        <v>397</v>
      </c>
      <c r="M12" s="51" t="s">
        <v>398</v>
      </c>
      <c r="N12" s="50">
        <v>90</v>
      </c>
      <c r="O12" s="56"/>
    </row>
    <row r="13" spans="1:20" x14ac:dyDescent="0.35">
      <c r="C13" s="128"/>
      <c r="D13" s="59" t="s">
        <v>401</v>
      </c>
      <c r="G13" s="58"/>
      <c r="J13" s="50">
        <v>80</v>
      </c>
      <c r="K13" s="51" t="s">
        <v>402</v>
      </c>
      <c r="L13" s="51" t="s">
        <v>403</v>
      </c>
      <c r="M13" s="51" t="s">
        <v>404</v>
      </c>
      <c r="N13" s="50">
        <v>80</v>
      </c>
      <c r="O13" s="57"/>
    </row>
    <row r="14" spans="1:20" x14ac:dyDescent="0.35">
      <c r="C14" s="128" t="s">
        <v>407</v>
      </c>
      <c r="D14" s="53" t="s">
        <v>408</v>
      </c>
      <c r="E14" s="54" t="s">
        <v>409</v>
      </c>
      <c r="G14" s="60">
        <f>IF(OR(G9&lt;0,SUM(G9:G11)=0),0,VLOOKUP(G9,Parameters!$C$57:$E$67,Parameters!$E56))</f>
        <v>0</v>
      </c>
      <c r="J14" s="50">
        <v>70</v>
      </c>
      <c r="K14" s="51" t="s">
        <v>410</v>
      </c>
      <c r="L14" s="51" t="s">
        <v>411</v>
      </c>
      <c r="M14" s="51" t="s">
        <v>412</v>
      </c>
      <c r="N14" s="50">
        <v>70</v>
      </c>
      <c r="O14" s="56"/>
    </row>
    <row r="15" spans="1:20" x14ac:dyDescent="0.35">
      <c r="C15" s="128" t="s">
        <v>414</v>
      </c>
      <c r="D15" s="53" t="s">
        <v>415</v>
      </c>
      <c r="E15" s="54" t="s">
        <v>409</v>
      </c>
      <c r="G15" s="60">
        <f>IF(OR(G10&lt;0, SUM(G$9:G$11)=0), 0, VLOOKUP(G10, Parameters!$C72:$E82, Parameters!$E71))</f>
        <v>0</v>
      </c>
      <c r="J15" s="50">
        <v>60</v>
      </c>
      <c r="K15" s="51" t="s">
        <v>416</v>
      </c>
      <c r="L15" s="51" t="s">
        <v>417</v>
      </c>
      <c r="M15" s="51" t="s">
        <v>418</v>
      </c>
      <c r="N15" s="50">
        <v>60</v>
      </c>
      <c r="O15" s="57"/>
    </row>
    <row r="16" spans="1:20" x14ac:dyDescent="0.35">
      <c r="C16" s="128" t="s">
        <v>421</v>
      </c>
      <c r="D16" s="53" t="s">
        <v>422</v>
      </c>
      <c r="E16" s="54" t="s">
        <v>409</v>
      </c>
      <c r="G16" s="60">
        <f>IF(SUM(G$9:G$11)=0, 0, VLOOKUP(G11, Parameters!$B$87:$E$98, Parameters!$E$86))</f>
        <v>0</v>
      </c>
      <c r="J16" s="50">
        <v>50</v>
      </c>
      <c r="K16" s="51" t="s">
        <v>395</v>
      </c>
      <c r="L16" s="51" t="s">
        <v>423</v>
      </c>
      <c r="M16" s="51" t="s">
        <v>424</v>
      </c>
      <c r="N16" s="50">
        <v>50</v>
      </c>
      <c r="O16" s="56"/>
    </row>
    <row r="17" spans="1:15" x14ac:dyDescent="0.35">
      <c r="C17" s="128"/>
      <c r="D17" s="24"/>
      <c r="G17" s="58"/>
      <c r="J17" s="50">
        <v>40</v>
      </c>
      <c r="K17" s="51" t="s">
        <v>406</v>
      </c>
      <c r="L17" s="51" t="s">
        <v>427</v>
      </c>
      <c r="M17" s="51" t="s">
        <v>428</v>
      </c>
      <c r="N17" s="50">
        <v>40</v>
      </c>
      <c r="O17" s="57"/>
    </row>
    <row r="18" spans="1:15" x14ac:dyDescent="0.35">
      <c r="C18" s="128" t="s">
        <v>432</v>
      </c>
      <c r="D18" s="59" t="s">
        <v>433</v>
      </c>
      <c r="E18" s="54" t="s">
        <v>409</v>
      </c>
      <c r="G18" s="60">
        <f>SUM(G14:G16)</f>
        <v>0</v>
      </c>
      <c r="J18" s="50">
        <v>30</v>
      </c>
      <c r="K18" s="51" t="s">
        <v>420</v>
      </c>
      <c r="L18" s="51" t="s">
        <v>434</v>
      </c>
      <c r="M18" s="51" t="s">
        <v>435</v>
      </c>
      <c r="N18" s="50">
        <v>30</v>
      </c>
      <c r="O18" s="56"/>
    </row>
    <row r="19" spans="1:15" x14ac:dyDescent="0.35">
      <c r="C19" s="128"/>
      <c r="D19" s="24"/>
      <c r="G19" s="58"/>
      <c r="J19" s="50">
        <v>20</v>
      </c>
      <c r="K19" s="51" t="s">
        <v>431</v>
      </c>
      <c r="L19" s="51" t="s">
        <v>437</v>
      </c>
      <c r="M19" s="51" t="s">
        <v>438</v>
      </c>
      <c r="N19" s="50">
        <v>20</v>
      </c>
      <c r="O19" s="56"/>
    </row>
    <row r="20" spans="1:15" ht="14.25" customHeight="1" x14ac:dyDescent="0.35">
      <c r="C20" s="128"/>
      <c r="D20" s="59" t="s">
        <v>440</v>
      </c>
      <c r="J20" s="50">
        <v>10</v>
      </c>
      <c r="K20" s="51" t="s">
        <v>439</v>
      </c>
      <c r="L20" s="51" t="s">
        <v>441</v>
      </c>
      <c r="M20" s="51" t="s">
        <v>442</v>
      </c>
      <c r="N20" s="50">
        <v>10</v>
      </c>
      <c r="O20" s="56"/>
    </row>
    <row r="21" spans="1:15" ht="26.25" customHeight="1" x14ac:dyDescent="0.35">
      <c r="C21" s="128" t="s">
        <v>444</v>
      </c>
      <c r="D21" s="418" t="s">
        <v>1887</v>
      </c>
      <c r="E21" s="63"/>
      <c r="G21" s="304" t="str">
        <f>IF('I&amp;E'!$G$93&gt;0,"Yes","No")</f>
        <v>No</v>
      </c>
      <c r="J21" s="50">
        <v>0</v>
      </c>
      <c r="K21" s="51" t="s">
        <v>445</v>
      </c>
      <c r="L21" s="51" t="s">
        <v>446</v>
      </c>
      <c r="M21" s="51" t="s">
        <v>447</v>
      </c>
      <c r="N21" s="50">
        <v>0</v>
      </c>
      <c r="O21" s="57"/>
    </row>
    <row r="22" spans="1:15" ht="29" x14ac:dyDescent="0.35">
      <c r="A22" s="416">
        <f>IF(ISBLANK($G$22),1,0)</f>
        <v>0</v>
      </c>
      <c r="C22" s="128" t="s">
        <v>1888</v>
      </c>
      <c r="D22" s="418" t="s">
        <v>1896</v>
      </c>
      <c r="E22" s="63"/>
      <c r="F22" s="36" t="str">
        <f>IF(H22=1,"Option must be selected!","")</f>
        <v/>
      </c>
      <c r="G22" s="417" t="s">
        <v>996</v>
      </c>
      <c r="H22" s="117">
        <f>IF(ISBLANK($G$22),1,0)</f>
        <v>0</v>
      </c>
    </row>
    <row r="23" spans="1:15" ht="14.25" customHeight="1" x14ac:dyDescent="0.35">
      <c r="C23" s="128" t="s">
        <v>451</v>
      </c>
      <c r="D23" s="62" t="s">
        <v>452</v>
      </c>
      <c r="E23" s="63"/>
      <c r="G23" s="304">
        <f>IF(G15=0, 1, 0)</f>
        <v>1</v>
      </c>
      <c r="J23" s="110" t="s">
        <v>389</v>
      </c>
      <c r="K23" s="110"/>
      <c r="L23" s="110"/>
      <c r="M23" s="61" t="s">
        <v>455</v>
      </c>
    </row>
    <row r="24" spans="1:15" x14ac:dyDescent="0.35">
      <c r="C24" s="128" t="s">
        <v>453</v>
      </c>
      <c r="D24" s="62" t="s">
        <v>454</v>
      </c>
      <c r="E24" s="63"/>
      <c r="G24" s="303" t="str">
        <f>IF(G21="Yes",$J$24,IF(G22="Yes",$J$24,
IF(SUM(G9:G11)=0,$J$24,
IF(G18&lt;=$M$24,$J$24,
IF(G18&lt;=$M$25,$J$25,
IF(G15=0,$J$25,
IF(G18&lt;=$M$26,$J$26,$J$27)))))))</f>
        <v>Inadequate</v>
      </c>
      <c r="J24" s="187" t="s">
        <v>456</v>
      </c>
      <c r="K24" s="188"/>
      <c r="L24" s="189"/>
      <c r="M24" s="190">
        <v>110</v>
      </c>
    </row>
    <row r="25" spans="1:15" ht="14.25" customHeight="1" x14ac:dyDescent="0.35">
      <c r="C25" s="128"/>
      <c r="D25" s="24"/>
      <c r="J25" s="191" t="s">
        <v>459</v>
      </c>
      <c r="K25" s="192"/>
      <c r="L25" s="193"/>
      <c r="M25" s="190">
        <v>170</v>
      </c>
    </row>
    <row r="26" spans="1:15" x14ac:dyDescent="0.35">
      <c r="C26" s="128" t="s">
        <v>457</v>
      </c>
      <c r="D26" s="64" t="s">
        <v>458</v>
      </c>
      <c r="E26" s="65"/>
      <c r="F26" s="302" t="str">
        <f>IF(G26=0,"MUST NOT BE BLANK","")</f>
        <v/>
      </c>
      <c r="G26" s="114" t="str">
        <f>G24</f>
        <v>Inadequate</v>
      </c>
      <c r="H26" s="117">
        <f>IF(G26=0,1,0)</f>
        <v>0</v>
      </c>
      <c r="J26" s="194" t="s">
        <v>462</v>
      </c>
      <c r="K26" s="195"/>
      <c r="L26" s="196"/>
      <c r="M26" s="190">
        <v>230</v>
      </c>
    </row>
    <row r="27" spans="1:15" x14ac:dyDescent="0.35">
      <c r="C27" s="128" t="s">
        <v>460</v>
      </c>
      <c r="D27" s="483" t="s">
        <v>461</v>
      </c>
      <c r="E27" s="484"/>
      <c r="F27" s="480" t="str">
        <f>IF(H28=1,"Narrative must be provided for change to auto grade","")</f>
        <v/>
      </c>
      <c r="G27" s="481"/>
      <c r="H27" s="6"/>
      <c r="J27" s="197" t="s">
        <v>463</v>
      </c>
      <c r="K27" s="198"/>
      <c r="L27" s="199"/>
      <c r="M27" s="190">
        <v>300</v>
      </c>
      <c r="N27"/>
    </row>
    <row r="28" spans="1:15" x14ac:dyDescent="0.35">
      <c r="C28" s="128"/>
      <c r="D28" s="485"/>
      <c r="E28" s="486"/>
      <c r="F28" s="486"/>
      <c r="G28" s="487"/>
      <c r="H28" s="117">
        <f>IF(AND(D28=0,G26&lt;&gt;G24,SUM(G9:G11)&lt;&gt;0),1,0)</f>
        <v>0</v>
      </c>
    </row>
    <row r="29" spans="1:15" x14ac:dyDescent="0.35">
      <c r="C29" s="128"/>
      <c r="D29" s="488"/>
      <c r="E29" s="477"/>
      <c r="F29" s="477"/>
      <c r="G29" s="489"/>
    </row>
    <row r="30" spans="1:15" x14ac:dyDescent="0.35">
      <c r="C30" s="128"/>
      <c r="D30" s="488"/>
      <c r="E30" s="477"/>
      <c r="F30" s="477"/>
      <c r="G30" s="489"/>
    </row>
    <row r="31" spans="1:15" x14ac:dyDescent="0.35">
      <c r="C31" s="128"/>
      <c r="D31" s="488"/>
      <c r="E31" s="477"/>
      <c r="F31" s="477"/>
      <c r="G31" s="489"/>
    </row>
    <row r="32" spans="1:15" x14ac:dyDescent="0.35">
      <c r="C32" s="128"/>
      <c r="D32" s="488"/>
      <c r="E32" s="477"/>
      <c r="F32" s="477"/>
      <c r="G32" s="489"/>
    </row>
    <row r="33" spans="3:8" x14ac:dyDescent="0.35">
      <c r="C33" s="128"/>
      <c r="D33" s="488"/>
      <c r="E33" s="477"/>
      <c r="F33" s="477"/>
      <c r="G33" s="489"/>
    </row>
    <row r="34" spans="3:8" x14ac:dyDescent="0.35">
      <c r="C34" s="128"/>
      <c r="D34" s="488"/>
      <c r="E34" s="477"/>
      <c r="F34" s="477"/>
      <c r="G34" s="489"/>
    </row>
    <row r="35" spans="3:8" x14ac:dyDescent="0.35">
      <c r="C35" s="128"/>
      <c r="D35" s="490"/>
      <c r="E35" s="491"/>
      <c r="F35" s="491"/>
      <c r="G35" s="492"/>
    </row>
    <row r="36" spans="3:8" x14ac:dyDescent="0.35">
      <c r="C36" s="128"/>
      <c r="D36" s="24"/>
      <c r="H36" s="6"/>
    </row>
  </sheetData>
  <sheetProtection algorithmName="SHA-512" hashValue="nvF2geWU2b375IO8P3ZNjRKckuE+e2VtCZpNn1W1EFwPC42qbQJSzPoWdwjTnw/hhKvRDIYayyexGN6k9qZL5w==" saltValue="bE7PoWaiejPQ1HUjHYqTqQ==" spinCount="100000" sheet="1" objects="1" scenarios="1"/>
  <mergeCells count="7">
    <mergeCell ref="M9:M10"/>
    <mergeCell ref="F27:G27"/>
    <mergeCell ref="J5:K5"/>
    <mergeCell ref="D27:E27"/>
    <mergeCell ref="D28:G35"/>
    <mergeCell ref="K9:K10"/>
    <mergeCell ref="L9:L10"/>
  </mergeCells>
  <phoneticPr fontId="12" type="noConversion"/>
  <conditionalFormatting sqref="A1:A2">
    <cfRule type="cellIs" dxfId="226" priority="1" operator="equal">
      <formula>0</formula>
    </cfRule>
    <cfRule type="cellIs" dxfId="225" priority="2" operator="greaterThan">
      <formula>0</formula>
    </cfRule>
  </conditionalFormatting>
  <conditionalFormatting sqref="A22">
    <cfRule type="cellIs" dxfId="224" priority="3" operator="greaterThan">
      <formula>0</formula>
    </cfRule>
    <cfRule type="cellIs" dxfId="223" priority="4" operator="equal">
      <formula>0</formula>
    </cfRule>
  </conditionalFormatting>
  <conditionalFormatting sqref="G24">
    <cfRule type="expression" dxfId="222" priority="12">
      <formula>SUM(G9:G11)=0</formula>
    </cfRule>
  </conditionalFormatting>
  <conditionalFormatting sqref="G26">
    <cfRule type="expression" dxfId="221" priority="11">
      <formula>SUM(G9:G11)=0</formula>
    </cfRule>
  </conditionalFormatting>
  <conditionalFormatting sqref="H3">
    <cfRule type="cellIs" dxfId="220" priority="15" operator="greaterThan">
      <formula>0</formula>
    </cfRule>
    <cfRule type="cellIs" dxfId="219" priority="16" operator="equal">
      <formula>0</formula>
    </cfRule>
  </conditionalFormatting>
  <conditionalFormatting sqref="H22">
    <cfRule type="cellIs" dxfId="218" priority="5" operator="greaterThan">
      <formula>0</formula>
    </cfRule>
    <cfRule type="cellIs" dxfId="217" priority="6" operator="equal">
      <formula>0</formula>
    </cfRule>
  </conditionalFormatting>
  <conditionalFormatting sqref="H26">
    <cfRule type="cellIs" dxfId="216" priority="13" operator="greaterThan">
      <formula>0</formula>
    </cfRule>
    <cfRule type="cellIs" dxfId="215" priority="14" operator="equal">
      <formula>0</formula>
    </cfRule>
  </conditionalFormatting>
  <conditionalFormatting sqref="H28">
    <cfRule type="cellIs" dxfId="214" priority="7" operator="greaterThan">
      <formula>0</formula>
    </cfRule>
    <cfRule type="cellIs" dxfId="213" priority="8" operator="equal">
      <formula>0</formula>
    </cfRule>
  </conditionalFormatting>
  <dataValidations count="1">
    <dataValidation allowBlank="1" showInputMessage="1" promptTitle="Please Complete" prompt="Warnings will be trigerred where mandatory entries are left blank" sqref="H2" xr:uid="{F551B7B4-8D13-4628-8335-C3255C7F7E90}"/>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6D0B08E-DFC6-4D4F-8302-E1B2D966735E}">
          <x14:formula1>
            <xm:f>Parameters!$D$40:$D$43</xm:f>
          </x14:formula1>
          <xm:sqref>G26</xm:sqref>
        </x14:dataValidation>
        <x14:dataValidation type="list" showInputMessage="1" showErrorMessage="1" prompt="Enter &quot;Yes&quot; if you have received an emergency funding loan during the year" xr:uid="{12F99BC8-3BA5-4B8B-8A36-005E189057F3}">
          <x14:formula1>
            <xm:f>Parameters!$D$24:$D$25</xm:f>
          </x14:formula1>
          <xm:sqref>G22</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0D175-DD4A-40A2-B07C-7BB9E75438DE}">
  <sheetPr codeName="Sheet7">
    <tabColor rgb="FFFFFF00"/>
  </sheetPr>
  <dimension ref="A1:O186"/>
  <sheetViews>
    <sheetView showGridLines="0" zoomScaleNormal="100" workbookViewId="0">
      <pane ySplit="6" topLeftCell="A7" activePane="bottomLeft" state="frozen"/>
      <selection activeCell="B29" sqref="B29"/>
      <selection pane="bottomLeft"/>
    </sheetView>
  </sheetViews>
  <sheetFormatPr defaultColWidth="9" defaultRowHeight="14.5" x14ac:dyDescent="0.35"/>
  <cols>
    <col min="1" max="1" width="9" style="14" customWidth="1"/>
    <col min="2" max="2" width="11.1796875" style="14" customWidth="1"/>
    <col min="3" max="3" width="9" style="14" customWidth="1"/>
    <col min="4" max="4" width="49.26953125" style="14" customWidth="1"/>
    <col min="5" max="5" width="18.54296875" style="14" bestFit="1" customWidth="1"/>
    <col min="6" max="6" width="10.26953125" customWidth="1"/>
    <col min="7" max="7" width="10.1796875" style="6" customWidth="1"/>
    <col min="8" max="8" width="3.7265625" style="14" customWidth="1"/>
    <col min="9" max="9" width="24.7265625" style="14" customWidth="1"/>
    <col min="10" max="12" width="2.26953125" style="14" customWidth="1"/>
    <col min="13" max="13" width="2.26953125" customWidth="1"/>
    <col min="14" max="14" width="12.453125" customWidth="1"/>
    <col min="15" max="15" width="18.81640625" style="76" bestFit="1" customWidth="1"/>
    <col min="16" max="16384" width="9" style="14"/>
  </cols>
  <sheetData>
    <row r="1" spans="1:15" ht="29" x14ac:dyDescent="0.35">
      <c r="A1" s="147">
        <f ca="1">ToC!A1</f>
        <v>0</v>
      </c>
      <c r="B1" s="2" t="s">
        <v>464</v>
      </c>
      <c r="C1" s="2"/>
      <c r="D1" s="2">
        <f>'Cover sheet'!E8</f>
        <v>0</v>
      </c>
      <c r="E1" s="2"/>
      <c r="F1" s="2"/>
      <c r="G1" s="2"/>
      <c r="H1" s="2"/>
      <c r="I1" s="2"/>
      <c r="N1" s="200" t="s">
        <v>465</v>
      </c>
      <c r="O1" s="14" t="s">
        <v>466</v>
      </c>
    </row>
    <row r="2" spans="1:15" x14ac:dyDescent="0.35">
      <c r="A2" s="72" cm="1">
        <f t="array" aca="1" ref="A2" ca="1">HYPERLINK(CONCATENATE("#",CELL("address",IF(SUM(A$6:A$196)=0,$A$2,INDEX(A$6:A$196,MATCH(1,A$6:A$196,0))))),SUM(A$6:A$196))</f>
        <v>0</v>
      </c>
      <c r="B2" s="121" t="str">
        <f>HYPERLINK("#G10", "Income")</f>
        <v>Income</v>
      </c>
      <c r="C2" s="121" t="str">
        <f>HYPERLINK("#G149", "ITDA")</f>
        <v>ITDA</v>
      </c>
      <c r="D2" s="2"/>
      <c r="E2" s="2"/>
      <c r="F2" s="2"/>
      <c r="G2" s="2"/>
      <c r="H2" s="2"/>
      <c r="I2" s="2"/>
      <c r="N2" s="81" t="s">
        <v>5</v>
      </c>
      <c r="O2" s="81" t="s">
        <v>5</v>
      </c>
    </row>
    <row r="3" spans="1:15" x14ac:dyDescent="0.35">
      <c r="A3" s="111" t="str" cm="1">
        <f t="array" aca="1" ref="A3" ca="1">HYPERLINK(CONCATENATE("#",CELL("address",ToC!$A$1)),ToC!$C$1)</f>
        <v>TOC</v>
      </c>
      <c r="B3" s="121" t="str">
        <f>HYPERLINK("#G109", "Expenditure")</f>
        <v>Expenditure</v>
      </c>
      <c r="C3" s="121" t="str">
        <f>HYPERLINK("#G180", "EBITDA")</f>
        <v>EBITDA</v>
      </c>
      <c r="D3" s="2"/>
      <c r="E3" s="2"/>
      <c r="F3" s="2"/>
      <c r="G3" s="2"/>
      <c r="H3" s="2"/>
      <c r="I3" s="2"/>
      <c r="N3" s="117" cm="1">
        <f t="array" aca="1" ref="N3" ca="1">HYPERLINK(CONCATENATE("#",CELL("address",IF(SUM(N$7:N$200)=0,$BZ$2,INDEX(N$7:N$200,MATCH(1,N$7:N$200,0))))),SUM(N$7:N$200))</f>
        <v>0</v>
      </c>
      <c r="O3" s="14"/>
    </row>
    <row r="4" spans="1:15" x14ac:dyDescent="0.35">
      <c r="A4" s="2"/>
      <c r="B4" s="2"/>
      <c r="C4" s="2"/>
      <c r="D4" s="2"/>
      <c r="E4" s="2"/>
      <c r="F4" s="2"/>
      <c r="G4" s="37" t="str">
        <f>'Cover sheet'!E17</f>
        <v>FY2025</v>
      </c>
      <c r="H4" s="2"/>
      <c r="I4" s="2"/>
    </row>
    <row r="5" spans="1:15" x14ac:dyDescent="0.35">
      <c r="A5" s="2" t="s">
        <v>7</v>
      </c>
      <c r="B5" s="2"/>
      <c r="C5" s="2" t="s">
        <v>8</v>
      </c>
      <c r="D5" s="2" t="s">
        <v>9</v>
      </c>
      <c r="E5" s="74" t="s">
        <v>467</v>
      </c>
      <c r="F5" s="409"/>
      <c r="G5" s="410" t="s">
        <v>134</v>
      </c>
      <c r="H5" s="2"/>
      <c r="I5" s="2" t="s">
        <v>468</v>
      </c>
      <c r="N5" s="71"/>
    </row>
    <row r="6" spans="1:15" x14ac:dyDescent="0.35">
      <c r="A6" s="73"/>
      <c r="B6" s="73" t="s">
        <v>469</v>
      </c>
    </row>
    <row r="7" spans="1:15" x14ac:dyDescent="0.35">
      <c r="A7" s="5"/>
      <c r="B7" s="5"/>
      <c r="C7" s="201"/>
      <c r="D7" s="5" t="s">
        <v>470</v>
      </c>
      <c r="E7" s="5"/>
      <c r="F7" s="408"/>
      <c r="G7" s="5"/>
      <c r="L7" s="15" t="s">
        <v>471</v>
      </c>
    </row>
    <row r="8" spans="1:15" x14ac:dyDescent="0.35">
      <c r="A8" s="73"/>
      <c r="B8" s="73"/>
      <c r="C8" s="75"/>
      <c r="E8" s="73"/>
      <c r="G8" s="14"/>
      <c r="L8" s="15" t="s">
        <v>472</v>
      </c>
    </row>
    <row r="9" spans="1:15" x14ac:dyDescent="0.35">
      <c r="C9" s="16"/>
      <c r="D9" s="70" t="s">
        <v>473</v>
      </c>
      <c r="G9" s="14"/>
      <c r="L9" s="15" t="s">
        <v>474</v>
      </c>
    </row>
    <row r="10" spans="1:15" ht="16.149999999999999" customHeight="1" x14ac:dyDescent="0.35">
      <c r="A10" s="72" cm="1">
        <f t="array" aca="1" ref="A10" ca="1">HYPERLINK(CONCATENATE("#",CELL("address",IF(O10=0,A10,INDEX($O10:$O10,MATCH(1,$O10:$O10,0))))),SUM($O10:$O10))</f>
        <v>0</v>
      </c>
      <c r="C10" s="128" t="s">
        <v>475</v>
      </c>
      <c r="D10" s="71" t="s">
        <v>1908</v>
      </c>
      <c r="E10" s="14" t="s">
        <v>476</v>
      </c>
      <c r="G10" s="272"/>
      <c r="I10" s="14" t="s">
        <v>471</v>
      </c>
      <c r="L10" s="15" t="s">
        <v>477</v>
      </c>
      <c r="N10" s="117">
        <f>IF(G10&lt;0, 1, 0)</f>
        <v>0</v>
      </c>
      <c r="O10" s="292">
        <f t="shared" ref="O10:O41" si="0">IF(OR(ISNUMBER(G10),ISBLANK(G10)),0,1)</f>
        <v>0</v>
      </c>
    </row>
    <row r="11" spans="1:15" x14ac:dyDescent="0.35">
      <c r="A11" s="72" cm="1">
        <f t="array" aca="1" ref="A11" ca="1">HYPERLINK(CONCATENATE("#",CELL("address",IF(O11=0,A11,INDEX($O11:$O11,MATCH(1,$O11:$O11,0))))),SUM($O11:$O11))</f>
        <v>0</v>
      </c>
      <c r="C11" s="128" t="s">
        <v>478</v>
      </c>
      <c r="D11" s="71" t="s">
        <v>479</v>
      </c>
      <c r="E11" s="14" t="s">
        <v>476</v>
      </c>
      <c r="G11" s="272"/>
      <c r="I11" s="14" t="s">
        <v>472</v>
      </c>
      <c r="L11" s="15" t="s">
        <v>480</v>
      </c>
      <c r="N11" s="117">
        <f>IF(G11&lt;0, 1, 0)</f>
        <v>0</v>
      </c>
      <c r="O11" s="72">
        <f t="shared" si="0"/>
        <v>0</v>
      </c>
    </row>
    <row r="12" spans="1:15" x14ac:dyDescent="0.35">
      <c r="A12" s="72" cm="1">
        <f t="array" aca="1" ref="A12" ca="1">HYPERLINK(CONCATENATE("#",CELL("address",IF(O12=0,A12,INDEX($O12:$O12,MATCH(1,$O12:$O12,0))))),SUM($O12:$O12))</f>
        <v>0</v>
      </c>
      <c r="C12" s="128" t="s">
        <v>481</v>
      </c>
      <c r="D12" s="70" t="s">
        <v>482</v>
      </c>
      <c r="E12" s="14" t="s">
        <v>476</v>
      </c>
      <c r="G12" s="268">
        <f>SUM(G10:G11)</f>
        <v>0</v>
      </c>
      <c r="N12" s="117">
        <f>IF(G12&lt;0, 1, 0)</f>
        <v>0</v>
      </c>
      <c r="O12" s="72">
        <f t="shared" si="0"/>
        <v>0</v>
      </c>
    </row>
    <row r="13" spans="1:15" x14ac:dyDescent="0.35">
      <c r="A13" s="72" cm="1">
        <f t="array" aca="1" ref="A13" ca="1">HYPERLINK(CONCATENATE("#",CELL("address",IF(O13=0,A13,INDEX($O13:$O13,MATCH(1,$O13:$O13,0))))),SUM($O13:$O13))</f>
        <v>0</v>
      </c>
      <c r="C13" s="128" t="s">
        <v>483</v>
      </c>
      <c r="D13" s="71" t="s">
        <v>484</v>
      </c>
      <c r="E13" s="14" t="s">
        <v>476</v>
      </c>
      <c r="G13" s="272"/>
      <c r="L13" s="79">
        <f>SUM(G13, G23, G29, G38, G46, G53)</f>
        <v>0</v>
      </c>
      <c r="N13" s="117">
        <f>IF(G13&lt;0, 1, 0)</f>
        <v>0</v>
      </c>
      <c r="O13" s="72">
        <f t="shared" si="0"/>
        <v>0</v>
      </c>
    </row>
    <row r="14" spans="1:15" x14ac:dyDescent="0.35">
      <c r="C14" s="128"/>
      <c r="D14" s="71"/>
      <c r="G14" s="14"/>
      <c r="O14" s="80">
        <f t="shared" si="0"/>
        <v>0</v>
      </c>
    </row>
    <row r="15" spans="1:15" x14ac:dyDescent="0.35">
      <c r="C15" s="128"/>
      <c r="D15" s="70" t="s">
        <v>485</v>
      </c>
      <c r="G15" s="14"/>
      <c r="O15" s="80">
        <f t="shared" si="0"/>
        <v>0</v>
      </c>
    </row>
    <row r="16" spans="1:15" x14ac:dyDescent="0.35">
      <c r="A16" s="72" cm="1">
        <f t="array" aca="1" ref="A16" ca="1">HYPERLINK(CONCATENATE("#",CELL("address",IF(O16=0,A16,INDEX($O16:$O16,MATCH(1,$O16:$O16,0))))),SUM($O16:$O16))</f>
        <v>0</v>
      </c>
      <c r="B16" s="81" t="s">
        <v>5</v>
      </c>
      <c r="C16" s="128" t="s">
        <v>486</v>
      </c>
      <c r="D16" s="71" t="s">
        <v>1909</v>
      </c>
      <c r="E16" s="14" t="s">
        <v>476</v>
      </c>
      <c r="G16" s="272"/>
      <c r="I16" s="14" t="s">
        <v>471</v>
      </c>
      <c r="N16" s="117">
        <f t="shared" ref="N16:N23" si="1">IF(G16&lt;0, 1, 0)</f>
        <v>0</v>
      </c>
      <c r="O16" s="72">
        <f t="shared" si="0"/>
        <v>0</v>
      </c>
    </row>
    <row r="17" spans="1:15" x14ac:dyDescent="0.35">
      <c r="A17" s="72" cm="1">
        <f t="array" aca="1" ref="A17" ca="1">HYPERLINK(CONCATENATE("#",CELL("address",IF(O17=0,A17,INDEX($O17:$O17,MATCH(1,$O17:$O17,0))))),SUM($O17:$O17))</f>
        <v>0</v>
      </c>
      <c r="B17" s="81" t="s">
        <v>5</v>
      </c>
      <c r="C17" s="128" t="s">
        <v>487</v>
      </c>
      <c r="D17" s="71" t="s">
        <v>1910</v>
      </c>
      <c r="E17" s="14" t="s">
        <v>476</v>
      </c>
      <c r="G17" s="272"/>
      <c r="I17" s="14" t="s">
        <v>471</v>
      </c>
      <c r="N17" s="117">
        <f t="shared" si="1"/>
        <v>0</v>
      </c>
      <c r="O17" s="72">
        <f t="shared" si="0"/>
        <v>0</v>
      </c>
    </row>
    <row r="18" spans="1:15" x14ac:dyDescent="0.35">
      <c r="A18" s="72" cm="1">
        <f t="array" aca="1" ref="A18" ca="1">HYPERLINK(CONCATENATE("#",CELL("address",IF(O18=0,A18,INDEX($O18:$O18,MATCH(1,$O18:$O18,0))))),SUM($O18:$O18))</f>
        <v>0</v>
      </c>
      <c r="B18"/>
      <c r="C18" s="128" t="s">
        <v>488</v>
      </c>
      <c r="D18" s="71" t="s">
        <v>1911</v>
      </c>
      <c r="E18" s="14" t="s">
        <v>476</v>
      </c>
      <c r="G18" s="272"/>
      <c r="I18" s="14" t="s">
        <v>471</v>
      </c>
      <c r="N18" s="117">
        <f t="shared" si="1"/>
        <v>0</v>
      </c>
      <c r="O18" s="72">
        <f t="shared" si="0"/>
        <v>0</v>
      </c>
    </row>
    <row r="19" spans="1:15" x14ac:dyDescent="0.35">
      <c r="A19" s="72" cm="1">
        <f t="array" aca="1" ref="A19" ca="1">HYPERLINK(CONCATENATE("#",CELL("address",IF(O19=0,A19,INDEX($O19:$O19,MATCH(1,$O19:$O19,0))))),SUM($O19:$O19))</f>
        <v>0</v>
      </c>
      <c r="B19"/>
      <c r="C19" s="128" t="s">
        <v>489</v>
      </c>
      <c r="D19" s="71" t="s">
        <v>490</v>
      </c>
      <c r="E19" s="14" t="s">
        <v>476</v>
      </c>
      <c r="G19" s="272"/>
      <c r="I19" s="14" t="s">
        <v>471</v>
      </c>
      <c r="N19" s="117">
        <f t="shared" si="1"/>
        <v>0</v>
      </c>
      <c r="O19" s="72">
        <f t="shared" si="0"/>
        <v>0</v>
      </c>
    </row>
    <row r="20" spans="1:15" x14ac:dyDescent="0.35">
      <c r="A20" s="72" cm="1">
        <f t="array" aca="1" ref="A20" ca="1">HYPERLINK(CONCATENATE("#",CELL("address",IF(O20=0,A20,INDEX($O20:$O20,MATCH(1,$O20:$O20,0))))),SUM($O20:$O20))</f>
        <v>0</v>
      </c>
      <c r="B20" s="81" t="s">
        <v>5</v>
      </c>
      <c r="C20" s="128" t="s">
        <v>491</v>
      </c>
      <c r="D20" s="71" t="s">
        <v>492</v>
      </c>
      <c r="E20" s="14" t="s">
        <v>476</v>
      </c>
      <c r="G20" s="272"/>
      <c r="I20" s="14" t="s">
        <v>471</v>
      </c>
      <c r="N20" s="117">
        <f t="shared" si="1"/>
        <v>0</v>
      </c>
      <c r="O20" s="72">
        <f t="shared" si="0"/>
        <v>0</v>
      </c>
    </row>
    <row r="21" spans="1:15" x14ac:dyDescent="0.35">
      <c r="A21" s="72" cm="1">
        <f t="array" aca="1" ref="A21" ca="1">HYPERLINK(CONCATENATE("#",CELL("address",IF(O21=0,A21,INDEX($O21:$O21,MATCH(1,$O21:$O21,0))))),SUM($O21:$O21))</f>
        <v>0</v>
      </c>
      <c r="B21"/>
      <c r="C21" s="128" t="s">
        <v>493</v>
      </c>
      <c r="D21" s="71" t="s">
        <v>494</v>
      </c>
      <c r="E21" s="14" t="s">
        <v>476</v>
      </c>
      <c r="G21" s="272"/>
      <c r="I21" s="14" t="s">
        <v>472</v>
      </c>
      <c r="N21" s="117">
        <f t="shared" si="1"/>
        <v>0</v>
      </c>
      <c r="O21" s="72">
        <f t="shared" si="0"/>
        <v>0</v>
      </c>
    </row>
    <row r="22" spans="1:15" x14ac:dyDescent="0.35">
      <c r="A22" s="72" cm="1">
        <f t="array" aca="1" ref="A22" ca="1">HYPERLINK(CONCATENATE("#",CELL("address",IF(O22=0,A22,INDEX($O22:$O22,MATCH(1,$O22:$O22,0))))),SUM($O22:$O22))</f>
        <v>0</v>
      </c>
      <c r="B22"/>
      <c r="C22" s="128" t="s">
        <v>495</v>
      </c>
      <c r="D22" s="70" t="s">
        <v>496</v>
      </c>
      <c r="E22" s="82" t="s">
        <v>476</v>
      </c>
      <c r="G22" s="268">
        <f>SUM(G16:G21)</f>
        <v>0</v>
      </c>
      <c r="N22" s="117">
        <f t="shared" si="1"/>
        <v>0</v>
      </c>
      <c r="O22" s="72">
        <f t="shared" si="0"/>
        <v>0</v>
      </c>
    </row>
    <row r="23" spans="1:15" x14ac:dyDescent="0.35">
      <c r="A23" s="72" cm="1">
        <f t="array" aca="1" ref="A23" ca="1">HYPERLINK(CONCATENATE("#",CELL("address",IF(O23=0,A23,INDEX($O23:$O23,MATCH(1,$O23:$O23,0))))),SUM($O23:$O23))</f>
        <v>0</v>
      </c>
      <c r="B23"/>
      <c r="C23" s="128" t="s">
        <v>497</v>
      </c>
      <c r="D23" s="71" t="s">
        <v>498</v>
      </c>
      <c r="E23" s="14" t="s">
        <v>476</v>
      </c>
      <c r="G23" s="272"/>
      <c r="N23" s="117">
        <f t="shared" si="1"/>
        <v>0</v>
      </c>
      <c r="O23" s="72">
        <f t="shared" si="0"/>
        <v>0</v>
      </c>
    </row>
    <row r="24" spans="1:15" x14ac:dyDescent="0.35">
      <c r="B24"/>
      <c r="C24" s="128"/>
      <c r="D24" s="71"/>
      <c r="G24" s="14"/>
      <c r="O24" s="80">
        <f t="shared" si="0"/>
        <v>0</v>
      </c>
    </row>
    <row r="25" spans="1:15" x14ac:dyDescent="0.35">
      <c r="B25" s="36"/>
      <c r="C25" s="128"/>
      <c r="D25" s="70" t="s">
        <v>499</v>
      </c>
      <c r="G25" s="14"/>
      <c r="O25" s="80">
        <f t="shared" si="0"/>
        <v>0</v>
      </c>
    </row>
    <row r="26" spans="1:15" x14ac:dyDescent="0.35">
      <c r="A26" s="72" cm="1">
        <f t="array" aca="1" ref="A26" ca="1">HYPERLINK(CONCATENATE("#",CELL("address",IF(O26=0,A26,INDEX($O26:$O26,MATCH(1,$O26:$O26,0))))),SUM($O26:$O26))</f>
        <v>0</v>
      </c>
      <c r="B26"/>
      <c r="C26" s="128" t="s">
        <v>500</v>
      </c>
      <c r="D26" s="71" t="s">
        <v>501</v>
      </c>
      <c r="E26" s="14" t="s">
        <v>476</v>
      </c>
      <c r="G26" s="272"/>
      <c r="I26" s="14" t="s">
        <v>471</v>
      </c>
      <c r="N26" s="117">
        <f>IF(G26&lt;0, 1, 0)</f>
        <v>0</v>
      </c>
      <c r="O26" s="72">
        <f t="shared" si="0"/>
        <v>0</v>
      </c>
    </row>
    <row r="27" spans="1:15" x14ac:dyDescent="0.35">
      <c r="A27" s="72" cm="1">
        <f t="array" aca="1" ref="A27" ca="1">HYPERLINK(CONCATENATE("#",CELL("address",IF(O27=0,A27,INDEX($O27:$O27,MATCH(1,$O27:$O27,0))))),SUM($O27:$O27))</f>
        <v>0</v>
      </c>
      <c r="B27" s="81" t="s">
        <v>5</v>
      </c>
      <c r="C27" s="128" t="s">
        <v>502</v>
      </c>
      <c r="D27" s="71" t="s">
        <v>503</v>
      </c>
      <c r="E27" s="14" t="s">
        <v>476</v>
      </c>
      <c r="G27" s="272"/>
      <c r="I27" s="14" t="s">
        <v>472</v>
      </c>
      <c r="N27" s="117">
        <f>IF(G27&lt;0, 1, 0)</f>
        <v>0</v>
      </c>
      <c r="O27" s="72">
        <f t="shared" si="0"/>
        <v>0</v>
      </c>
    </row>
    <row r="28" spans="1:15" x14ac:dyDescent="0.35">
      <c r="A28" s="72" cm="1">
        <f t="array" aca="1" ref="A28" ca="1">HYPERLINK(CONCATENATE("#",CELL("address",IF(O28=0,A28,INDEX($O28:$O28,MATCH(1,$O28:$O28,0))))),SUM($O28:$O28))</f>
        <v>0</v>
      </c>
      <c r="C28" s="128" t="s">
        <v>504</v>
      </c>
      <c r="D28" s="70" t="s">
        <v>505</v>
      </c>
      <c r="E28" s="14" t="s">
        <v>476</v>
      </c>
      <c r="G28" s="268">
        <f>SUM(G26:G27)</f>
        <v>0</v>
      </c>
      <c r="N28" s="117">
        <f>IF(G28&lt;0, 1, 0)</f>
        <v>0</v>
      </c>
      <c r="O28" s="72">
        <f t="shared" si="0"/>
        <v>0</v>
      </c>
    </row>
    <row r="29" spans="1:15" x14ac:dyDescent="0.35">
      <c r="A29" s="72" cm="1">
        <f t="array" aca="1" ref="A29" ca="1">HYPERLINK(CONCATENATE("#",CELL("address",IF(O29=0,A29,INDEX($O29:$O29,MATCH(1,$O29:$O29,0))))),SUM($O29:$O29))</f>
        <v>0</v>
      </c>
      <c r="C29" s="128" t="s">
        <v>506</v>
      </c>
      <c r="D29" s="71" t="s">
        <v>507</v>
      </c>
      <c r="E29" s="14" t="s">
        <v>476</v>
      </c>
      <c r="G29" s="272"/>
      <c r="N29" s="117">
        <f>IF(G29&lt;0, 1, 0)</f>
        <v>0</v>
      </c>
      <c r="O29" s="72">
        <f t="shared" si="0"/>
        <v>0</v>
      </c>
    </row>
    <row r="30" spans="1:15" x14ac:dyDescent="0.35">
      <c r="C30" s="128"/>
      <c r="D30" s="71"/>
      <c r="G30" s="14"/>
      <c r="O30" s="80">
        <f t="shared" si="0"/>
        <v>0</v>
      </c>
    </row>
    <row r="31" spans="1:15" ht="29" x14ac:dyDescent="0.35">
      <c r="C31" s="128"/>
      <c r="D31" s="70" t="s">
        <v>508</v>
      </c>
      <c r="G31" s="14"/>
      <c r="O31" s="80">
        <f t="shared" si="0"/>
        <v>0</v>
      </c>
    </row>
    <row r="32" spans="1:15" x14ac:dyDescent="0.35">
      <c r="A32" s="72" cm="1">
        <f t="array" aca="1" ref="A32" ca="1">HYPERLINK(CONCATENATE("#",CELL("address",IF(O32=0,A32,INDEX($O32:$O32,MATCH(1,$O32:$O32,0))))),SUM($O32:$O32))</f>
        <v>0</v>
      </c>
      <c r="B32" s="81" t="s">
        <v>5</v>
      </c>
      <c r="C32" s="128" t="s">
        <v>509</v>
      </c>
      <c r="D32" s="71" t="s">
        <v>1912</v>
      </c>
      <c r="E32" s="14" t="s">
        <v>476</v>
      </c>
      <c r="G32" s="272"/>
      <c r="I32" s="14" t="s">
        <v>471</v>
      </c>
      <c r="N32" s="117">
        <f t="shared" ref="N32:N38" si="2">IF(G32&lt;0, 1, 0)</f>
        <v>0</v>
      </c>
      <c r="O32" s="72">
        <f t="shared" si="0"/>
        <v>0</v>
      </c>
    </row>
    <row r="33" spans="1:15" x14ac:dyDescent="0.35">
      <c r="A33" s="72" cm="1">
        <f t="array" aca="1" ref="A33" ca="1">HYPERLINK(CONCATENATE("#",CELL("address",IF(O33=0,A33,INDEX($O33:$O33,MATCH(1,$O33:$O33,0))))),SUM($O33:$O33))</f>
        <v>0</v>
      </c>
      <c r="B33" s="81" t="s">
        <v>5</v>
      </c>
      <c r="C33" s="128" t="s">
        <v>510</v>
      </c>
      <c r="D33" s="71" t="s">
        <v>1913</v>
      </c>
      <c r="E33" s="14" t="s">
        <v>476</v>
      </c>
      <c r="G33" s="272"/>
      <c r="I33" s="14" t="s">
        <v>471</v>
      </c>
      <c r="N33" s="117">
        <f t="shared" si="2"/>
        <v>0</v>
      </c>
      <c r="O33" s="72">
        <f t="shared" si="0"/>
        <v>0</v>
      </c>
    </row>
    <row r="34" spans="1:15" x14ac:dyDescent="0.35">
      <c r="A34" s="72" cm="1">
        <f t="array" aca="1" ref="A34" ca="1">HYPERLINK(CONCATENATE("#",CELL("address",IF(O34=0,A34,INDEX($O34:$O34,MATCH(1,$O34:$O34,0))))),SUM($O34:$O34))</f>
        <v>0</v>
      </c>
      <c r="B34" s="81" t="s">
        <v>5</v>
      </c>
      <c r="C34" s="128" t="s">
        <v>511</v>
      </c>
      <c r="D34" s="71" t="s">
        <v>1914</v>
      </c>
      <c r="E34" s="14" t="s">
        <v>476</v>
      </c>
      <c r="G34" s="272"/>
      <c r="I34" s="14" t="s">
        <v>471</v>
      </c>
      <c r="N34" s="117">
        <f t="shared" si="2"/>
        <v>0</v>
      </c>
      <c r="O34" s="72">
        <f t="shared" si="0"/>
        <v>0</v>
      </c>
    </row>
    <row r="35" spans="1:15" x14ac:dyDescent="0.35">
      <c r="A35" s="72" cm="1">
        <f t="array" aca="1" ref="A35" ca="1">HYPERLINK(CONCATENATE("#",CELL("address",IF(O35=0,A35,INDEX($O35:$O35,MATCH(1,$O35:$O35,0))))),SUM($O35:$O35))</f>
        <v>0</v>
      </c>
      <c r="C35" s="128" t="s">
        <v>512</v>
      </c>
      <c r="D35" s="71" t="s">
        <v>513</v>
      </c>
      <c r="E35" s="14" t="s">
        <v>476</v>
      </c>
      <c r="G35" s="272"/>
      <c r="I35" s="14" t="s">
        <v>514</v>
      </c>
      <c r="N35" s="117">
        <f t="shared" si="2"/>
        <v>0</v>
      </c>
      <c r="O35" s="72">
        <f t="shared" si="0"/>
        <v>0</v>
      </c>
    </row>
    <row r="36" spans="1:15" x14ac:dyDescent="0.35">
      <c r="A36" s="72" cm="1">
        <f t="array" aca="1" ref="A36" ca="1">HYPERLINK(CONCATENATE("#",CELL("address",IF(O36=0,A36,INDEX($O36:$O36,MATCH(1,$O36:$O36,0))))),SUM($O36:$O36))</f>
        <v>0</v>
      </c>
      <c r="C36" s="128" t="s">
        <v>515</v>
      </c>
      <c r="D36" s="71" t="s">
        <v>516</v>
      </c>
      <c r="E36" s="14" t="s">
        <v>476</v>
      </c>
      <c r="G36" s="272"/>
      <c r="I36" s="14" t="s">
        <v>472</v>
      </c>
      <c r="N36" s="117">
        <f t="shared" si="2"/>
        <v>0</v>
      </c>
      <c r="O36" s="72">
        <f t="shared" si="0"/>
        <v>0</v>
      </c>
    </row>
    <row r="37" spans="1:15" ht="29" x14ac:dyDescent="0.35">
      <c r="A37" s="72" cm="1">
        <f t="array" aca="1" ref="A37" ca="1">HYPERLINK(CONCATENATE("#",CELL("address",IF(O37=0,A37,INDEX($O37:$O37,MATCH(1,$O37:$O37,0))))),SUM($O37:$O37))</f>
        <v>0</v>
      </c>
      <c r="C37" s="128" t="s">
        <v>517</v>
      </c>
      <c r="D37" s="70" t="s">
        <v>518</v>
      </c>
      <c r="E37" s="83"/>
      <c r="G37" s="268">
        <f>SUM(G32:G36)</f>
        <v>0</v>
      </c>
      <c r="N37" s="117">
        <f t="shared" si="2"/>
        <v>0</v>
      </c>
      <c r="O37" s="115">
        <f t="shared" si="0"/>
        <v>0</v>
      </c>
    </row>
    <row r="38" spans="1:15" ht="29" x14ac:dyDescent="0.35">
      <c r="A38" s="72" cm="1">
        <f t="array" aca="1" ref="A38" ca="1">HYPERLINK(CONCATENATE("#",CELL("address",IF(O38=0,A38,INDEX($O38:$O38,MATCH(1,$O38:$O38,0))))),SUM($O38:$O38))</f>
        <v>0</v>
      </c>
      <c r="C38" s="128" t="s">
        <v>519</v>
      </c>
      <c r="D38" s="71" t="s">
        <v>520</v>
      </c>
      <c r="E38" s="14" t="s">
        <v>476</v>
      </c>
      <c r="G38" s="272"/>
      <c r="N38" s="117">
        <f t="shared" si="2"/>
        <v>0</v>
      </c>
      <c r="O38" s="115">
        <f t="shared" si="0"/>
        <v>0</v>
      </c>
    </row>
    <row r="39" spans="1:15" x14ac:dyDescent="0.35">
      <c r="C39" s="128"/>
      <c r="D39" s="71"/>
      <c r="G39" s="14"/>
      <c r="O39" s="80">
        <f t="shared" si="0"/>
        <v>0</v>
      </c>
    </row>
    <row r="40" spans="1:15" x14ac:dyDescent="0.35">
      <c r="C40" s="128"/>
      <c r="D40" s="70" t="s">
        <v>521</v>
      </c>
      <c r="G40" s="14"/>
      <c r="O40" s="80">
        <f t="shared" si="0"/>
        <v>0</v>
      </c>
    </row>
    <row r="41" spans="1:15" x14ac:dyDescent="0.35">
      <c r="A41" s="72" cm="1">
        <f t="array" aca="1" ref="A41" ca="1">HYPERLINK(CONCATENATE("#",CELL("address",IF(O41=0,A41,INDEX($O41:$O41,MATCH(1,$O41:$O41,0))))),SUM($O41:$O41))</f>
        <v>0</v>
      </c>
      <c r="C41" s="128" t="s">
        <v>522</v>
      </c>
      <c r="D41" s="71" t="s">
        <v>523</v>
      </c>
      <c r="E41" s="14" t="s">
        <v>476</v>
      </c>
      <c r="G41" s="272"/>
      <c r="I41" s="14" t="s">
        <v>514</v>
      </c>
      <c r="N41" s="117">
        <f t="shared" ref="N41:N46" si="3">IF(G41&lt;0, 1, 0)</f>
        <v>0</v>
      </c>
      <c r="O41" s="115">
        <f t="shared" si="0"/>
        <v>0</v>
      </c>
    </row>
    <row r="42" spans="1:15" x14ac:dyDescent="0.35">
      <c r="A42" s="72" cm="1">
        <f t="array" aca="1" ref="A42" ca="1">HYPERLINK(CONCATENATE("#",CELL("address",IF(O42=0,A42,INDEX($O42:$O42,MATCH(1,$O42:$O42,0))))),SUM($O42:$O42))</f>
        <v>0</v>
      </c>
      <c r="B42" s="81" t="s">
        <v>5</v>
      </c>
      <c r="C42" s="128" t="s">
        <v>524</v>
      </c>
      <c r="D42" s="71" t="s">
        <v>525</v>
      </c>
      <c r="E42" s="14" t="s">
        <v>476</v>
      </c>
      <c r="G42" s="272"/>
      <c r="I42" s="14" t="s">
        <v>471</v>
      </c>
      <c r="N42" s="117">
        <f t="shared" si="3"/>
        <v>0</v>
      </c>
      <c r="O42" s="115">
        <f t="shared" ref="O42:O81" si="4">IF(OR(ISNUMBER(G42),ISBLANK(G42)),0,1)</f>
        <v>0</v>
      </c>
    </row>
    <row r="43" spans="1:15" x14ac:dyDescent="0.35">
      <c r="A43" s="72" cm="1">
        <f t="array" aca="1" ref="A43" ca="1">HYPERLINK(CONCATENATE("#",CELL("address",IF(O43=0,A43,INDEX($O43:$O43,MATCH(1,$O43:$O43,0))))),SUM($O43:$O43))</f>
        <v>0</v>
      </c>
      <c r="C43" s="128" t="s">
        <v>526</v>
      </c>
      <c r="D43" s="71" t="s">
        <v>527</v>
      </c>
      <c r="E43" s="14" t="s">
        <v>476</v>
      </c>
      <c r="G43" s="272"/>
      <c r="I43" s="14" t="s">
        <v>471</v>
      </c>
      <c r="N43" s="117">
        <f t="shared" si="3"/>
        <v>0</v>
      </c>
      <c r="O43" s="115">
        <f t="shared" si="4"/>
        <v>0</v>
      </c>
    </row>
    <row r="44" spans="1:15" x14ac:dyDescent="0.35">
      <c r="A44" s="72" cm="1">
        <f t="array" aca="1" ref="A44" ca="1">HYPERLINK(CONCATENATE("#",CELL("address",IF(O44=0,A44,INDEX($O44:$O44,MATCH(1,$O44:$O44,0))))),SUM($O44:$O44))</f>
        <v>0</v>
      </c>
      <c r="B44" s="81" t="s">
        <v>5</v>
      </c>
      <c r="C44" s="128" t="s">
        <v>528</v>
      </c>
      <c r="D44" s="71" t="s">
        <v>529</v>
      </c>
      <c r="E44" s="14" t="s">
        <v>476</v>
      </c>
      <c r="G44" s="272"/>
      <c r="I44" s="14" t="s">
        <v>472</v>
      </c>
      <c r="N44" s="117">
        <f t="shared" si="3"/>
        <v>0</v>
      </c>
      <c r="O44" s="115">
        <f t="shared" si="4"/>
        <v>0</v>
      </c>
    </row>
    <row r="45" spans="1:15" x14ac:dyDescent="0.35">
      <c r="A45" s="72" cm="1">
        <f t="array" aca="1" ref="A45" ca="1">HYPERLINK(CONCATENATE("#",CELL("address",IF(O45=0,A45,INDEX($O45:$O45,MATCH(1,$O45:$O45,0))))),SUM($O45:$O45))</f>
        <v>0</v>
      </c>
      <c r="C45" s="128" t="s">
        <v>530</v>
      </c>
      <c r="D45" s="70" t="s">
        <v>531</v>
      </c>
      <c r="G45" s="268">
        <f>SUM(G41:G44)</f>
        <v>0</v>
      </c>
      <c r="N45" s="117">
        <f t="shared" si="3"/>
        <v>0</v>
      </c>
      <c r="O45" s="115">
        <f t="shared" si="4"/>
        <v>0</v>
      </c>
    </row>
    <row r="46" spans="1:15" x14ac:dyDescent="0.35">
      <c r="A46" s="72" cm="1">
        <f t="array" aca="1" ref="A46" ca="1">HYPERLINK(CONCATENATE("#",CELL("address",IF(O46=0,A46,INDEX($O46:$O46,MATCH(1,$O46:$O46,0))))),SUM($O46:$O46))</f>
        <v>0</v>
      </c>
      <c r="C46" s="128" t="s">
        <v>532</v>
      </c>
      <c r="D46" s="71" t="s">
        <v>533</v>
      </c>
      <c r="E46" s="14" t="s">
        <v>476</v>
      </c>
      <c r="G46" s="272"/>
      <c r="N46" s="117">
        <f t="shared" si="3"/>
        <v>0</v>
      </c>
      <c r="O46" s="115">
        <f t="shared" si="4"/>
        <v>0</v>
      </c>
    </row>
    <row r="47" spans="1:15" x14ac:dyDescent="0.35">
      <c r="C47" s="128"/>
      <c r="D47" s="71"/>
      <c r="G47" s="14"/>
      <c r="O47" s="80">
        <f t="shared" si="4"/>
        <v>0</v>
      </c>
    </row>
    <row r="48" spans="1:15" x14ac:dyDescent="0.35">
      <c r="C48" s="128"/>
      <c r="D48" s="70" t="s">
        <v>534</v>
      </c>
      <c r="G48" s="14"/>
      <c r="O48" s="80">
        <f t="shared" si="4"/>
        <v>0</v>
      </c>
    </row>
    <row r="49" spans="1:15" x14ac:dyDescent="0.35">
      <c r="A49" s="72" cm="1">
        <f t="array" aca="1" ref="A49" ca="1">HYPERLINK(CONCATENATE("#",CELL("address",IF(O49=0,A49,INDEX($O49:$O49,MATCH(1,$O49:$O49,0))))),SUM($O49:$O49))</f>
        <v>0</v>
      </c>
      <c r="C49" s="128" t="s">
        <v>535</v>
      </c>
      <c r="D49" s="71" t="s">
        <v>1915</v>
      </c>
      <c r="E49" s="14" t="s">
        <v>476</v>
      </c>
      <c r="G49" s="272"/>
      <c r="I49" s="14" t="s">
        <v>471</v>
      </c>
      <c r="N49" s="117">
        <f>IF(G49&lt;0, 1, 0)</f>
        <v>0</v>
      </c>
      <c r="O49" s="72">
        <f>IF(OR(ISNUMBER(G49),ISBLANK(G49)),0,1)</f>
        <v>0</v>
      </c>
    </row>
    <row r="50" spans="1:15" x14ac:dyDescent="0.35">
      <c r="A50" s="72" cm="1">
        <f t="array" aca="1" ref="A50" ca="1">HYPERLINK(CONCATENATE("#",CELL("address",IF(O50=0,A50,INDEX($O50:$O50,MATCH(1,$O50:$O50,0))))),SUM($O50:$O50))</f>
        <v>0</v>
      </c>
      <c r="B50" s="81" t="s">
        <v>5</v>
      </c>
      <c r="C50" s="128" t="s">
        <v>536</v>
      </c>
      <c r="D50" s="71" t="s">
        <v>537</v>
      </c>
      <c r="E50" s="14" t="s">
        <v>476</v>
      </c>
      <c r="G50" s="272"/>
      <c r="I50" s="14" t="s">
        <v>472</v>
      </c>
      <c r="N50" s="117">
        <f>IF(G50&lt;0, 1, 0)</f>
        <v>0</v>
      </c>
      <c r="O50" s="72">
        <f>IF(OR(ISNUMBER(G50),ISBLANK(G50)),0,1)</f>
        <v>0</v>
      </c>
    </row>
    <row r="51" spans="1:15" x14ac:dyDescent="0.35">
      <c r="A51" s="72" cm="1">
        <f t="array" aca="1" ref="A51" ca="1">HYPERLINK(CONCATENATE("#",CELL("address",IF(O51=0,A51,INDEX($O51:$O51,MATCH(1,$O51:$O51,0))))),SUM($O51:$O51))</f>
        <v>0</v>
      </c>
      <c r="C51" s="128" t="s">
        <v>538</v>
      </c>
      <c r="D51" s="71" t="s">
        <v>539</v>
      </c>
      <c r="E51" s="14" t="s">
        <v>476</v>
      </c>
      <c r="G51" s="272"/>
      <c r="I51" s="14" t="s">
        <v>472</v>
      </c>
      <c r="N51" s="117">
        <f>IF(G51&lt;0, 1, 0)</f>
        <v>0</v>
      </c>
      <c r="O51" s="72">
        <f t="shared" si="4"/>
        <v>0</v>
      </c>
    </row>
    <row r="52" spans="1:15" x14ac:dyDescent="0.35">
      <c r="A52" s="72" cm="1">
        <f t="array" aca="1" ref="A52" ca="1">HYPERLINK(CONCATENATE("#",CELL("address",IF(O52=0,A52,INDEX($O52:$O52,MATCH(1,$O52:$O52,0))))),SUM($O52:$O52))</f>
        <v>0</v>
      </c>
      <c r="C52" s="128" t="s">
        <v>540</v>
      </c>
      <c r="D52" s="70" t="s">
        <v>541</v>
      </c>
      <c r="E52" s="14" t="s">
        <v>476</v>
      </c>
      <c r="G52" s="268">
        <f>SUM(G49:G51)</f>
        <v>0</v>
      </c>
      <c r="N52" s="117">
        <f>IF(G52&lt;0, 1, 0)</f>
        <v>0</v>
      </c>
      <c r="O52" s="72">
        <f t="shared" si="4"/>
        <v>0</v>
      </c>
    </row>
    <row r="53" spans="1:15" x14ac:dyDescent="0.35">
      <c r="A53" s="72" cm="1">
        <f t="array" aca="1" ref="A53" ca="1">HYPERLINK(CONCATENATE("#",CELL("address",IF(O53=0,A53,INDEX($O53:$O53,MATCH(1,$O53:$O53,0))))),SUM($O53:$O53))</f>
        <v>0</v>
      </c>
      <c r="C53" s="128" t="s">
        <v>542</v>
      </c>
      <c r="D53" s="71" t="s">
        <v>543</v>
      </c>
      <c r="E53" s="14" t="s">
        <v>476</v>
      </c>
      <c r="G53" s="272"/>
      <c r="N53" s="117">
        <f>IF(G53&lt;0, 1, 0)</f>
        <v>0</v>
      </c>
      <c r="O53" s="72">
        <f t="shared" si="4"/>
        <v>0</v>
      </c>
    </row>
    <row r="54" spans="1:15" x14ac:dyDescent="0.35">
      <c r="C54" s="128"/>
      <c r="D54" s="71"/>
      <c r="G54" s="14"/>
      <c r="N54" s="117"/>
      <c r="O54" s="72"/>
    </row>
    <row r="55" spans="1:15" x14ac:dyDescent="0.35">
      <c r="C55" s="128"/>
      <c r="D55" s="70" t="s">
        <v>1877</v>
      </c>
      <c r="G55" s="14"/>
      <c r="N55" s="117"/>
      <c r="O55" s="72"/>
    </row>
    <row r="56" spans="1:15" x14ac:dyDescent="0.35">
      <c r="A56" s="72" cm="1">
        <f t="array" aca="1" ref="A56" ca="1">HYPERLINK(CONCATENATE("#",CELL("address",IF(O56=0,A56,INDEX($O56:$O56,MATCH(1,$O56:$O56,0))))),SUM($O56:$O56))</f>
        <v>0</v>
      </c>
      <c r="C56" s="128" t="s">
        <v>563</v>
      </c>
      <c r="D56" s="71" t="s">
        <v>1916</v>
      </c>
      <c r="E56" s="14" t="s">
        <v>476</v>
      </c>
      <c r="G56" s="272"/>
      <c r="I56" s="14" t="s">
        <v>471</v>
      </c>
      <c r="N56" s="117">
        <f>IF(G56&lt;0, 1, 0)</f>
        <v>0</v>
      </c>
      <c r="O56" s="72">
        <f>IF(OR(ISNUMBER(G56),ISBLANK(G56)),0,1)</f>
        <v>0</v>
      </c>
    </row>
    <row r="57" spans="1:15" x14ac:dyDescent="0.35">
      <c r="A57" s="72" cm="1">
        <f t="array" aca="1" ref="A57" ca="1">HYPERLINK(CONCATENATE("#",CELL("address",IF(O57=0,A57,INDEX($O57:$O57,MATCH(1,$O57:$O57,0))))),SUM($O57:$O57))</f>
        <v>0</v>
      </c>
      <c r="C57" s="128" t="s">
        <v>564</v>
      </c>
      <c r="D57" s="71" t="s">
        <v>1917</v>
      </c>
      <c r="E57" s="14" t="s">
        <v>476</v>
      </c>
      <c r="G57" s="272"/>
      <c r="I57" s="14" t="s">
        <v>471</v>
      </c>
      <c r="N57" s="117">
        <f t="shared" ref="N57:N58" si="5">IF(G57&lt;0, 1, 0)</f>
        <v>0</v>
      </c>
      <c r="O57" s="72">
        <f t="shared" ref="O57:O58" si="6">IF(OR(ISNUMBER(G57),ISBLANK(G57)),0,1)</f>
        <v>0</v>
      </c>
    </row>
    <row r="58" spans="1:15" x14ac:dyDescent="0.35">
      <c r="A58" s="72" cm="1">
        <f t="array" aca="1" ref="A58" ca="1">HYPERLINK(CONCATENATE("#",CELL("address",IF(O58=0,A58,INDEX($O58:$O58,MATCH(1,$O58:$O58,0))))),SUM($O58:$O58))</f>
        <v>0</v>
      </c>
      <c r="C58" s="128" t="s">
        <v>1881</v>
      </c>
      <c r="D58" s="71" t="s">
        <v>1878</v>
      </c>
      <c r="E58" s="14" t="s">
        <v>476</v>
      </c>
      <c r="G58" s="272"/>
      <c r="I58" s="14" t="s">
        <v>472</v>
      </c>
      <c r="N58" s="117">
        <f t="shared" si="5"/>
        <v>0</v>
      </c>
      <c r="O58" s="72">
        <f t="shared" si="6"/>
        <v>0</v>
      </c>
    </row>
    <row r="59" spans="1:15" x14ac:dyDescent="0.35">
      <c r="A59" s="72" cm="1">
        <f t="array" aca="1" ref="A59" ca="1">HYPERLINK(CONCATENATE("#",CELL("address",IF(O59=0,A59,INDEX($O59:$O59,MATCH(1,$O59:$O59,0))))),SUM($O59:$O59))</f>
        <v>0</v>
      </c>
      <c r="C59" s="128" t="s">
        <v>1882</v>
      </c>
      <c r="D59" s="70" t="s">
        <v>1879</v>
      </c>
      <c r="G59" s="268">
        <f>SUM(G56:G58)</f>
        <v>0</v>
      </c>
      <c r="N59" s="117"/>
      <c r="O59" s="72"/>
    </row>
    <row r="60" spans="1:15" x14ac:dyDescent="0.35">
      <c r="A60" s="72" cm="1">
        <f t="array" aca="1" ref="A60" ca="1">HYPERLINK(CONCATENATE("#",CELL("address",IF(O60=0,A60,INDEX($O60:$O60,MATCH(1,$O60:$O60,0))))),SUM($O60:$O60))</f>
        <v>0</v>
      </c>
      <c r="C60" s="128" t="s">
        <v>1883</v>
      </c>
      <c r="D60" s="71" t="s">
        <v>1880</v>
      </c>
      <c r="E60" s="14" t="s">
        <v>476</v>
      </c>
      <c r="G60" s="272"/>
      <c r="N60" s="117">
        <f>IF(G60&lt;0, 1, 0)</f>
        <v>0</v>
      </c>
      <c r="O60" s="72">
        <f t="shared" ref="O60" si="7">IF(OR(ISNUMBER(G60),ISBLANK(G60)),0,1)</f>
        <v>0</v>
      </c>
    </row>
    <row r="61" spans="1:15" x14ac:dyDescent="0.35">
      <c r="C61" s="128"/>
      <c r="D61" s="24"/>
      <c r="G61" s="14"/>
      <c r="O61" s="80">
        <f t="shared" si="4"/>
        <v>0</v>
      </c>
    </row>
    <row r="62" spans="1:15" x14ac:dyDescent="0.35">
      <c r="C62" s="128"/>
      <c r="D62" s="77" t="s">
        <v>544</v>
      </c>
      <c r="G62" s="14"/>
      <c r="O62" s="80">
        <f t="shared" si="4"/>
        <v>0</v>
      </c>
    </row>
    <row r="63" spans="1:15" x14ac:dyDescent="0.35">
      <c r="A63" s="72" cm="1">
        <f t="array" aca="1" ref="A63" ca="1">HYPERLINK(CONCATENATE("#",CELL("address",IF(O63=0,A63,INDEX($O63:$O63,MATCH(1,$O63:$O63,0))))),SUM($O63:$O63))</f>
        <v>0</v>
      </c>
      <c r="B63" s="81" t="s">
        <v>5</v>
      </c>
      <c r="C63" s="128" t="s">
        <v>545</v>
      </c>
      <c r="D63" s="24" t="s">
        <v>546</v>
      </c>
      <c r="E63" s="14" t="s">
        <v>476</v>
      </c>
      <c r="G63" s="272"/>
      <c r="I63" s="14" t="s">
        <v>514</v>
      </c>
      <c r="N63" s="117">
        <f t="shared" ref="N63:N74" si="8">IF(G63&lt;0, 1, 0)</f>
        <v>0</v>
      </c>
      <c r="O63" s="72">
        <f t="shared" si="4"/>
        <v>0</v>
      </c>
    </row>
    <row r="64" spans="1:15" x14ac:dyDescent="0.35">
      <c r="A64" s="72" cm="1">
        <f t="array" aca="1" ref="A64" ca="1">HYPERLINK(CONCATENATE("#",CELL("address",IF(O64=0,A64,INDEX($O64:$O64,MATCH(1,$O64:$O64,0))))),SUM($O64:$O64))</f>
        <v>0</v>
      </c>
      <c r="B64"/>
      <c r="C64" s="128" t="s">
        <v>547</v>
      </c>
      <c r="D64" s="24" t="s">
        <v>548</v>
      </c>
      <c r="E64" s="14" t="s">
        <v>476</v>
      </c>
      <c r="G64" s="272"/>
      <c r="I64" s="14" t="s">
        <v>514</v>
      </c>
      <c r="N64" s="117">
        <f t="shared" si="8"/>
        <v>0</v>
      </c>
      <c r="O64" s="72">
        <f t="shared" si="4"/>
        <v>0</v>
      </c>
    </row>
    <row r="65" spans="1:15" x14ac:dyDescent="0.35">
      <c r="A65" s="72" cm="1">
        <f t="array" aca="1" ref="A65" ca="1">HYPERLINK(CONCATENATE("#",CELL("address",IF(O65=0,A65,INDEX($O65:$O65,MATCH(1,$O65:$O65,0))))),SUM($O65:$O65))</f>
        <v>0</v>
      </c>
      <c r="B65" s="81" t="s">
        <v>5</v>
      </c>
      <c r="C65" s="128" t="s">
        <v>549</v>
      </c>
      <c r="D65" s="24" t="s">
        <v>550</v>
      </c>
      <c r="E65" s="14" t="s">
        <v>476</v>
      </c>
      <c r="G65" s="272"/>
      <c r="I65" s="14" t="s">
        <v>514</v>
      </c>
      <c r="N65" s="117">
        <f t="shared" si="8"/>
        <v>0</v>
      </c>
      <c r="O65" s="72">
        <f t="shared" si="4"/>
        <v>0</v>
      </c>
    </row>
    <row r="66" spans="1:15" x14ac:dyDescent="0.35">
      <c r="A66" s="72" cm="1">
        <f t="array" aca="1" ref="A66" ca="1">HYPERLINK(CONCATENATE("#",CELL("address",IF(O66=0,A66,INDEX($O66:$O66,MATCH(1,$O66:$O66,0))))),SUM($O66:$O66))</f>
        <v>0</v>
      </c>
      <c r="B66" s="81" t="s">
        <v>5</v>
      </c>
      <c r="C66" s="128" t="s">
        <v>551</v>
      </c>
      <c r="D66" s="24" t="s">
        <v>552</v>
      </c>
      <c r="E66" s="14" t="s">
        <v>476</v>
      </c>
      <c r="G66" s="272"/>
      <c r="I66" s="14" t="s">
        <v>514</v>
      </c>
      <c r="N66" s="117">
        <f t="shared" si="8"/>
        <v>0</v>
      </c>
      <c r="O66" s="72">
        <f t="shared" si="4"/>
        <v>0</v>
      </c>
    </row>
    <row r="67" spans="1:15" x14ac:dyDescent="0.35">
      <c r="A67" s="72" cm="1">
        <f t="array" aca="1" ref="A67" ca="1">HYPERLINK(CONCATENATE("#",CELL("address",IF(O67=0,A67,INDEX($O67:$O67,MATCH(1,$O67:$O67,0))))),SUM($O67:$O67))</f>
        <v>0</v>
      </c>
      <c r="C67" s="128" t="s">
        <v>553</v>
      </c>
      <c r="D67" s="24" t="s">
        <v>554</v>
      </c>
      <c r="E67" s="14" t="s">
        <v>476</v>
      </c>
      <c r="G67" s="272"/>
      <c r="I67" s="14" t="s">
        <v>514</v>
      </c>
      <c r="N67" s="117">
        <f t="shared" si="8"/>
        <v>0</v>
      </c>
      <c r="O67" s="72">
        <f t="shared" si="4"/>
        <v>0</v>
      </c>
    </row>
    <row r="68" spans="1:15" x14ac:dyDescent="0.35">
      <c r="A68" s="72" cm="1">
        <f t="array" aca="1" ref="A68" ca="1">HYPERLINK(CONCATENATE("#",CELL("address",IF(O68=0,A68,INDEX($O68:$O68,MATCH(1,$O68:$O68,0))))),SUM($O68:$O68))</f>
        <v>0</v>
      </c>
      <c r="C68" s="128" t="s">
        <v>555</v>
      </c>
      <c r="D68" s="22" t="s">
        <v>556</v>
      </c>
      <c r="E68" s="14" t="s">
        <v>476</v>
      </c>
      <c r="G68" s="272"/>
      <c r="I68" t="s">
        <v>472</v>
      </c>
      <c r="N68" s="117">
        <f t="shared" si="8"/>
        <v>0</v>
      </c>
      <c r="O68" s="72">
        <f t="shared" si="4"/>
        <v>0</v>
      </c>
    </row>
    <row r="69" spans="1:15" ht="29" x14ac:dyDescent="0.35">
      <c r="A69" s="72" cm="1">
        <f t="array" aca="1" ref="A69" ca="1">HYPERLINK(CONCATENATE("#",CELL("address",IF(O69=0,A69,INDEX($O69:$O69,MATCH(1,$O69:$O69,0))))),SUM($O69:$O69))</f>
        <v>0</v>
      </c>
      <c r="C69" s="128" t="s">
        <v>557</v>
      </c>
      <c r="D69" s="24" t="s">
        <v>558</v>
      </c>
      <c r="E69" s="14" t="s">
        <v>476</v>
      </c>
      <c r="G69" s="272"/>
      <c r="I69" t="s">
        <v>471</v>
      </c>
      <c r="N69" s="117">
        <f t="shared" si="8"/>
        <v>0</v>
      </c>
      <c r="O69" s="72">
        <f t="shared" si="4"/>
        <v>0</v>
      </c>
    </row>
    <row r="70" spans="1:15" x14ac:dyDescent="0.35">
      <c r="A70" s="72" cm="1">
        <f t="array" aca="1" ref="A70" ca="1">HYPERLINK(CONCATENATE("#",CELL("address",IF(O70=0,A70,INDEX($O70:$O70,MATCH(1,$O70:$O70,0))))),SUM($O70:$O70))</f>
        <v>0</v>
      </c>
      <c r="C70" s="128" t="s">
        <v>559</v>
      </c>
      <c r="D70" s="22" t="s">
        <v>1999</v>
      </c>
      <c r="E70" s="14" t="s">
        <v>476</v>
      </c>
      <c r="G70" s="272"/>
      <c r="I70" t="s">
        <v>471</v>
      </c>
      <c r="N70" s="117">
        <f t="shared" si="8"/>
        <v>0</v>
      </c>
      <c r="O70" s="72">
        <f t="shared" si="4"/>
        <v>0</v>
      </c>
    </row>
    <row r="71" spans="1:15" x14ac:dyDescent="0.35">
      <c r="A71" s="72" cm="1">
        <f t="array" aca="1" ref="A71" ca="1">HYPERLINK(CONCATENATE("#",CELL("address",IF(O71=0,A71,INDEX($O71:$O71,MATCH(1,$O71:$O71,0))))),SUM($O71:$O71))</f>
        <v>0</v>
      </c>
      <c r="C71" s="128" t="s">
        <v>560</v>
      </c>
      <c r="D71" s="22" t="s">
        <v>561</v>
      </c>
      <c r="E71" s="14" t="s">
        <v>476</v>
      </c>
      <c r="G71" s="272"/>
      <c r="I71" t="s">
        <v>562</v>
      </c>
      <c r="N71" s="117">
        <f t="shared" si="8"/>
        <v>0</v>
      </c>
      <c r="O71" s="72">
        <f t="shared" si="4"/>
        <v>0</v>
      </c>
    </row>
    <row r="72" spans="1:15" x14ac:dyDescent="0.35">
      <c r="A72" s="72" cm="1">
        <f t="array" aca="1" ref="A72" ca="1">HYPERLINK(CONCATENATE("#",CELL("address",IF(O72=0,A72,INDEX($O72:$O72,MATCH(1,$O72:$O72,0))))),SUM($O72:$O72))</f>
        <v>0</v>
      </c>
      <c r="C72" s="128" t="s">
        <v>565</v>
      </c>
      <c r="D72" s="22" t="s">
        <v>544</v>
      </c>
      <c r="E72" s="14" t="s">
        <v>476</v>
      </c>
      <c r="G72" s="272"/>
      <c r="I72" t="s">
        <v>562</v>
      </c>
      <c r="N72" s="117">
        <f t="shared" si="8"/>
        <v>0</v>
      </c>
      <c r="O72" s="72">
        <f t="shared" si="4"/>
        <v>0</v>
      </c>
    </row>
    <row r="73" spans="1:15" x14ac:dyDescent="0.35">
      <c r="A73" s="72" cm="1">
        <f t="array" aca="1" ref="A73" ca="1">HYPERLINK(CONCATENATE("#",CELL("address",IF(O73=0,A73,INDEX($O73:$O73,MATCH(1,$O73:$O73,0))))),SUM($O73:$O73))</f>
        <v>0</v>
      </c>
      <c r="C73" s="128" t="s">
        <v>2019</v>
      </c>
      <c r="D73" s="22" t="s">
        <v>1976</v>
      </c>
      <c r="E73" s="14" t="s">
        <v>476</v>
      </c>
      <c r="G73" s="272"/>
      <c r="I73" t="s">
        <v>562</v>
      </c>
      <c r="N73" s="117">
        <f t="shared" ref="N73" si="9">IF(G73&lt;0, 1, 0)</f>
        <v>0</v>
      </c>
      <c r="O73" s="72">
        <f t="shared" ref="O73" si="10">IF(OR(ISNUMBER(G73),ISBLANK(G73)),0,1)</f>
        <v>0</v>
      </c>
    </row>
    <row r="74" spans="1:15" ht="29" x14ac:dyDescent="0.35">
      <c r="A74" s="72" cm="1">
        <f t="array" aca="1" ref="A74" ca="1">HYPERLINK(CONCATENATE("#",CELL("address",IF(O74=0,A74,INDEX($O74:$O74,MATCH(1,$O74:$O74,0))))),SUM($O74:$O74))</f>
        <v>0</v>
      </c>
      <c r="C74" s="128" t="s">
        <v>566</v>
      </c>
      <c r="D74" s="77" t="s">
        <v>567</v>
      </c>
      <c r="G74" s="268">
        <f>SUM(G63:G73)</f>
        <v>0</v>
      </c>
      <c r="I74"/>
      <c r="N74" s="117">
        <f t="shared" si="8"/>
        <v>0</v>
      </c>
      <c r="O74" s="72">
        <f t="shared" si="4"/>
        <v>0</v>
      </c>
    </row>
    <row r="75" spans="1:15" x14ac:dyDescent="0.35">
      <c r="C75" s="128"/>
      <c r="D75" s="24"/>
      <c r="G75" s="14"/>
      <c r="I75"/>
      <c r="O75" s="80">
        <f t="shared" si="4"/>
        <v>0</v>
      </c>
    </row>
    <row r="76" spans="1:15" x14ac:dyDescent="0.35">
      <c r="C76" s="128"/>
      <c r="D76" s="77" t="s">
        <v>568</v>
      </c>
      <c r="G76" s="14"/>
      <c r="I76"/>
      <c r="O76" s="80">
        <f t="shared" si="4"/>
        <v>0</v>
      </c>
    </row>
    <row r="77" spans="1:15" x14ac:dyDescent="0.35">
      <c r="A77" s="72" cm="1">
        <f t="array" aca="1" ref="A77" ca="1">HYPERLINK(CONCATENATE("#",CELL("address",IF(O77=0,A77,INDEX($O77:$O77,MATCH(1,$O77:$O77,0))))),SUM($O77:$O77))</f>
        <v>0</v>
      </c>
      <c r="C77" s="128" t="s">
        <v>569</v>
      </c>
      <c r="D77" s="24" t="s">
        <v>570</v>
      </c>
      <c r="E77" s="14" t="s">
        <v>476</v>
      </c>
      <c r="G77" s="272"/>
      <c r="I77" t="s">
        <v>562</v>
      </c>
      <c r="N77" s="117">
        <f t="shared" ref="N77:N85" si="11">IF(G77&lt;0, 1, 0)</f>
        <v>0</v>
      </c>
      <c r="O77" s="72">
        <f t="shared" si="4"/>
        <v>0</v>
      </c>
    </row>
    <row r="78" spans="1:15" x14ac:dyDescent="0.35">
      <c r="A78" s="72" cm="1">
        <f t="array" aca="1" ref="A78" ca="1">HYPERLINK(CONCATENATE("#",CELL("address",IF(O78=0,A78,INDEX($O78:$O78,MATCH(1,$O78:$O78,0))))),SUM($O78:$O78))</f>
        <v>0</v>
      </c>
      <c r="C78" s="128" t="s">
        <v>571</v>
      </c>
      <c r="D78" s="24" t="s">
        <v>572</v>
      </c>
      <c r="E78" s="14" t="s">
        <v>476</v>
      </c>
      <c r="G78" s="272"/>
      <c r="I78" t="s">
        <v>562</v>
      </c>
      <c r="N78" s="117">
        <f t="shared" si="11"/>
        <v>0</v>
      </c>
      <c r="O78" s="72">
        <f t="shared" si="4"/>
        <v>0</v>
      </c>
    </row>
    <row r="79" spans="1:15" x14ac:dyDescent="0.35">
      <c r="A79" s="72" cm="1">
        <f t="array" aca="1" ref="A79" ca="1">HYPERLINK(CONCATENATE("#",CELL("address",IF(O79=0,A79,INDEX($O79:$O79,MATCH(1,$O79:$O79,0))))),SUM($O79:$O79))</f>
        <v>0</v>
      </c>
      <c r="C79" s="128" t="s">
        <v>573</v>
      </c>
      <c r="D79" s="24" t="s">
        <v>574</v>
      </c>
      <c r="E79" s="14" t="s">
        <v>476</v>
      </c>
      <c r="G79" s="272"/>
      <c r="I79" t="s">
        <v>562</v>
      </c>
      <c r="N79" s="117">
        <f t="shared" si="11"/>
        <v>0</v>
      </c>
      <c r="O79" s="72">
        <f t="shared" si="4"/>
        <v>0</v>
      </c>
    </row>
    <row r="80" spans="1:15" x14ac:dyDescent="0.35">
      <c r="A80" s="72" cm="1">
        <f t="array" aca="1" ref="A80" ca="1">HYPERLINK(CONCATENATE("#",CELL("address",IF(O80=0,A80,INDEX($O80:$O80,MATCH(1,$O80:$O80,0))))),SUM($O80:$O80))</f>
        <v>0</v>
      </c>
      <c r="C80" s="128" t="s">
        <v>575</v>
      </c>
      <c r="D80" s="24" t="s">
        <v>576</v>
      </c>
      <c r="E80" s="14" t="s">
        <v>476</v>
      </c>
      <c r="G80" s="272"/>
      <c r="I80" t="s">
        <v>562</v>
      </c>
      <c r="N80" s="117">
        <f t="shared" si="11"/>
        <v>0</v>
      </c>
      <c r="O80" s="72">
        <f t="shared" si="4"/>
        <v>0</v>
      </c>
    </row>
    <row r="81" spans="1:15" x14ac:dyDescent="0.35">
      <c r="A81" s="72" cm="1">
        <f t="array" aca="1" ref="A81" ca="1">HYPERLINK(CONCATENATE("#",CELL("address",IF(O81=0,A81,INDEX($O81:$O81,MATCH(1,$O81:$O81,0))))),SUM($O81:$O81))</f>
        <v>0</v>
      </c>
      <c r="C81" s="128" t="s">
        <v>577</v>
      </c>
      <c r="D81" s="24" t="s">
        <v>578</v>
      </c>
      <c r="E81" s="14" t="s">
        <v>476</v>
      </c>
      <c r="G81" s="272"/>
      <c r="I81" t="s">
        <v>562</v>
      </c>
      <c r="N81" s="117">
        <f t="shared" si="11"/>
        <v>0</v>
      </c>
      <c r="O81" s="72">
        <f t="shared" si="4"/>
        <v>0</v>
      </c>
    </row>
    <row r="82" spans="1:15" x14ac:dyDescent="0.35">
      <c r="A82" s="72" cm="1">
        <f t="array" aca="1" ref="A82" ca="1">HYPERLINK(CONCATENATE("#",CELL("address",IF(O82=0,A82,INDEX($O82:$O82,MATCH(1,$O82:$O82,0))))),SUM($O82:$O82))</f>
        <v>0</v>
      </c>
      <c r="C82" s="128" t="s">
        <v>579</v>
      </c>
      <c r="D82" s="24" t="s">
        <v>580</v>
      </c>
      <c r="E82" s="14" t="s">
        <v>476</v>
      </c>
      <c r="G82" s="272"/>
      <c r="I82" t="s">
        <v>562</v>
      </c>
      <c r="N82" s="117">
        <f t="shared" si="11"/>
        <v>0</v>
      </c>
      <c r="O82" s="72">
        <f t="shared" ref="O82:O103" si="12">IF(OR(ISNUMBER(G82),ISBLANK(G82)),0,1)</f>
        <v>0</v>
      </c>
    </row>
    <row r="83" spans="1:15" x14ac:dyDescent="0.35">
      <c r="A83" s="72" cm="1">
        <f t="array" aca="1" ref="A83" ca="1">HYPERLINK(CONCATENATE("#",CELL("address",IF(O83=0,A83,INDEX($O83:$O83,MATCH(1,$O83:$O83,0))))),SUM($O83:$O83))</f>
        <v>0</v>
      </c>
      <c r="C83" s="128" t="s">
        <v>581</v>
      </c>
      <c r="D83" s="24" t="s">
        <v>582</v>
      </c>
      <c r="E83" s="14" t="s">
        <v>476</v>
      </c>
      <c r="G83" s="272"/>
      <c r="I83" t="s">
        <v>562</v>
      </c>
      <c r="N83" s="117">
        <f t="shared" si="11"/>
        <v>0</v>
      </c>
      <c r="O83" s="72">
        <f t="shared" si="12"/>
        <v>0</v>
      </c>
    </row>
    <row r="84" spans="1:15" x14ac:dyDescent="0.35">
      <c r="A84" s="72" cm="1">
        <f t="array" aca="1" ref="A84" ca="1">HYPERLINK(CONCATENATE("#",CELL("address",IF(O84=0,A84,INDEX($O84:$O84,MATCH(1,$O84:$O84,0))))),SUM($O84:$O84))</f>
        <v>0</v>
      </c>
      <c r="C84" s="128" t="s">
        <v>583</v>
      </c>
      <c r="D84" s="24" t="s">
        <v>584</v>
      </c>
      <c r="E84" s="14" t="s">
        <v>476</v>
      </c>
      <c r="G84" s="272"/>
      <c r="I84" t="s">
        <v>562</v>
      </c>
      <c r="N84" s="117">
        <f t="shared" si="11"/>
        <v>0</v>
      </c>
      <c r="O84" s="72">
        <f t="shared" si="12"/>
        <v>0</v>
      </c>
    </row>
    <row r="85" spans="1:15" x14ac:dyDescent="0.35">
      <c r="A85" s="72" cm="1">
        <f t="array" aca="1" ref="A85" ca="1">HYPERLINK(CONCATENATE("#",CELL("address",IF(O85=0,A85,INDEX($O85:$O85,MATCH(1,$O85:$O85,0))))),SUM($O85:$O85))</f>
        <v>0</v>
      </c>
      <c r="C85" s="128" t="s">
        <v>585</v>
      </c>
      <c r="D85" s="77" t="s">
        <v>586</v>
      </c>
      <c r="G85" s="268">
        <f>SUM(G77:G84)</f>
        <v>0</v>
      </c>
      <c r="I85"/>
      <c r="N85" s="117">
        <f t="shared" si="11"/>
        <v>0</v>
      </c>
      <c r="O85" s="72">
        <f t="shared" si="12"/>
        <v>0</v>
      </c>
    </row>
    <row r="86" spans="1:15" x14ac:dyDescent="0.35">
      <c r="C86" s="128"/>
      <c r="D86" s="24"/>
      <c r="G86" s="14"/>
      <c r="I86"/>
      <c r="O86" s="80">
        <f t="shared" si="12"/>
        <v>0</v>
      </c>
    </row>
    <row r="87" spans="1:15" x14ac:dyDescent="0.35">
      <c r="C87" s="128"/>
      <c r="D87" s="77" t="s">
        <v>587</v>
      </c>
      <c r="G87" s="14"/>
      <c r="I87"/>
      <c r="O87" s="80">
        <f t="shared" si="12"/>
        <v>0</v>
      </c>
    </row>
    <row r="88" spans="1:15" ht="29" x14ac:dyDescent="0.35">
      <c r="A88" s="72" cm="1">
        <f t="array" aca="1" ref="A88" ca="1">HYPERLINK(CONCATENATE("#",CELL("address",IF(O88=0,A88,INDEX($O88:$O88,MATCH(1,$O88:$O88,0))))),SUM($O88:$O88))</f>
        <v>0</v>
      </c>
      <c r="B88" s="84" t="s">
        <v>5</v>
      </c>
      <c r="C88" s="128" t="s">
        <v>588</v>
      </c>
      <c r="D88" s="24" t="s">
        <v>589</v>
      </c>
      <c r="E88" s="14" t="s">
        <v>476</v>
      </c>
      <c r="G88" s="272"/>
      <c r="I88" t="s">
        <v>562</v>
      </c>
      <c r="N88" s="117">
        <f>IF(G88&lt;0, 1, 0)</f>
        <v>0</v>
      </c>
      <c r="O88" s="72">
        <f t="shared" si="12"/>
        <v>0</v>
      </c>
    </row>
    <row r="89" spans="1:15" x14ac:dyDescent="0.35">
      <c r="A89" s="72" cm="1">
        <f t="array" aca="1" ref="A89" ca="1">HYPERLINK(CONCATENATE("#",CELL("address",IF(O89=0,A89,INDEX($O89:$O89,MATCH(1,$O89:$O89,0))))),SUM($O89:$O89))</f>
        <v>0</v>
      </c>
      <c r="B89" s="81" t="s">
        <v>5</v>
      </c>
      <c r="C89" s="128" t="s">
        <v>590</v>
      </c>
      <c r="D89" s="24" t="s">
        <v>591</v>
      </c>
      <c r="E89" s="14" t="s">
        <v>476</v>
      </c>
      <c r="G89" s="272"/>
      <c r="I89" t="s">
        <v>474</v>
      </c>
      <c r="N89" s="117">
        <f>IF(G89&lt;0, 1, 0)</f>
        <v>0</v>
      </c>
      <c r="O89" s="72">
        <f t="shared" si="12"/>
        <v>0</v>
      </c>
    </row>
    <row r="90" spans="1:15" x14ac:dyDescent="0.35">
      <c r="A90" s="72" cm="1">
        <f t="array" aca="1" ref="A90" ca="1">HYPERLINK(CONCATENATE("#",CELL("address",IF(O90=0,A90,INDEX($O90:$O90,MATCH(1,$O90:$O90,0))))),SUM($O90:$O90))</f>
        <v>0</v>
      </c>
      <c r="C90" s="128" t="s">
        <v>592</v>
      </c>
      <c r="D90" s="77" t="s">
        <v>593</v>
      </c>
      <c r="G90" s="268">
        <f>SUM(G88:G89)</f>
        <v>0</v>
      </c>
      <c r="I90"/>
      <c r="N90" s="117">
        <f>IF(G90&lt;0, 1, 0)</f>
        <v>0</v>
      </c>
      <c r="O90" s="72">
        <f t="shared" si="12"/>
        <v>0</v>
      </c>
    </row>
    <row r="91" spans="1:15" x14ac:dyDescent="0.35">
      <c r="C91" s="128"/>
      <c r="D91" s="24"/>
      <c r="G91" s="14"/>
      <c r="I91"/>
      <c r="O91" s="80">
        <f t="shared" si="12"/>
        <v>0</v>
      </c>
    </row>
    <row r="92" spans="1:15" x14ac:dyDescent="0.35">
      <c r="C92" s="128"/>
      <c r="D92" s="77" t="s">
        <v>594</v>
      </c>
      <c r="G92" s="14"/>
      <c r="I92"/>
      <c r="O92" s="80">
        <f t="shared" si="12"/>
        <v>0</v>
      </c>
    </row>
    <row r="93" spans="1:15" x14ac:dyDescent="0.35">
      <c r="A93" s="72" cm="1">
        <f t="array" aca="1" ref="A93" ca="1">HYPERLINK(CONCATENATE("#",CELL("address",IF(O93=0,A93,INDEX($O93:$O93,MATCH(1,$O93:$O93,0))))),SUM($O93:$O93))</f>
        <v>0</v>
      </c>
      <c r="C93" s="128" t="s">
        <v>595</v>
      </c>
      <c r="D93" s="24" t="s">
        <v>596</v>
      </c>
      <c r="E93" s="14" t="s">
        <v>476</v>
      </c>
      <c r="G93" s="272"/>
      <c r="I93" t="s">
        <v>471</v>
      </c>
      <c r="N93" s="117">
        <f>IF(G93&lt;0, 1, 0)</f>
        <v>0</v>
      </c>
      <c r="O93" s="72">
        <f t="shared" si="12"/>
        <v>0</v>
      </c>
    </row>
    <row r="94" spans="1:15" x14ac:dyDescent="0.35">
      <c r="A94" s="72" cm="1">
        <f t="array" aca="1" ref="A94" ca="1">HYPERLINK(CONCATENATE("#",CELL("address",IF(O94=0,A94,INDEX($O94:$O94,MATCH(1,$O94:$O94,0))))),SUM($O94:$O94))</f>
        <v>0</v>
      </c>
      <c r="C94" s="128" t="s">
        <v>597</v>
      </c>
      <c r="D94" s="24" t="s">
        <v>598</v>
      </c>
      <c r="E94" s="14" t="s">
        <v>476</v>
      </c>
      <c r="G94" s="272"/>
      <c r="I94" t="s">
        <v>471</v>
      </c>
      <c r="N94" s="117">
        <f>IF(G94&lt;0, 1, 0)</f>
        <v>0</v>
      </c>
      <c r="O94" s="72">
        <f t="shared" si="12"/>
        <v>0</v>
      </c>
    </row>
    <row r="95" spans="1:15" x14ac:dyDescent="0.35">
      <c r="A95" s="72" cm="1">
        <f t="array" aca="1" ref="A95" ca="1">HYPERLINK(CONCATENATE("#",CELL("address",IF(O95=0,A95,INDEX($O95:$O95,MATCH(1,$O95:$O95,0))))),SUM($O95:$O95))</f>
        <v>0</v>
      </c>
      <c r="C95" s="128" t="s">
        <v>599</v>
      </c>
      <c r="D95" s="24" t="s">
        <v>600</v>
      </c>
      <c r="E95" s="14" t="s">
        <v>476</v>
      </c>
      <c r="G95" s="272"/>
      <c r="I95" t="s">
        <v>472</v>
      </c>
      <c r="N95" s="117">
        <f>IF(G95&lt;0, 1, 0)</f>
        <v>0</v>
      </c>
      <c r="O95" s="72">
        <f t="shared" si="12"/>
        <v>0</v>
      </c>
    </row>
    <row r="96" spans="1:15" x14ac:dyDescent="0.35">
      <c r="A96" s="72" cm="1">
        <f t="array" aca="1" ref="A96" ca="1">HYPERLINK(CONCATENATE("#",CELL("address",IF(O96=0,A96,INDEX($O96:$O96,MATCH(1,$O96:$O96,0))))),SUM($O96:$O96))</f>
        <v>0</v>
      </c>
      <c r="C96" s="128" t="s">
        <v>601</v>
      </c>
      <c r="D96" s="77" t="s">
        <v>602</v>
      </c>
      <c r="E96" s="83" t="s">
        <v>476</v>
      </c>
      <c r="G96" s="268">
        <f>SUM(G93:G95)</f>
        <v>0</v>
      </c>
      <c r="I96"/>
      <c r="N96" s="117">
        <f>IF(G96&lt;0, 1, 0)</f>
        <v>0</v>
      </c>
      <c r="O96" s="72">
        <f t="shared" si="12"/>
        <v>0</v>
      </c>
    </row>
    <row r="97" spans="1:15" x14ac:dyDescent="0.35">
      <c r="C97" s="128"/>
      <c r="D97" s="24"/>
      <c r="G97" s="14"/>
      <c r="I97"/>
      <c r="O97" s="80">
        <f t="shared" si="12"/>
        <v>0</v>
      </c>
    </row>
    <row r="98" spans="1:15" ht="29" x14ac:dyDescent="0.35">
      <c r="A98" s="72" cm="1">
        <f t="array" aca="1" ref="A98" ca="1">HYPERLINK(CONCATENATE("#",CELL("address",IF(O98=0,A98,INDEX($O98:$O98,MATCH(1,$O98:$O98,0))))),SUM($O98:$O98))</f>
        <v>0</v>
      </c>
      <c r="B98" s="84" t="s">
        <v>5</v>
      </c>
      <c r="C98" s="128" t="s">
        <v>603</v>
      </c>
      <c r="D98" s="24" t="s">
        <v>604</v>
      </c>
      <c r="E98" s="14" t="s">
        <v>476</v>
      </c>
      <c r="G98" s="272"/>
      <c r="I98" t="s">
        <v>562</v>
      </c>
      <c r="N98" s="117">
        <f>IF(G98&lt;0, 1, 0)</f>
        <v>0</v>
      </c>
      <c r="O98" s="72">
        <f t="shared" si="12"/>
        <v>0</v>
      </c>
    </row>
    <row r="99" spans="1:15" x14ac:dyDescent="0.35">
      <c r="A99" s="72" cm="1">
        <f t="array" aca="1" ref="A99" ca="1">HYPERLINK(CONCATENATE("#",CELL("address",IF(O99=0,A99,INDEX($O99:$O99,MATCH(1,$O99:$O99,0))))),SUM($O99:$O99))</f>
        <v>0</v>
      </c>
      <c r="C99" s="128" t="s">
        <v>605</v>
      </c>
      <c r="D99" s="24" t="s">
        <v>606</v>
      </c>
      <c r="E99" s="14" t="s">
        <v>476</v>
      </c>
      <c r="G99" s="272"/>
      <c r="I99" t="s">
        <v>562</v>
      </c>
      <c r="N99" s="117">
        <f>IF(G99&lt;0, 1, 0)</f>
        <v>0</v>
      </c>
      <c r="O99" s="72">
        <f t="shared" si="12"/>
        <v>0</v>
      </c>
    </row>
    <row r="100" spans="1:15" x14ac:dyDescent="0.35">
      <c r="A100" s="72" cm="1">
        <f t="array" aca="1" ref="A100" ca="1">HYPERLINK(CONCATENATE("#",CELL("address",IF(O100=0,A100,INDEX($O100:$O100,MATCH(1,$O100:$O100,0))))),SUM($O100:$O100))</f>
        <v>0</v>
      </c>
      <c r="C100" s="128" t="s">
        <v>607</v>
      </c>
      <c r="D100" s="77" t="s">
        <v>608</v>
      </c>
      <c r="E100" s="14" t="s">
        <v>476</v>
      </c>
      <c r="G100" s="268">
        <f>SUM(G98:G99)</f>
        <v>0</v>
      </c>
      <c r="I100"/>
      <c r="N100" s="117">
        <f>IF(G100&lt;0, 1, 0)</f>
        <v>0</v>
      </c>
      <c r="O100" s="72">
        <f t="shared" si="12"/>
        <v>0</v>
      </c>
    </row>
    <row r="101" spans="1:15" x14ac:dyDescent="0.35">
      <c r="C101" s="128"/>
      <c r="D101" s="24"/>
      <c r="G101" s="14"/>
      <c r="I101"/>
      <c r="O101" s="80">
        <f t="shared" si="12"/>
        <v>0</v>
      </c>
    </row>
    <row r="102" spans="1:15" x14ac:dyDescent="0.35">
      <c r="A102" s="72" cm="1">
        <f t="array" aca="1" ref="A102" ca="1">HYPERLINK(CONCATENATE("#",CELL("address",IF(O102=0,A102,INDEX($O102:$O102,MATCH(1,$O102:$O102,0))))),SUM($O102:$O102))</f>
        <v>0</v>
      </c>
      <c r="C102" s="128" t="s">
        <v>609</v>
      </c>
      <c r="D102" s="77" t="s">
        <v>610</v>
      </c>
      <c r="G102" s="268">
        <f>G12+G22+G28+G37+G45+G52+G74+G85+G90+G96+G100+G59</f>
        <v>0</v>
      </c>
      <c r="I102"/>
      <c r="N102" s="117">
        <f>IF(G102&lt;0, 1, 0)</f>
        <v>0</v>
      </c>
      <c r="O102" s="72">
        <f t="shared" si="12"/>
        <v>0</v>
      </c>
    </row>
    <row r="103" spans="1:15" x14ac:dyDescent="0.35">
      <c r="C103" s="128"/>
      <c r="D103" s="24"/>
      <c r="G103" s="14"/>
      <c r="I103"/>
      <c r="O103" s="80">
        <f t="shared" si="12"/>
        <v>0</v>
      </c>
    </row>
    <row r="104" spans="1:15" x14ac:dyDescent="0.35">
      <c r="C104" s="128"/>
      <c r="D104" s="77" t="s">
        <v>611</v>
      </c>
      <c r="G104" s="14"/>
      <c r="I104"/>
      <c r="O104" s="80">
        <f t="shared" ref="O104:O135" si="13">IF(OR(ISNUMBER(G104),ISBLANK(G104)),0,1)</f>
        <v>0</v>
      </c>
    </row>
    <row r="105" spans="1:15" x14ac:dyDescent="0.35">
      <c r="A105" s="72" cm="1">
        <f t="array" aca="1" ref="A105" ca="1">HYPERLINK(CONCATENATE("#",CELL("address",IF(O105=0,A105,INDEX($O105:$O105,MATCH(1,$O105:$O105,0))))),SUM($O105:$O105))</f>
        <v>0</v>
      </c>
      <c r="B105" s="81" t="s">
        <v>5</v>
      </c>
      <c r="C105" s="128" t="s">
        <v>612</v>
      </c>
      <c r="D105" s="24" t="s">
        <v>141</v>
      </c>
      <c r="E105" s="14" t="s">
        <v>613</v>
      </c>
      <c r="G105" s="272"/>
      <c r="I105" t="s">
        <v>477</v>
      </c>
      <c r="N105" s="117">
        <f t="shared" ref="N105:N114" si="14">IF(G105&lt;0, 1, 0)</f>
        <v>0</v>
      </c>
      <c r="O105" s="72">
        <f t="shared" si="13"/>
        <v>0</v>
      </c>
    </row>
    <row r="106" spans="1:15" x14ac:dyDescent="0.35">
      <c r="A106" s="72" cm="1">
        <f t="array" aca="1" ref="A106" ca="1">HYPERLINK(CONCATENATE("#",CELL("address",IF(O106=0,A106,INDEX($O106:$O106,MATCH(1,$O106:$O106,0))))),SUM($O106:$O106))</f>
        <v>0</v>
      </c>
      <c r="B106" s="81" t="s">
        <v>5</v>
      </c>
      <c r="C106" s="128" t="s">
        <v>614</v>
      </c>
      <c r="D106" s="24" t="s">
        <v>615</v>
      </c>
      <c r="E106" s="14" t="s">
        <v>613</v>
      </c>
      <c r="G106" s="272"/>
      <c r="I106" t="s">
        <v>477</v>
      </c>
      <c r="N106" s="117">
        <f t="shared" si="14"/>
        <v>0</v>
      </c>
      <c r="O106" s="72">
        <f t="shared" si="13"/>
        <v>0</v>
      </c>
    </row>
    <row r="107" spans="1:15" x14ac:dyDescent="0.35">
      <c r="A107" s="72" cm="1">
        <f t="array" aca="1" ref="A107" ca="1">HYPERLINK(CONCATENATE("#",CELL("address",IF(O107=0,A107,INDEX($O107:$O107,MATCH(1,$O107:$O107,0))))),SUM($O107:$O107))</f>
        <v>0</v>
      </c>
      <c r="B107" s="81" t="s">
        <v>5</v>
      </c>
      <c r="C107" s="128" t="s">
        <v>616</v>
      </c>
      <c r="D107" s="24" t="s">
        <v>617</v>
      </c>
      <c r="E107" s="14" t="s">
        <v>613</v>
      </c>
      <c r="G107" s="272"/>
      <c r="I107" t="s">
        <v>477</v>
      </c>
      <c r="N107" s="117">
        <f t="shared" si="14"/>
        <v>0</v>
      </c>
      <c r="O107" s="72">
        <f t="shared" si="13"/>
        <v>0</v>
      </c>
    </row>
    <row r="108" spans="1:15" x14ac:dyDescent="0.35">
      <c r="A108" s="72" cm="1">
        <f t="array" aca="1" ref="A108" ca="1">HYPERLINK(CONCATENATE("#",CELL("address",IF(O108=0,A108,INDEX($O108:$O108,MATCH(1,$O108:$O108,0))))),SUM($O108:$O108))</f>
        <v>0</v>
      </c>
      <c r="B108" s="81" t="s">
        <v>5</v>
      </c>
      <c r="C108" s="128" t="s">
        <v>618</v>
      </c>
      <c r="D108" s="24" t="s">
        <v>619</v>
      </c>
      <c r="E108" s="14" t="s">
        <v>613</v>
      </c>
      <c r="G108" s="272"/>
      <c r="I108" t="s">
        <v>477</v>
      </c>
      <c r="N108" s="117">
        <f t="shared" si="14"/>
        <v>0</v>
      </c>
      <c r="O108" s="72">
        <f t="shared" si="13"/>
        <v>0</v>
      </c>
    </row>
    <row r="109" spans="1:15" x14ac:dyDescent="0.35">
      <c r="A109" s="72" cm="1">
        <f t="array" aca="1" ref="A109" ca="1">HYPERLINK(CONCATENATE("#",CELL("address",IF(O109=0,A109,INDEX($O109:$O109,MATCH(1,$O109:$O109,0))))),SUM($O109:$O109))</f>
        <v>0</v>
      </c>
      <c r="B109" s="81" t="s">
        <v>5</v>
      </c>
      <c r="C109" s="128" t="s">
        <v>620</v>
      </c>
      <c r="D109" s="24" t="s">
        <v>621</v>
      </c>
      <c r="E109" s="14" t="s">
        <v>613</v>
      </c>
      <c r="G109" s="272"/>
      <c r="I109" t="s">
        <v>477</v>
      </c>
      <c r="N109" s="117">
        <f t="shared" si="14"/>
        <v>0</v>
      </c>
      <c r="O109" s="72">
        <f t="shared" si="13"/>
        <v>0</v>
      </c>
    </row>
    <row r="110" spans="1:15" x14ac:dyDescent="0.35">
      <c r="A110" s="72" cm="1">
        <f t="array" aca="1" ref="A110" ca="1">HYPERLINK(CONCATENATE("#",CELL("address",IF(O110=0,A110,INDEX($O110:$O110,MATCH(1,$O110:$O110,0))))),SUM($O110:$O110))</f>
        <v>0</v>
      </c>
      <c r="B110" s="81" t="s">
        <v>5</v>
      </c>
      <c r="C110" s="128" t="s">
        <v>622</v>
      </c>
      <c r="D110" s="24" t="s">
        <v>623</v>
      </c>
      <c r="E110" s="14" t="s">
        <v>613</v>
      </c>
      <c r="G110" s="272"/>
      <c r="I110" t="s">
        <v>477</v>
      </c>
      <c r="N110" s="117">
        <f t="shared" si="14"/>
        <v>0</v>
      </c>
      <c r="O110" s="72">
        <f t="shared" si="13"/>
        <v>0</v>
      </c>
    </row>
    <row r="111" spans="1:15" x14ac:dyDescent="0.35">
      <c r="A111" s="72" cm="1">
        <f t="array" aca="1" ref="A111" ca="1">HYPERLINK(CONCATENATE("#",CELL("address",IF(O111=0,A111,INDEX($O111:$O111,MATCH(1,$O111:$O111,0))))),SUM($O111:$O111))</f>
        <v>0</v>
      </c>
      <c r="B111"/>
      <c r="C111" s="128" t="s">
        <v>624</v>
      </c>
      <c r="D111" s="24" t="s">
        <v>625</v>
      </c>
      <c r="E111" s="14" t="s">
        <v>613</v>
      </c>
      <c r="G111" s="272"/>
      <c r="I111" t="s">
        <v>477</v>
      </c>
      <c r="N111" s="117">
        <f t="shared" si="14"/>
        <v>0</v>
      </c>
      <c r="O111" s="72">
        <f t="shared" si="13"/>
        <v>0</v>
      </c>
    </row>
    <row r="112" spans="1:15" x14ac:dyDescent="0.35">
      <c r="A112" s="72" cm="1">
        <f t="array" aca="1" ref="A112" ca="1">HYPERLINK(CONCATENATE("#",CELL("address",IF(O112=0,A112,INDEX($O112:$O112,MATCH(1,$O112:$O112,0))))),SUM($O112:$O112))</f>
        <v>0</v>
      </c>
      <c r="B112" s="81" t="s">
        <v>5</v>
      </c>
      <c r="C112" s="128" t="s">
        <v>626</v>
      </c>
      <c r="D112" s="24" t="s">
        <v>627</v>
      </c>
      <c r="E112" s="14" t="s">
        <v>613</v>
      </c>
      <c r="G112" s="272"/>
      <c r="I112" t="s">
        <v>477</v>
      </c>
      <c r="N112" s="117">
        <f t="shared" si="14"/>
        <v>0</v>
      </c>
      <c r="O112" s="72">
        <f t="shared" si="13"/>
        <v>0</v>
      </c>
    </row>
    <row r="113" spans="1:15" x14ac:dyDescent="0.35">
      <c r="A113" s="72" cm="1">
        <f t="array" aca="1" ref="A113" ca="1">HYPERLINK(CONCATENATE("#",CELL("address",IF(O113=0,A113,INDEX($O113:$O113,MATCH(1,$O113:$O113,0))))),SUM($O113:$O113))</f>
        <v>0</v>
      </c>
      <c r="B113" s="84" t="s">
        <v>5</v>
      </c>
      <c r="C113" s="128" t="s">
        <v>628</v>
      </c>
      <c r="D113" s="24" t="s">
        <v>629</v>
      </c>
      <c r="E113" s="14" t="s">
        <v>613</v>
      </c>
      <c r="F113" s="422" t="str">
        <f>HYPERLINK("#Miscellaneous!G47", "LGPS")</f>
        <v>LGPS</v>
      </c>
      <c r="G113" s="346">
        <f>SUM(Miscellaneous!G47:G51)+Miscellaneous!G71+Miscellaneous!G73</f>
        <v>0</v>
      </c>
      <c r="I113" t="s">
        <v>477</v>
      </c>
      <c r="N113" s="117">
        <f t="shared" si="14"/>
        <v>0</v>
      </c>
      <c r="O113" s="72">
        <f t="shared" si="13"/>
        <v>0</v>
      </c>
    </row>
    <row r="114" spans="1:15" x14ac:dyDescent="0.35">
      <c r="A114" s="72" cm="1">
        <f t="array" aca="1" ref="A114" ca="1">HYPERLINK(CONCATENATE("#",CELL("address",IF(O114=0,A114,INDEX($O114:$O114,MATCH(1,$O114:$O114,0))))),SUM($O114:$O114))</f>
        <v>0</v>
      </c>
      <c r="C114" s="128" t="s">
        <v>630</v>
      </c>
      <c r="D114" s="77" t="s">
        <v>631</v>
      </c>
      <c r="G114" s="268">
        <f>SUM(G105:G113)</f>
        <v>0</v>
      </c>
      <c r="I114"/>
      <c r="N114" s="117">
        <f t="shared" si="14"/>
        <v>0</v>
      </c>
      <c r="O114" s="72">
        <f t="shared" si="13"/>
        <v>0</v>
      </c>
    </row>
    <row r="115" spans="1:15" x14ac:dyDescent="0.35">
      <c r="C115" s="128"/>
      <c r="D115" s="24"/>
      <c r="G115" s="14"/>
      <c r="I115"/>
      <c r="O115" s="80">
        <f t="shared" si="13"/>
        <v>0</v>
      </c>
    </row>
    <row r="116" spans="1:15" x14ac:dyDescent="0.35">
      <c r="C116" s="128"/>
      <c r="D116" s="77" t="s">
        <v>632</v>
      </c>
      <c r="G116" s="14"/>
      <c r="I116"/>
      <c r="O116" s="80">
        <f t="shared" si="13"/>
        <v>0</v>
      </c>
    </row>
    <row r="117" spans="1:15" x14ac:dyDescent="0.35">
      <c r="A117" s="72" cm="1">
        <f t="array" aca="1" ref="A117" ca="1">HYPERLINK(CONCATENATE("#",CELL("address",IF(O117=0,A117,INDEX($O117:$O117,MATCH(1,$O117:$O117,0))))),SUM($O117:$O117))</f>
        <v>0</v>
      </c>
      <c r="B117" s="81" t="s">
        <v>5</v>
      </c>
      <c r="C117" s="128" t="s">
        <v>633</v>
      </c>
      <c r="D117" s="24" t="s">
        <v>634</v>
      </c>
      <c r="E117" s="14" t="s">
        <v>613</v>
      </c>
      <c r="G117" s="272"/>
      <c r="I117" t="s">
        <v>480</v>
      </c>
      <c r="N117" s="117">
        <f t="shared" ref="N117:N128" si="15">IF(G117&lt;0, 1, 0)</f>
        <v>0</v>
      </c>
      <c r="O117" s="72">
        <f t="shared" si="13"/>
        <v>0</v>
      </c>
    </row>
    <row r="118" spans="1:15" x14ac:dyDescent="0.35">
      <c r="A118" s="72" cm="1">
        <f t="array" aca="1" ref="A118" ca="1">HYPERLINK(CONCATENATE("#",CELL("address",IF(O118=0,A118,INDEX($O118:$O118,MATCH(1,$O118:$O118,0))))),SUM($O118:$O118))</f>
        <v>0</v>
      </c>
      <c r="B118" s="81" t="s">
        <v>5</v>
      </c>
      <c r="C118" s="128" t="s">
        <v>635</v>
      </c>
      <c r="D118" s="24" t="s">
        <v>636</v>
      </c>
      <c r="E118" s="14" t="s">
        <v>613</v>
      </c>
      <c r="G118" s="272"/>
      <c r="I118" t="s">
        <v>480</v>
      </c>
      <c r="N118" s="117">
        <f t="shared" si="15"/>
        <v>0</v>
      </c>
      <c r="O118" s="72">
        <f t="shared" si="13"/>
        <v>0</v>
      </c>
    </row>
    <row r="119" spans="1:15" x14ac:dyDescent="0.35">
      <c r="A119" s="72" cm="1">
        <f t="array" aca="1" ref="A119" ca="1">HYPERLINK(CONCATENATE("#",CELL("address",IF(O119=0,A119,INDEX($O119:$O119,MATCH(1,$O119:$O119,0))))),SUM($O119:$O119))</f>
        <v>0</v>
      </c>
      <c r="B119" s="81" t="s">
        <v>5</v>
      </c>
      <c r="C119" s="128" t="s">
        <v>637</v>
      </c>
      <c r="D119" s="24" t="s">
        <v>638</v>
      </c>
      <c r="E119" s="14" t="s">
        <v>613</v>
      </c>
      <c r="G119" s="272"/>
      <c r="I119" t="s">
        <v>480</v>
      </c>
      <c r="N119" s="117">
        <f t="shared" si="15"/>
        <v>0</v>
      </c>
      <c r="O119" s="72">
        <f t="shared" si="13"/>
        <v>0</v>
      </c>
    </row>
    <row r="120" spans="1:15" x14ac:dyDescent="0.35">
      <c r="A120" s="72" cm="1">
        <f t="array" aca="1" ref="A120" ca="1">HYPERLINK(CONCATENATE("#",CELL("address",IF(O120=0,A120,INDEX($O120:$O120,MATCH(1,$O120:$O120,0))))),SUM($O120:$O120))</f>
        <v>0</v>
      </c>
      <c r="B120" s="81" t="s">
        <v>5</v>
      </c>
      <c r="C120" s="128" t="s">
        <v>639</v>
      </c>
      <c r="D120" s="24" t="s">
        <v>640</v>
      </c>
      <c r="E120" s="14" t="s">
        <v>613</v>
      </c>
      <c r="G120" s="272"/>
      <c r="I120" t="s">
        <v>480</v>
      </c>
      <c r="N120" s="117">
        <f t="shared" si="15"/>
        <v>0</v>
      </c>
      <c r="O120" s="72">
        <f t="shared" si="13"/>
        <v>0</v>
      </c>
    </row>
    <row r="121" spans="1:15" x14ac:dyDescent="0.35">
      <c r="A121" s="72" cm="1">
        <f t="array" aca="1" ref="A121" ca="1">HYPERLINK(CONCATENATE("#",CELL("address",IF(O121=0,A121,INDEX($O121:$O121,MATCH(1,$O121:$O121,0))))),SUM($O121:$O121))</f>
        <v>0</v>
      </c>
      <c r="B121"/>
      <c r="C121" s="128" t="s">
        <v>641</v>
      </c>
      <c r="D121" s="24" t="s">
        <v>642</v>
      </c>
      <c r="E121" s="14" t="s">
        <v>613</v>
      </c>
      <c r="G121" s="272"/>
      <c r="I121" t="s">
        <v>480</v>
      </c>
      <c r="N121" s="117">
        <f t="shared" si="15"/>
        <v>0</v>
      </c>
      <c r="O121" s="72">
        <f t="shared" si="13"/>
        <v>0</v>
      </c>
    </row>
    <row r="122" spans="1:15" x14ac:dyDescent="0.35">
      <c r="A122" s="72" cm="1">
        <f t="array" aca="1" ref="A122" ca="1">HYPERLINK(CONCATENATE("#",CELL("address",IF(O122=0,A122,INDEX($O122:$O122,MATCH(1,$O122:$O122,0))))),SUM($O122:$O122))</f>
        <v>0</v>
      </c>
      <c r="B122"/>
      <c r="C122" s="128" t="s">
        <v>643</v>
      </c>
      <c r="D122" s="24" t="s">
        <v>644</v>
      </c>
      <c r="E122" s="14" t="s">
        <v>613</v>
      </c>
      <c r="G122" s="272"/>
      <c r="I122" t="s">
        <v>480</v>
      </c>
      <c r="N122" s="117">
        <f t="shared" si="15"/>
        <v>0</v>
      </c>
      <c r="O122" s="72">
        <f t="shared" si="13"/>
        <v>0</v>
      </c>
    </row>
    <row r="123" spans="1:15" x14ac:dyDescent="0.35">
      <c r="A123" s="72" cm="1">
        <f t="array" aca="1" ref="A123" ca="1">HYPERLINK(CONCATENATE("#",CELL("address",IF(O123=0,A123,INDEX($O123:$O123,MATCH(1,$O123:$O123,0))))),SUM($O123:$O123))</f>
        <v>0</v>
      </c>
      <c r="B123"/>
      <c r="C123" s="128" t="s">
        <v>645</v>
      </c>
      <c r="D123" s="24" t="s">
        <v>646</v>
      </c>
      <c r="E123" s="14" t="s">
        <v>613</v>
      </c>
      <c r="G123" s="272"/>
      <c r="I123" t="s">
        <v>480</v>
      </c>
      <c r="N123" s="117">
        <f t="shared" si="15"/>
        <v>0</v>
      </c>
      <c r="O123" s="72">
        <f t="shared" si="13"/>
        <v>0</v>
      </c>
    </row>
    <row r="124" spans="1:15" x14ac:dyDescent="0.35">
      <c r="A124" s="72" cm="1">
        <f t="array" aca="1" ref="A124" ca="1">HYPERLINK(CONCATENATE("#",CELL("address",IF(O124=0,A124,INDEX($O124:$O124,MATCH(1,$O124:$O124,0))))),SUM($O124:$O124))</f>
        <v>0</v>
      </c>
      <c r="B124"/>
      <c r="C124" s="128" t="s">
        <v>647</v>
      </c>
      <c r="D124" s="24" t="s">
        <v>648</v>
      </c>
      <c r="E124" s="14" t="s">
        <v>613</v>
      </c>
      <c r="F124" s="347">
        <f>IF(AND(G124&lt;&gt;0,G60=0,G53=0,G46=0,G38=0,G29=0,G23=0,G13=0),1,0)</f>
        <v>0</v>
      </c>
      <c r="G124" s="272"/>
      <c r="I124" t="s">
        <v>480</v>
      </c>
      <c r="N124" s="117">
        <f t="shared" si="15"/>
        <v>0</v>
      </c>
      <c r="O124" s="348">
        <f>IF(AND(OR(ISNUMBER(G124),ISBLANK(G124)),F124=0),0,1)</f>
        <v>0</v>
      </c>
    </row>
    <row r="125" spans="1:15" x14ac:dyDescent="0.35">
      <c r="A125" s="72" cm="1">
        <f t="array" aca="1" ref="A125" ca="1">HYPERLINK(CONCATENATE("#",CELL("address",IF(O125=0,A125,INDEX($O125:$O125,MATCH(1,$O125:$O125,0))))),SUM($O125:$O125))</f>
        <v>0</v>
      </c>
      <c r="B125" s="81" t="s">
        <v>5</v>
      </c>
      <c r="C125" s="128" t="s">
        <v>649</v>
      </c>
      <c r="D125" s="24" t="s">
        <v>650</v>
      </c>
      <c r="E125" s="14" t="s">
        <v>613</v>
      </c>
      <c r="G125" s="272"/>
      <c r="I125" t="s">
        <v>480</v>
      </c>
      <c r="N125" s="117">
        <f t="shared" si="15"/>
        <v>0</v>
      </c>
      <c r="O125" s="72">
        <f t="shared" si="13"/>
        <v>0</v>
      </c>
    </row>
    <row r="126" spans="1:15" x14ac:dyDescent="0.35">
      <c r="A126" s="72" cm="1">
        <f t="array" aca="1" ref="A126" ca="1">HYPERLINK(CONCATENATE("#",CELL("address",IF(O126=0,A126,INDEX($O126:$O126,MATCH(1,$O126:$O126,0))))),SUM($O126:$O126))</f>
        <v>0</v>
      </c>
      <c r="B126" s="81" t="s">
        <v>5</v>
      </c>
      <c r="C126" s="128" t="s">
        <v>651</v>
      </c>
      <c r="D126" s="24" t="s">
        <v>652</v>
      </c>
      <c r="E126" s="14" t="s">
        <v>613</v>
      </c>
      <c r="G126" s="272"/>
      <c r="I126" t="s">
        <v>480</v>
      </c>
      <c r="N126" s="117">
        <f t="shared" si="15"/>
        <v>0</v>
      </c>
      <c r="O126" s="72">
        <f t="shared" si="13"/>
        <v>0</v>
      </c>
    </row>
    <row r="127" spans="1:15" x14ac:dyDescent="0.35">
      <c r="A127" s="72" cm="1">
        <f t="array" aca="1" ref="A127" ca="1">HYPERLINK(CONCATENATE("#",CELL("address",IF(O127=0,A127,INDEX($O127:$O127,MATCH(1,$O127:$O127,0))))),SUM($O127:$O127))</f>
        <v>0</v>
      </c>
      <c r="C127" s="128" t="s">
        <v>653</v>
      </c>
      <c r="D127" s="85" t="s">
        <v>654</v>
      </c>
      <c r="E127" s="14" t="s">
        <v>613</v>
      </c>
      <c r="G127" s="272"/>
      <c r="I127" t="s">
        <v>480</v>
      </c>
      <c r="N127" s="117">
        <f t="shared" si="15"/>
        <v>0</v>
      </c>
      <c r="O127" s="72">
        <f t="shared" si="13"/>
        <v>0</v>
      </c>
    </row>
    <row r="128" spans="1:15" x14ac:dyDescent="0.35">
      <c r="A128" s="72" cm="1">
        <f t="array" aca="1" ref="A128" ca="1">HYPERLINK(CONCATENATE("#",CELL("address",IF(O128=0,A128,INDEX($O128:$O128,MATCH(1,$O128:$O128,0))))),SUM($O128:$O128))</f>
        <v>0</v>
      </c>
      <c r="C128" s="128" t="s">
        <v>655</v>
      </c>
      <c r="D128" s="77" t="s">
        <v>656</v>
      </c>
      <c r="G128" s="268">
        <f>SUM(G117:G127)</f>
        <v>0</v>
      </c>
      <c r="I128"/>
      <c r="N128" s="117">
        <f t="shared" si="15"/>
        <v>0</v>
      </c>
      <c r="O128" s="72">
        <f t="shared" si="13"/>
        <v>0</v>
      </c>
    </row>
    <row r="129" spans="1:15" x14ac:dyDescent="0.35">
      <c r="C129" s="128"/>
      <c r="D129" s="24"/>
      <c r="F129" s="36" t="str">
        <f>IF(F124=1,"SUBCONTRACTING OUT COSTS MUST NOT BE ENTERED WITHOUT ANY ENTRY FOR SUBCONTRACTED OUT INCOME - FAILURE WILL RESULT IN A REJECTION OF THE RETURN","")</f>
        <v/>
      </c>
      <c r="G129" s="14"/>
      <c r="I129"/>
      <c r="O129" s="80"/>
    </row>
    <row r="130" spans="1:15" x14ac:dyDescent="0.35">
      <c r="C130" s="140"/>
      <c r="D130" s="77" t="s">
        <v>657</v>
      </c>
      <c r="G130" s="14"/>
      <c r="I130"/>
      <c r="O130" s="80">
        <f t="shared" si="13"/>
        <v>0</v>
      </c>
    </row>
    <row r="131" spans="1:15" x14ac:dyDescent="0.35">
      <c r="A131" s="72" cm="1">
        <f t="array" aca="1" ref="A131" ca="1">HYPERLINK(CONCATENATE("#",CELL("address",IF(O131=0,A131,INDEX($O131:$O131,MATCH(1,$O131:$O131,0))))),SUM($O131:$O131))</f>
        <v>0</v>
      </c>
      <c r="C131" s="128" t="s">
        <v>658</v>
      </c>
      <c r="D131" s="24" t="s">
        <v>659</v>
      </c>
      <c r="E131" s="14" t="s">
        <v>613</v>
      </c>
      <c r="G131" s="272"/>
      <c r="I131" t="s">
        <v>477</v>
      </c>
      <c r="N131" s="117">
        <f>IF(G131&lt;0, 1, 0)</f>
        <v>0</v>
      </c>
      <c r="O131" s="72">
        <f t="shared" si="13"/>
        <v>0</v>
      </c>
    </row>
    <row r="132" spans="1:15" x14ac:dyDescent="0.35">
      <c r="A132" s="72" cm="1">
        <f t="array" aca="1" ref="A132" ca="1">HYPERLINK(CONCATENATE("#",CELL("address",IF(O132=0,A132,INDEX($O132:$O132,MATCH(1,$O132:$O132,0))))),SUM($O132:$O132))</f>
        <v>0</v>
      </c>
      <c r="C132" s="128" t="s">
        <v>660</v>
      </c>
      <c r="D132" s="24" t="s">
        <v>661</v>
      </c>
      <c r="E132" s="14" t="s">
        <v>613</v>
      </c>
      <c r="F132" s="423" t="str">
        <f>HYPERLINK("#Miscellaneous!G61", "EPP")</f>
        <v>EPP</v>
      </c>
      <c r="G132" s="346">
        <f>Miscellaneous!G62</f>
        <v>0</v>
      </c>
      <c r="I132" t="s">
        <v>477</v>
      </c>
      <c r="N132" s="117">
        <f>IF(G132&lt;0, 1, 0)</f>
        <v>0</v>
      </c>
      <c r="O132" s="72">
        <f t="shared" si="13"/>
        <v>0</v>
      </c>
    </row>
    <row r="133" spans="1:15" x14ac:dyDescent="0.35">
      <c r="A133" s="72" cm="1">
        <f t="array" aca="1" ref="A133" ca="1">HYPERLINK(CONCATENATE("#",CELL("address",IF(O133=0,A133,INDEX($O133:$O133,MATCH(1,$O133:$O133,0))))),SUM($O133:$O133))</f>
        <v>0</v>
      </c>
      <c r="C133" s="128" t="s">
        <v>662</v>
      </c>
      <c r="D133" s="77" t="s">
        <v>663</v>
      </c>
      <c r="G133" s="268">
        <f>SUM(G131:G132)</f>
        <v>0</v>
      </c>
      <c r="I133"/>
      <c r="N133" s="117">
        <f>IF(G133&lt;0, 1, 0)</f>
        <v>0</v>
      </c>
      <c r="O133" s="72">
        <f t="shared" si="13"/>
        <v>0</v>
      </c>
    </row>
    <row r="134" spans="1:15" x14ac:dyDescent="0.35">
      <c r="C134" s="140"/>
      <c r="D134" s="24"/>
      <c r="G134" s="14"/>
      <c r="I134"/>
      <c r="O134" s="80">
        <f t="shared" si="13"/>
        <v>0</v>
      </c>
    </row>
    <row r="135" spans="1:15" x14ac:dyDescent="0.35">
      <c r="A135" s="72" cm="1">
        <f t="array" aca="1" ref="A135" ca="1">HYPERLINK(CONCATENATE("#",CELL("address",IF(O135=0,A135,INDEX($O135:$O135,MATCH(1,$O135:$O135,0))))),SUM($O135:$O135))</f>
        <v>0</v>
      </c>
      <c r="C135" s="128" t="s">
        <v>664</v>
      </c>
      <c r="D135" s="77" t="s">
        <v>665</v>
      </c>
      <c r="G135" s="268">
        <f>G114+G128+G133</f>
        <v>0</v>
      </c>
      <c r="I135"/>
      <c r="N135" s="14"/>
      <c r="O135" s="72">
        <f t="shared" si="13"/>
        <v>0</v>
      </c>
    </row>
    <row r="136" spans="1:15" x14ac:dyDescent="0.35">
      <c r="C136" s="140"/>
      <c r="D136" s="24"/>
      <c r="G136" s="14"/>
      <c r="I136"/>
      <c r="O136" s="80">
        <f t="shared" ref="O136:O166" si="16">IF(OR(ISNUMBER(G136),ISBLANK(G136)),0,1)</f>
        <v>0</v>
      </c>
    </row>
    <row r="137" spans="1:15" x14ac:dyDescent="0.35">
      <c r="A137" s="72" cm="1">
        <f t="array" aca="1" ref="A137" ca="1">HYPERLINK(CONCATENATE("#",CELL("address",IF(O137=0,A137,INDEX($O137:$O137,MATCH(1,$O137:$O137,0))))),SUM($O137:$O137))</f>
        <v>0</v>
      </c>
      <c r="C137" s="128" t="s">
        <v>666</v>
      </c>
      <c r="D137" s="77" t="s">
        <v>667</v>
      </c>
      <c r="G137" s="268">
        <f>G102-G135</f>
        <v>0</v>
      </c>
      <c r="I137"/>
      <c r="N137" s="14"/>
      <c r="O137" s="72">
        <f t="shared" si="16"/>
        <v>0</v>
      </c>
    </row>
    <row r="138" spans="1:15" x14ac:dyDescent="0.35">
      <c r="C138" s="128"/>
      <c r="D138" s="24"/>
      <c r="G138" s="14"/>
      <c r="I138"/>
      <c r="O138" s="80">
        <f t="shared" si="16"/>
        <v>0</v>
      </c>
    </row>
    <row r="139" spans="1:15" x14ac:dyDescent="0.35">
      <c r="A139" s="72" cm="1">
        <f t="array" aca="1" ref="A139" ca="1">HYPERLINK(CONCATENATE("#",CELL("address",IF(O139=0,A139,INDEX($O139:$O139,MATCH(1,$O139:$O139,0))))),SUM($O139:$O139))</f>
        <v>0</v>
      </c>
      <c r="C139" s="128" t="s">
        <v>668</v>
      </c>
      <c r="D139" s="24" t="s">
        <v>669</v>
      </c>
      <c r="E139" s="86" t="s">
        <v>476</v>
      </c>
      <c r="G139" s="272"/>
      <c r="I139" t="s">
        <v>471</v>
      </c>
      <c r="N139" s="117">
        <f>IF(G139&lt;0, 1, 0)</f>
        <v>0</v>
      </c>
      <c r="O139" s="72">
        <f t="shared" si="16"/>
        <v>0</v>
      </c>
    </row>
    <row r="140" spans="1:15" x14ac:dyDescent="0.35">
      <c r="C140" s="128"/>
      <c r="D140" s="24"/>
      <c r="G140" s="14"/>
      <c r="I140"/>
      <c r="N140" s="14"/>
      <c r="O140" s="80">
        <f t="shared" si="16"/>
        <v>0</v>
      </c>
    </row>
    <row r="141" spans="1:15" x14ac:dyDescent="0.35">
      <c r="A141" s="72" cm="1">
        <f t="array" aca="1" ref="A141" ca="1">HYPERLINK(CONCATENATE("#",CELL("address",IF(O141=0,A141,INDEX($O141:$O141,MATCH(1,$O141:$O141,0))))),SUM($O141:$O141))</f>
        <v>0</v>
      </c>
      <c r="C141" s="128" t="s">
        <v>670</v>
      </c>
      <c r="D141" s="77" t="s">
        <v>671</v>
      </c>
      <c r="G141" s="268">
        <f>G137+G139</f>
        <v>0</v>
      </c>
      <c r="I141"/>
      <c r="N141" s="14"/>
      <c r="O141" s="72">
        <f t="shared" si="16"/>
        <v>0</v>
      </c>
    </row>
    <row r="142" spans="1:15" x14ac:dyDescent="0.35">
      <c r="C142" s="128"/>
      <c r="D142" s="24"/>
      <c r="G142" s="14"/>
      <c r="I142"/>
      <c r="N142" s="14"/>
      <c r="O142" s="80">
        <f t="shared" si="16"/>
        <v>0</v>
      </c>
    </row>
    <row r="143" spans="1:15" x14ac:dyDescent="0.35">
      <c r="C143" s="128"/>
      <c r="D143" s="77" t="s">
        <v>672</v>
      </c>
      <c r="G143" s="14"/>
      <c r="I143"/>
      <c r="O143" s="80">
        <f t="shared" si="16"/>
        <v>0</v>
      </c>
    </row>
    <row r="144" spans="1:15" x14ac:dyDescent="0.35">
      <c r="A144" s="72" cm="1">
        <f t="array" aca="1" ref="A144" ca="1">HYPERLINK(CONCATENATE("#",CELL("address",IF(O144=0,A144,INDEX($O144:$O144,MATCH(1,$O144:$O144,0))))),SUM($O144:$O144))</f>
        <v>0</v>
      </c>
      <c r="C144" s="128" t="s">
        <v>673</v>
      </c>
      <c r="D144" s="87" t="s">
        <v>674</v>
      </c>
      <c r="E144" t="s">
        <v>613</v>
      </c>
      <c r="G144" s="272"/>
      <c r="I144"/>
      <c r="N144" s="117">
        <f>IF(G144&lt;0, 1, 0)</f>
        <v>0</v>
      </c>
      <c r="O144" s="72">
        <f t="shared" si="16"/>
        <v>0</v>
      </c>
    </row>
    <row r="145" spans="1:15" x14ac:dyDescent="0.35">
      <c r="A145" s="72" cm="1">
        <f t="array" aca="1" ref="A145" ca="1">HYPERLINK(CONCATENATE("#",CELL("address",IF(O145=0,A145,INDEX($O145:$O145,MATCH(1,$O145:$O145,0))))),SUM($O145:$O145))</f>
        <v>0</v>
      </c>
      <c r="B145" s="81" t="s">
        <v>5</v>
      </c>
      <c r="C145" s="128" t="s">
        <v>675</v>
      </c>
      <c r="D145" s="87" t="s">
        <v>676</v>
      </c>
      <c r="E145" t="s">
        <v>476</v>
      </c>
      <c r="G145" s="272"/>
      <c r="I145" t="s">
        <v>474</v>
      </c>
      <c r="N145" s="117">
        <f>IF(G145&lt;0, 1, 0)</f>
        <v>0</v>
      </c>
      <c r="O145" s="72">
        <f t="shared" si="16"/>
        <v>0</v>
      </c>
    </row>
    <row r="146" spans="1:15" x14ac:dyDescent="0.35">
      <c r="A146" s="72" cm="1">
        <f t="array" aca="1" ref="A146" ca="1">HYPERLINK(CONCATENATE("#",CELL("address",IF(O146=0,A146,INDEX($O146:$O146,MATCH(1,$O146:$O146,0))))),SUM($O146:$O146))</f>
        <v>0</v>
      </c>
      <c r="C146" s="128" t="s">
        <v>677</v>
      </c>
      <c r="D146" s="87" t="s">
        <v>678</v>
      </c>
      <c r="E146" t="s">
        <v>613</v>
      </c>
      <c r="G146" s="272"/>
      <c r="I146"/>
      <c r="N146" s="117">
        <f>IF(G146&lt;0, 1, 0)</f>
        <v>0</v>
      </c>
      <c r="O146" s="72">
        <f t="shared" si="16"/>
        <v>0</v>
      </c>
    </row>
    <row r="147" spans="1:15" x14ac:dyDescent="0.35">
      <c r="A147" s="72" cm="1">
        <f t="array" aca="1" ref="A147" ca="1">HYPERLINK(CONCATENATE("#",CELL("address",IF(O147=0,A147,INDEX($O147:$O147,MATCH(1,$O147:$O147,0))))),SUM($O147:$O147))</f>
        <v>0</v>
      </c>
      <c r="C147" s="128" t="s">
        <v>679</v>
      </c>
      <c r="D147" s="88" t="s">
        <v>680</v>
      </c>
      <c r="E147" s="67" t="s">
        <v>613</v>
      </c>
      <c r="F147" s="423" t="str">
        <f>HYPERLINK("#Miscellaneous!G52", "LGPS")</f>
        <v>LGPS</v>
      </c>
      <c r="G147" s="346">
        <f>Miscellaneous!G52+Miscellaneous!G53+Miscellaneous!G63+Miscellaneous!G72</f>
        <v>0</v>
      </c>
      <c r="I147"/>
      <c r="O147" s="72">
        <f t="shared" si="16"/>
        <v>0</v>
      </c>
    </row>
    <row r="148" spans="1:15" x14ac:dyDescent="0.35">
      <c r="A148" s="72" cm="1">
        <f t="array" aca="1" ref="A148" ca="1">HYPERLINK(CONCATENATE("#",CELL("address",IF(O148=0,A148,INDEX($O148:$O148,MATCH(1,$O148:$O148,0))))),SUM($O148:$O148))</f>
        <v>0</v>
      </c>
      <c r="C148" s="128" t="s">
        <v>681</v>
      </c>
      <c r="D148" s="87" t="s">
        <v>682</v>
      </c>
      <c r="E148" t="s">
        <v>613</v>
      </c>
      <c r="G148" s="272"/>
      <c r="I148"/>
      <c r="O148" s="72">
        <f t="shared" si="16"/>
        <v>0</v>
      </c>
    </row>
    <row r="149" spans="1:15" x14ac:dyDescent="0.35">
      <c r="A149" s="72" cm="1">
        <f t="array" aca="1" ref="A149" ca="1">HYPERLINK(CONCATENATE("#",CELL("address",IF(O149=0,A149,INDEX($O149:$O149,MATCH(1,$O149:$O149,0))))),SUM($O149:$O149))</f>
        <v>0</v>
      </c>
      <c r="C149" s="128" t="s">
        <v>683</v>
      </c>
      <c r="D149" s="70" t="s">
        <v>684</v>
      </c>
      <c r="E149"/>
      <c r="G149" s="268">
        <f>SUM(G144, G146:G148)-G145</f>
        <v>0</v>
      </c>
      <c r="I149"/>
      <c r="O149" s="72">
        <f t="shared" si="16"/>
        <v>0</v>
      </c>
    </row>
    <row r="150" spans="1:15" x14ac:dyDescent="0.35">
      <c r="C150" s="128"/>
      <c r="D150" s="71"/>
      <c r="E150"/>
      <c r="G150" s="14"/>
      <c r="I150"/>
      <c r="O150" s="80">
        <f t="shared" si="16"/>
        <v>0</v>
      </c>
    </row>
    <row r="151" spans="1:15" ht="29" x14ac:dyDescent="0.35">
      <c r="A151" s="72" cm="1">
        <f t="array" aca="1" ref="A151" ca="1">HYPERLINK(CONCATENATE("#",CELL("address",IF(O151=0,A151,INDEX($O151:$O151,MATCH(1,$O151:$O151,0))))),SUM($O151:$O151))</f>
        <v>0</v>
      </c>
      <c r="C151" s="128" t="s">
        <v>685</v>
      </c>
      <c r="D151" s="70" t="s">
        <v>686</v>
      </c>
      <c r="E151"/>
      <c r="G151" s="268">
        <f>G141-G149</f>
        <v>0</v>
      </c>
      <c r="O151" s="72">
        <f t="shared" si="16"/>
        <v>0</v>
      </c>
    </row>
    <row r="152" spans="1:15" x14ac:dyDescent="0.35">
      <c r="C152" s="128"/>
      <c r="D152" s="71"/>
      <c r="E152"/>
      <c r="G152" s="14"/>
      <c r="O152" s="80">
        <f t="shared" si="16"/>
        <v>0</v>
      </c>
    </row>
    <row r="153" spans="1:15" x14ac:dyDescent="0.35">
      <c r="C153" s="128"/>
      <c r="D153" s="70" t="s">
        <v>687</v>
      </c>
      <c r="E153"/>
      <c r="G153" s="14"/>
      <c r="O153" s="80">
        <f t="shared" si="16"/>
        <v>0</v>
      </c>
    </row>
    <row r="154" spans="1:15" x14ac:dyDescent="0.35">
      <c r="A154" s="72" cm="1">
        <f t="array" aca="1" ref="A154" ca="1">HYPERLINK(CONCATENATE("#",CELL("address",IF(O154=0,A154,INDEX($O154:$O154,MATCH(1,$O154:$O154,0))))),SUM($O154:$O154))</f>
        <v>0</v>
      </c>
      <c r="C154" s="128" t="s">
        <v>688</v>
      </c>
      <c r="D154" s="87" t="s">
        <v>689</v>
      </c>
      <c r="E154" t="s">
        <v>476</v>
      </c>
      <c r="G154" s="272"/>
      <c r="O154" s="72">
        <f t="shared" si="16"/>
        <v>0</v>
      </c>
    </row>
    <row r="155" spans="1:15" x14ac:dyDescent="0.35">
      <c r="A155" s="72" cm="1">
        <f t="array" aca="1" ref="A155" ca="1">HYPERLINK(CONCATENATE("#",CELL("address",IF(O155=0,A155,INDEX($O155:$O155,MATCH(1,$O155:$O155,0))))),SUM($O155:$O155))</f>
        <v>0</v>
      </c>
      <c r="C155" s="128" t="s">
        <v>690</v>
      </c>
      <c r="D155" s="87" t="s">
        <v>691</v>
      </c>
      <c r="E155" t="s">
        <v>476</v>
      </c>
      <c r="G155" s="272"/>
      <c r="O155" s="72">
        <f t="shared" si="16"/>
        <v>0</v>
      </c>
    </row>
    <row r="156" spans="1:15" x14ac:dyDescent="0.35">
      <c r="A156" s="72" cm="1">
        <f t="array" aca="1" ref="A156" ca="1">HYPERLINK(CONCATENATE("#",CELL("address",IF(O156=0,A156,INDEX($O156:$O156,MATCH(1,$O156:$O156,0))))),SUM($O156:$O156))</f>
        <v>0</v>
      </c>
      <c r="C156" s="128" t="s">
        <v>692</v>
      </c>
      <c r="D156" s="87" t="s">
        <v>693</v>
      </c>
      <c r="E156" t="s">
        <v>476</v>
      </c>
      <c r="G156" s="272"/>
      <c r="O156" s="72">
        <f t="shared" si="16"/>
        <v>0</v>
      </c>
    </row>
    <row r="157" spans="1:15" ht="29" x14ac:dyDescent="0.35">
      <c r="A157" s="72" cm="1">
        <f t="array" aca="1" ref="A157" ca="1">HYPERLINK(CONCATENATE("#",CELL("address",IF(O157=0,A157,INDEX($O157:$O157,MATCH(1,$O157:$O157,0))))),SUM($O157:$O157))</f>
        <v>0</v>
      </c>
      <c r="C157" s="128" t="s">
        <v>694</v>
      </c>
      <c r="D157" s="87" t="s">
        <v>695</v>
      </c>
      <c r="E157" t="s">
        <v>476</v>
      </c>
      <c r="G157" s="272"/>
      <c r="O157" s="72">
        <f t="shared" si="16"/>
        <v>0</v>
      </c>
    </row>
    <row r="158" spans="1:15" x14ac:dyDescent="0.35">
      <c r="A158" s="72" cm="1">
        <f t="array" aca="1" ref="A158" ca="1">HYPERLINK(CONCATENATE("#",CELL("address",IF(O158=0,A158,INDEX($O158:$O158,MATCH(1,$O158:$O158,0))))),SUM($O158:$O158))</f>
        <v>0</v>
      </c>
      <c r="C158" s="128" t="s">
        <v>696</v>
      </c>
      <c r="D158" s="71" t="s">
        <v>697</v>
      </c>
      <c r="E158" t="s">
        <v>476</v>
      </c>
      <c r="G158" s="272"/>
      <c r="O158" s="72">
        <f t="shared" si="16"/>
        <v>0</v>
      </c>
    </row>
    <row r="159" spans="1:15" x14ac:dyDescent="0.35">
      <c r="A159" s="72" cm="1">
        <f t="array" aca="1" ref="A159" ca="1">HYPERLINK(CONCATENATE("#",CELL("address",IF(O159=0,A159,INDEX($O159:$O159,MATCH(1,$O159:$O159,0))))),SUM($O159:$O159))</f>
        <v>0</v>
      </c>
      <c r="C159" s="128" t="s">
        <v>698</v>
      </c>
      <c r="D159" s="70" t="s">
        <v>699</v>
      </c>
      <c r="E159" s="36"/>
      <c r="G159" s="268">
        <f>SUM(G154:G158)</f>
        <v>0</v>
      </c>
      <c r="O159" s="72">
        <f t="shared" si="16"/>
        <v>0</v>
      </c>
    </row>
    <row r="160" spans="1:15" x14ac:dyDescent="0.35">
      <c r="C160" s="128"/>
      <c r="D160" s="71"/>
      <c r="E160"/>
      <c r="G160" s="14"/>
      <c r="O160" s="80">
        <f t="shared" si="16"/>
        <v>0</v>
      </c>
    </row>
    <row r="161" spans="1:15" x14ac:dyDescent="0.35">
      <c r="A161" s="72" cm="1">
        <f t="array" aca="1" ref="A161" ca="1">HYPERLINK(CONCATENATE("#",CELL("address",IF(O161=0,A161,INDEX($O161:$O161,MATCH(1,$O161:$O161,0))))),SUM($O161:$O161))</f>
        <v>0</v>
      </c>
      <c r="C161" s="128" t="s">
        <v>700</v>
      </c>
      <c r="D161" s="70" t="s">
        <v>332</v>
      </c>
      <c r="E161" s="36"/>
      <c r="G161" s="268">
        <f>SUM(G151+G159)</f>
        <v>0</v>
      </c>
      <c r="O161" s="72">
        <f t="shared" si="16"/>
        <v>0</v>
      </c>
    </row>
    <row r="162" spans="1:15" x14ac:dyDescent="0.35">
      <c r="C162" s="128"/>
      <c r="D162" s="71"/>
      <c r="E162"/>
      <c r="G162" s="14"/>
      <c r="O162" s="80">
        <f t="shared" si="16"/>
        <v>0</v>
      </c>
    </row>
    <row r="163" spans="1:15" x14ac:dyDescent="0.35">
      <c r="A163" s="72" cm="1">
        <f t="array" aca="1" ref="A163" ca="1">HYPERLINK(CONCATENATE("#",CELL("address",IF(O163=0,A163,INDEX($O163:$O163,MATCH(1,$O163:$O163,0))))),SUM($O163:$O163))</f>
        <v>0</v>
      </c>
      <c r="C163" s="128" t="s">
        <v>701</v>
      </c>
      <c r="D163" s="87" t="s">
        <v>702</v>
      </c>
      <c r="E163" s="36"/>
      <c r="G163" s="272"/>
      <c r="O163" s="72">
        <f t="shared" si="16"/>
        <v>0</v>
      </c>
    </row>
    <row r="164" spans="1:15" x14ac:dyDescent="0.35">
      <c r="A164" s="72" cm="1">
        <f t="array" aca="1" ref="A164" ca="1">HYPERLINK(CONCATENATE("#",CELL("address",IF(O164=0,A164,INDEX($O164:$O164,MATCH(1,$O164:$O164,0))))),SUM($O164:$O164))</f>
        <v>0</v>
      </c>
      <c r="C164" s="128" t="s">
        <v>703</v>
      </c>
      <c r="D164" s="87" t="s">
        <v>704</v>
      </c>
      <c r="E164"/>
      <c r="F164" s="439" t="str">
        <f>HYPERLINK("#Miscellaneous!G54", "Actuarial")</f>
        <v>Actuarial</v>
      </c>
      <c r="G164" s="346">
        <f>-(Miscellaneous!G54+Miscellaneous!G65+Miscellaneous!G74+Miscellaneous!G57)</f>
        <v>0</v>
      </c>
      <c r="O164" s="72">
        <f t="shared" si="16"/>
        <v>0</v>
      </c>
    </row>
    <row r="165" spans="1:15" x14ac:dyDescent="0.35">
      <c r="A165" s="72" cm="1">
        <f t="array" aca="1" ref="A165" ca="1">HYPERLINK(CONCATENATE("#",CELL("address",IF(O165=0,A165,INDEX($O165:$O165,MATCH(1,$O165:$O165,0))))),SUM($O165:$O165))</f>
        <v>0</v>
      </c>
      <c r="C165" s="128" t="s">
        <v>705</v>
      </c>
      <c r="D165" s="89" t="s">
        <v>706</v>
      </c>
      <c r="E165" s="83"/>
      <c r="G165" s="268">
        <f>G161+SUM(G163:G164)</f>
        <v>0</v>
      </c>
      <c r="O165" s="72">
        <f t="shared" si="16"/>
        <v>0</v>
      </c>
    </row>
    <row r="166" spans="1:15" x14ac:dyDescent="0.35">
      <c r="C166" s="128"/>
      <c r="D166" s="24"/>
      <c r="G166" s="14"/>
      <c r="O166" s="80">
        <f t="shared" si="16"/>
        <v>0</v>
      </c>
    </row>
    <row r="167" spans="1:15" x14ac:dyDescent="0.35">
      <c r="A167" s="5"/>
      <c r="B167" s="5"/>
      <c r="C167" s="202"/>
      <c r="D167" s="5" t="s">
        <v>707</v>
      </c>
      <c r="E167" s="5"/>
      <c r="F167" s="408"/>
      <c r="G167" s="5"/>
      <c r="O167" s="80">
        <f t="shared" ref="O167:O176" si="17">IF(OR(ISNUMBER(G167),ISBLANK(G167)),0,1)</f>
        <v>0</v>
      </c>
    </row>
    <row r="168" spans="1:15" x14ac:dyDescent="0.35">
      <c r="C168" s="130"/>
      <c r="G168" s="14"/>
      <c r="O168" s="80">
        <f t="shared" si="17"/>
        <v>0</v>
      </c>
    </row>
    <row r="169" spans="1:15" x14ac:dyDescent="0.35">
      <c r="A169" s="72" cm="1">
        <f t="array" aca="1" ref="A169" ca="1">HYPERLINK(CONCATENATE("#",CELL("address",IF(O169=0,A169,INDEX($O169:$O169,MATCH(1,$O169:$O169,0))))),SUM($O169:$O169))</f>
        <v>0</v>
      </c>
      <c r="C169" s="141"/>
      <c r="D169" s="14" t="s">
        <v>671</v>
      </c>
      <c r="E169" s="14" t="s">
        <v>476</v>
      </c>
      <c r="G169" s="268">
        <f>G141</f>
        <v>0</v>
      </c>
      <c r="O169" s="72">
        <f t="shared" si="17"/>
        <v>0</v>
      </c>
    </row>
    <row r="170" spans="1:15" x14ac:dyDescent="0.35">
      <c r="A170" s="72" cm="1">
        <f t="array" aca="1" ref="A170" ca="1">HYPERLINK(CONCATENATE("#",CELL("address",IF(O170=0,A170,INDEX($O170:$O170,MATCH(1,$O170:$O170,0))))),SUM($O170:$O170))</f>
        <v>0</v>
      </c>
      <c r="C170" s="141"/>
      <c r="D170" s="24" t="s">
        <v>602</v>
      </c>
      <c r="E170" s="24" t="str">
        <f>E$122</f>
        <v>+ve/-ve (Dr/Cr)</v>
      </c>
      <c r="G170" s="268">
        <f>G96</f>
        <v>0</v>
      </c>
      <c r="O170" s="72">
        <f t="shared" si="17"/>
        <v>0</v>
      </c>
    </row>
    <row r="171" spans="1:15" x14ac:dyDescent="0.35">
      <c r="A171" s="72" cm="1">
        <f t="array" aca="1" ref="A171" ca="1">HYPERLINK(CONCATENATE("#",CELL("address",IF(O171=0,A171,INDEX($O171:$O171,MATCH(1,$O171:$O171,0))))),SUM($O171:$O171))</f>
        <v>0</v>
      </c>
      <c r="C171" s="141"/>
      <c r="D171" s="24" t="s">
        <v>629</v>
      </c>
      <c r="E171" s="24" t="str">
        <f>E$139</f>
        <v>+ve/-ve (Cr/Dr)</v>
      </c>
      <c r="G171" s="268">
        <f>G113</f>
        <v>0</v>
      </c>
      <c r="O171" s="72">
        <f t="shared" si="17"/>
        <v>0</v>
      </c>
    </row>
    <row r="172" spans="1:15" x14ac:dyDescent="0.35">
      <c r="A172" s="72" cm="1">
        <f t="array" aca="1" ref="A172" ca="1">HYPERLINK(CONCATENATE("#",CELL("address",IF(O172=0,A172,INDEX($O172:$O172,MATCH(1,$O172:$O172,0))))),SUM($O172:$O172))</f>
        <v>0</v>
      </c>
      <c r="C172" s="141"/>
      <c r="D172" s="14" t="s">
        <v>669</v>
      </c>
      <c r="E172" s="24" t="str">
        <f>E$170</f>
        <v>+ve/-ve (Dr/Cr)</v>
      </c>
      <c r="G172" s="268">
        <f>G139</f>
        <v>0</v>
      </c>
      <c r="O172" s="72">
        <f t="shared" si="17"/>
        <v>0</v>
      </c>
    </row>
    <row r="173" spans="1:15" x14ac:dyDescent="0.35">
      <c r="A173" s="72" cm="1">
        <f t="array" aca="1" ref="A173" ca="1">HYPERLINK(CONCATENATE("#",CELL("address",IF(O173=0,A173,INDEX($O173:$O173,MATCH(1,$O173:$O173,0))))),SUM($O173:$O173))</f>
        <v>0</v>
      </c>
      <c r="C173" s="141"/>
      <c r="D173" s="14" t="s">
        <v>608</v>
      </c>
      <c r="E173" s="24" t="str">
        <f>E$126</f>
        <v>+ve/-ve (Dr/Cr)</v>
      </c>
      <c r="G173" s="268">
        <f>G100</f>
        <v>0</v>
      </c>
      <c r="O173" s="72">
        <f t="shared" si="17"/>
        <v>0</v>
      </c>
    </row>
    <row r="174" spans="1:15" x14ac:dyDescent="0.35">
      <c r="A174" s="72" cm="1">
        <f t="array" aca="1" ref="A174" ca="1">HYPERLINK(CONCATENATE("#",CELL("address",IF(O174=0,A174,INDEX($O174:$O174,MATCH(1,$O174:$O174,0))))),SUM($O174:$O174))</f>
        <v>0</v>
      </c>
      <c r="C174" s="128" t="s">
        <v>708</v>
      </c>
      <c r="D174" s="24" t="s">
        <v>709</v>
      </c>
      <c r="E174" s="86" t="s">
        <v>613</v>
      </c>
      <c r="G174" s="272"/>
      <c r="O174" s="72">
        <f t="shared" si="17"/>
        <v>0</v>
      </c>
    </row>
    <row r="175" spans="1:15" x14ac:dyDescent="0.35">
      <c r="A175" s="72" cm="1">
        <f t="array" aca="1" ref="A175" ca="1">HYPERLINK(CONCATENATE("#",CELL("address",IF(O175=0,A175,INDEX($O175:$O175,MATCH(1,$O175:$O175,0))))),SUM($O175:$O175))</f>
        <v>0</v>
      </c>
      <c r="C175" s="128" t="s">
        <v>710</v>
      </c>
      <c r="D175" s="24" t="s">
        <v>100</v>
      </c>
      <c r="E175" s="14" t="s">
        <v>613</v>
      </c>
      <c r="F175" s="4"/>
      <c r="G175" s="272"/>
      <c r="O175" s="72">
        <f t="shared" si="17"/>
        <v>0</v>
      </c>
    </row>
    <row r="176" spans="1:15" x14ac:dyDescent="0.35">
      <c r="A176" s="72" cm="1">
        <f t="array" aca="1" ref="A176" ca="1">HYPERLINK(CONCATENATE("#",CELL("address",IF(O176=0,A176,INDEX($O176:$O176,MATCH(1,$O176:$O176,0))))),SUM($O176:$O176))</f>
        <v>0</v>
      </c>
      <c r="C176" s="128" t="s">
        <v>711</v>
      </c>
      <c r="D176" s="77" t="s">
        <v>712</v>
      </c>
      <c r="E176" s="83" t="s">
        <v>476</v>
      </c>
      <c r="G176" s="268">
        <f>G169-G170+G171-G172-G173+G174+G175</f>
        <v>0</v>
      </c>
      <c r="O176" s="72">
        <f t="shared" si="17"/>
        <v>0</v>
      </c>
    </row>
    <row r="177" spans="3:15" x14ac:dyDescent="0.35">
      <c r="C177" s="130"/>
      <c r="O177" s="58"/>
    </row>
    <row r="178" spans="3:15" x14ac:dyDescent="0.35">
      <c r="C178" s="128" t="s">
        <v>713</v>
      </c>
      <c r="D178" s="31" t="s">
        <v>382</v>
      </c>
    </row>
    <row r="179" spans="3:15" x14ac:dyDescent="0.35">
      <c r="D179" s="493"/>
      <c r="E179" s="494"/>
      <c r="F179" s="494"/>
      <c r="G179" s="495"/>
    </row>
    <row r="180" spans="3:15" x14ac:dyDescent="0.35">
      <c r="D180" s="496"/>
      <c r="E180" s="497"/>
      <c r="F180" s="497"/>
      <c r="G180" s="498"/>
    </row>
    <row r="181" spans="3:15" x14ac:dyDescent="0.35">
      <c r="D181" s="496"/>
      <c r="E181" s="497"/>
      <c r="F181" s="497"/>
      <c r="G181" s="498"/>
    </row>
    <row r="182" spans="3:15" x14ac:dyDescent="0.35">
      <c r="D182" s="496"/>
      <c r="E182" s="497"/>
      <c r="F182" s="497"/>
      <c r="G182" s="498"/>
    </row>
    <row r="183" spans="3:15" x14ac:dyDescent="0.35">
      <c r="D183" s="496"/>
      <c r="E183" s="497"/>
      <c r="F183" s="497"/>
      <c r="G183" s="498"/>
    </row>
    <row r="184" spans="3:15" x14ac:dyDescent="0.35">
      <c r="D184" s="496"/>
      <c r="E184" s="497"/>
      <c r="F184" s="497"/>
      <c r="G184" s="498"/>
    </row>
    <row r="185" spans="3:15" x14ac:dyDescent="0.35">
      <c r="D185" s="496"/>
      <c r="E185" s="497"/>
      <c r="F185" s="497"/>
      <c r="G185" s="498"/>
    </row>
    <row r="186" spans="3:15" x14ac:dyDescent="0.35">
      <c r="D186" s="499"/>
      <c r="E186" s="500"/>
      <c r="F186" s="500"/>
      <c r="G186" s="501"/>
    </row>
  </sheetData>
  <sheetProtection algorithmName="SHA-512" hashValue="QlwB0Z/MsyyZYCsT7Y/+J9miHpkt+vlQDpWt+A4zAEE14r8hUqUCcbcA+FvdEFO3xVk2L4YektUe4o48lZlNfA==" saltValue="mRVpIePI6zqlNG+eLUMoQg==" spinCount="100000" sheet="1" objects="1" scenarios="1"/>
  <mergeCells count="1">
    <mergeCell ref="D179:G186"/>
  </mergeCells>
  <conditionalFormatting sqref="A1:A2 A63:A74 A88:A90">
    <cfRule type="cellIs" dxfId="212" priority="6" operator="equal">
      <formula>0</formula>
    </cfRule>
    <cfRule type="cellIs" dxfId="211" priority="7" operator="greaterThan">
      <formula>0</formula>
    </cfRule>
  </conditionalFormatting>
  <conditionalFormatting sqref="A10:A13 N49:O60 N63:O74 N88:O90">
    <cfRule type="cellIs" dxfId="210" priority="74" operator="equal">
      <formula>0</formula>
    </cfRule>
  </conditionalFormatting>
  <conditionalFormatting sqref="A10:A13 O10:O13 O49:O60 O63:O74 O88:O90">
    <cfRule type="cellIs" dxfId="209" priority="75" operator="greaterThan">
      <formula>0</formula>
    </cfRule>
  </conditionalFormatting>
  <conditionalFormatting sqref="A16:A23 A26:A29 A32:A38 A41:A46 A49:A53 A56:A60 A77:A85 A93:A96 A98:A100 A102 A105:A114 A117:A128 A131:A133 A135 A137 A139 A141 A144:A149 A151 A154:A159 A161 A163:A165 A169:A176">
    <cfRule type="cellIs" dxfId="208" priority="16" operator="equal">
      <formula>0</formula>
    </cfRule>
    <cfRule type="cellIs" dxfId="207" priority="17" operator="greaterThan">
      <formula>0</formula>
    </cfRule>
  </conditionalFormatting>
  <conditionalFormatting sqref="N3">
    <cfRule type="cellIs" dxfId="206" priority="8" operator="greaterThan">
      <formula>0</formula>
    </cfRule>
    <cfRule type="cellIs" dxfId="205" priority="9" operator="equal">
      <formula>0</formula>
    </cfRule>
  </conditionalFormatting>
  <conditionalFormatting sqref="N10:N13 N49:N60 N63:N74 N88:N90">
    <cfRule type="cellIs" dxfId="204" priority="46" operator="greaterThan">
      <formula>0</formula>
    </cfRule>
  </conditionalFormatting>
  <conditionalFormatting sqref="N16:N23 N26:N29 N32:N38 N41:N46 N77:N85">
    <cfRule type="cellIs" dxfId="203" priority="42" operator="greaterThan">
      <formula>0</formula>
    </cfRule>
  </conditionalFormatting>
  <conditionalFormatting sqref="N93:N96">
    <cfRule type="cellIs" dxfId="202" priority="38" operator="greaterThan">
      <formula>0</formula>
    </cfRule>
  </conditionalFormatting>
  <conditionalFormatting sqref="N98:N100">
    <cfRule type="cellIs" dxfId="201" priority="36" operator="greaterThan">
      <formula>0</formula>
    </cfRule>
  </conditionalFormatting>
  <conditionalFormatting sqref="N102">
    <cfRule type="cellIs" dxfId="200" priority="34" operator="greaterThan">
      <formula>0</formula>
    </cfRule>
  </conditionalFormatting>
  <conditionalFormatting sqref="N105:N114">
    <cfRule type="cellIs" dxfId="199" priority="32" operator="greaterThan">
      <formula>0</formula>
    </cfRule>
  </conditionalFormatting>
  <conditionalFormatting sqref="N117:N128">
    <cfRule type="cellIs" dxfId="198" priority="30" operator="greaterThan">
      <formula>0</formula>
    </cfRule>
  </conditionalFormatting>
  <conditionalFormatting sqref="N131:N133">
    <cfRule type="cellIs" dxfId="197" priority="28" operator="greaterThan">
      <formula>0</formula>
    </cfRule>
  </conditionalFormatting>
  <conditionalFormatting sqref="N139">
    <cfRule type="cellIs" dxfId="196" priority="4" operator="greaterThan">
      <formula>0</formula>
    </cfRule>
  </conditionalFormatting>
  <conditionalFormatting sqref="N144:N146">
    <cfRule type="cellIs" dxfId="195" priority="18" operator="greaterThan">
      <formula>0</formula>
    </cfRule>
    <cfRule type="cellIs" dxfId="194" priority="19" operator="equal">
      <formula>0</formula>
    </cfRule>
  </conditionalFormatting>
  <conditionalFormatting sqref="N10:O13">
    <cfRule type="cellIs" dxfId="193" priority="47" operator="equal">
      <formula>0</formula>
    </cfRule>
  </conditionalFormatting>
  <conditionalFormatting sqref="N16:O23 N26:O29 N32:O38 N41:O46 N77:O85">
    <cfRule type="cellIs" dxfId="192" priority="43" operator="equal">
      <formula>0</formula>
    </cfRule>
  </conditionalFormatting>
  <conditionalFormatting sqref="N93:O96">
    <cfRule type="cellIs" dxfId="191" priority="39" operator="equal">
      <formula>0</formula>
    </cfRule>
  </conditionalFormatting>
  <conditionalFormatting sqref="N98:O100">
    <cfRule type="cellIs" dxfId="190" priority="37" operator="equal">
      <formula>0</formula>
    </cfRule>
  </conditionalFormatting>
  <conditionalFormatting sqref="N102:O102">
    <cfRule type="cellIs" dxfId="189" priority="35" operator="equal">
      <formula>0</formula>
    </cfRule>
  </conditionalFormatting>
  <conditionalFormatting sqref="N105:O114">
    <cfRule type="cellIs" dxfId="188" priority="33" operator="equal">
      <formula>0</formula>
    </cfRule>
  </conditionalFormatting>
  <conditionalFormatting sqref="N117:O128">
    <cfRule type="cellIs" dxfId="187" priority="2" operator="equal">
      <formula>0</formula>
    </cfRule>
  </conditionalFormatting>
  <conditionalFormatting sqref="N131:O133">
    <cfRule type="cellIs" dxfId="186" priority="29" operator="equal">
      <formula>0</formula>
    </cfRule>
  </conditionalFormatting>
  <conditionalFormatting sqref="N139:O139">
    <cfRule type="cellIs" dxfId="185" priority="5" operator="equal">
      <formula>0</formula>
    </cfRule>
  </conditionalFormatting>
  <conditionalFormatting sqref="O16:O23">
    <cfRule type="cellIs" dxfId="184" priority="55" operator="greaterThan">
      <formula>0</formula>
    </cfRule>
  </conditionalFormatting>
  <conditionalFormatting sqref="O26:O29 O32:O38 O41:O46 O77:O85 O93:O96 O98:O100 O102 O105:O114 O131:O133 O135 O137 O139 O141 O144:O149 O151 O154:O159 O161 O163:O165 O169:O176">
    <cfRule type="cellIs" dxfId="183" priority="53" operator="greaterThan">
      <formula>0</formula>
    </cfRule>
  </conditionalFormatting>
  <conditionalFormatting sqref="O117:O128">
    <cfRule type="cellIs" dxfId="182" priority="3" operator="greaterThan">
      <formula>0</formula>
    </cfRule>
  </conditionalFormatting>
  <conditionalFormatting sqref="O135 O137 O141 O144:O149 O151 O154:O159 O161 O163:O165 O169:O176">
    <cfRule type="cellIs" dxfId="181" priority="52" operator="equal">
      <formula>0</formula>
    </cfRule>
  </conditionalFormatting>
  <dataValidations xWindow="165" yWindow="1051" count="35">
    <dataValidation type="custom" allowBlank="1" showInputMessage="1" showErrorMessage="1" error="Please enter text" sqref="D179" xr:uid="{41143427-3835-4687-873C-AB462131B78F}">
      <formula1>ISTEXT(D179)</formula1>
    </dataValidation>
    <dataValidation allowBlank="1" showInputMessage="1" promptTitle="Other income from education" prompt="Include all funding from employers including co-investment payments and any amounts above the funding band." sqref="B66" xr:uid="{22E484F2-8933-47E2-8F2B-228A0565B37B}"/>
    <dataValidation allowBlank="1" showInputMessage="1" promptTitle="Full cost provision" prompt="Excludes HE and provision to international students" sqref="B63" xr:uid="{9BAF4B41-E4DF-4C9E-8082-96F4FFAC0C7A}"/>
    <dataValidation allowBlank="1" showInputMessage="1" promptTitle="International students fees" prompt="Fees for provision delivered in the UK to international students who are not eligible for UK Govt funding.  International students generally refers to any student who is not ordinarily resident in the UK." sqref="B65" xr:uid="{3333A994-2ABD-4116-9E2F-28C27FCB55FE}"/>
    <dataValidation allowBlank="1" showInputMessage="1" promptTitle="FRS102 adj." prompt="Per FRS102, LGPS employer contributions must be replaced with current service costs, past service costs, curtailments and settlements in staff costs" sqref="B113" xr:uid="{87ED724C-7C90-46C2-B1D7-0CDE50F40804}"/>
    <dataValidation allowBlank="1" showInputMessage="1" promptTitle="Other operating expenditure" prompt="Per FRS102, LGPS employer contributions must be replaced with current service costs, past service costs, curtailments and settlements in staff costs" sqref="B113" xr:uid="{54C7D31A-D621-4901-820D-82AE1593EF13}"/>
    <dataValidation allowBlank="1" showInputMessage="1" promptTitle="ESFA 16-19 programme funding" prompt="Includes care standards funding, Condition of funding reduction and Transitional protection/formula protection funding)" sqref="B16" xr:uid="{384D429E-E428-484F-8124-9013B3ADD2F5}"/>
    <dataValidation allowBlank="1" showInputMessage="1" promptTitle="ESFA 16-19 other pr. funding" prompt="Includes Development funding of T-Levels, Industry placement capacity and delivery fund, Advance Maths Premium, 16-19 Education and Training provision and ESFA 16-18 traineeships where not included in 16-19 programme funding." sqref="B17" xr:uid="{BD33B8BC-77F4-4F53-8249-CD126B0DBF41}"/>
    <dataValidation allowBlank="1" showInputMessage="1" promptTitle="Other Funding" prompt="To include income from local authorities and schools for 14-19 partnerships." sqref="B20" xr:uid="{A41E6C1E-52F5-4DC3-83E9-4FCF04364EAE}"/>
    <dataValidation allowBlank="1" showInputMessage="1" promptTitle="Subcontracted in Apprenticeships" prompt="Including from other training providers." sqref="B27" xr:uid="{AAC71F32-E126-47B4-A1AB-DCFD723FBE9D}"/>
    <dataValidation allowBlank="1" showInputMessage="1" promptTitle="AEB Grant - ESFA" prompt="AEB clawbacks / reconciliation to be entered via the 'BS Inputs'" sqref="B32" xr:uid="{6B76FB4C-0708-4471-842C-B17DF02A0877}"/>
    <dataValidation allowBlank="1" showInputMessage="1" promptTitle="AEB Funding - Devolv Authorities" prompt="AEB clawbacks / reconciliation to be entered via the 'BS Inputs'" sqref="B34" xr:uid="{C842E598-91DC-43C9-9833-55EBD7A18E55}"/>
    <dataValidation allowBlank="1" showInputMessage="1" promptTitle="AEB Procured - ESFA" prompt="This line should be used for funding associated with the standalone procured AEB contracts that were awarded from July 2017 onwards." sqref="B33" xr:uid="{D2B1D65D-7F30-4809-95AF-09B9D9DE0362}"/>
    <dataValidation allowBlank="1" showInputMessage="1" promptTitle="OfS Grants" prompt="To include income received directly from OfS for prescribed HE, including that transferred from ESFA." sqref="B42" xr:uid="{EB5D2110-EDFF-49AC-A8F0-C7C6A734D34C}"/>
    <dataValidation allowBlank="1" showInputMessage="1" promptTitle="Subcontracted in: HE(Franchised)" prompt="To include income from HE institutions for the provision of higher education courses." sqref="B44" xr:uid="{3CA276F8-3D38-44B6-A718-3FA0826F266E}"/>
    <dataValidation allowBlank="1" showInputMessage="1" promptTitle="Other European Funding" prompt="Colleges receiving funds (from European structural funds) before incurring costs should recognise a current liability for the unspent proportion of the grant." sqref="B50" xr:uid="{86D20F57-DE33-4268-83AB-47B97DBF0EB4}"/>
    <dataValidation allowBlank="1" showInputMessage="1" promptTitle="Other income from non-learning" prompt="To include miscellaneous income, for example VAT recovered if recorded separately in the accounts." sqref="B88" xr:uid="{66E58296-770D-497D-ABCF-47DE4AD9F65B}"/>
    <dataValidation allowBlank="1" showInputMessage="1" promptTitle="Endowment income" prompt="To include income from endowments as defined in the FE/HE SORP." sqref="B89" xr:uid="{A545A981-C33B-4AAF-8E48-1585C1242CAF}"/>
    <dataValidation allowBlank="1" showInputMessage="1" promptTitle="Non-cash accounting receipts" prompt="One-off non-cash accounting receipts (e.g. acquisition for nil consideration or non-exchange transactions)  _x000a_Not recognised in 2b Ratios #1 or 3 SOCI #9g as they can distort EBITDA and adj. income. _x000a__x000a_The balancing entry is not produced automatically._x000a__x000a_" sqref="B98" xr:uid="{E0AEAE10-0E04-45AF-B562-27EDD1863A6E}"/>
    <dataValidation allowBlank="1" showInputMessage="1" promptTitle="Teaching Staff" prompt="To include basic pay costs, overtime, other allowances and additions, employer pension costs and employer NI cost." sqref="B105" xr:uid="{D880A9C1-80B3-4EA9-88FB-EFD245E882C5}"/>
    <dataValidation allowBlank="1" showInputMessage="1" promptTitle="Contracted Tuition Services" prompt="Contracted tuition services are included with staff costs in the finance record._x000a__x000a_Note that the FE/HE SORP states that these must be shown as non-pay expenditure in the financial statements." sqref="B106" xr:uid="{E428D54B-AC19-4A07-9A30-F6187DEC10CD}"/>
    <dataValidation allowBlank="1" showInputMessage="1" promptTitle="Teaching and other support staff" prompt="To include, for example, library staff, learning support staff, college nurses, welfare officers, recreation tutors, careers officers and counsellors." sqref="B107" xr:uid="{6CE869B0-121A-4177-B3E4-AF693FBB5949}"/>
    <dataValidation allowBlank="1" showInputMessage="1" promptTitle="Administration staff" prompt="To include, for example, finance, HR, timetabling and data entry staff." sqref="B108" xr:uid="{23F4CC6E-CBCE-4701-AEA9-67F06AAB5BFD}"/>
    <dataValidation allowBlank="1" showInputMessage="1" promptTitle="Operational &amp; maintenance staff" prompt="To include, for example, cleaning, caretaking and security staff, maintenance staff and health and safety officers." sqref="B109" xr:uid="{9E12EB0B-4647-4CBE-B040-AC0097C4D4FA}"/>
    <dataValidation allowBlank="1" showInputMessage="1" promptTitle="Commercial Staff costs" prompt="To include staff costs from income generating activities such as catering, creche, farming, residences and conferences." sqref="B110" xr:uid="{4816D242-7E50-4233-B536-3BFC4F24A040}"/>
    <dataValidation allowBlank="1" showInputMessage="1" promptTitle="Other Staff Costs" prompt="To include, for example, marketing staff and exam officers." sqref="B112" xr:uid="{28D7DD0B-2145-46C8-AD2F-378F862EA9EE}"/>
    <dataValidation allowBlank="1" showInputMessage="1" promptTitle="Teaching costs" prompt="To include, for example, materials, consumables, equipment, training functions such as hairdressing, marketing, prison contracts and partnership." sqref="B117" xr:uid="{1F9FCEBE-94EF-4235-B8A7-9F2E9E2497E8}"/>
    <dataValidation allowBlank="1" showInputMessage="1" promptTitle="Teaching and other support costs" prompt="To include, for example, library resources, computer learning, learner transport, payment to student unions, medical services, welfare services and non-pay recharge from the Learner Support Fund." sqref="B118" xr:uid="{583B1F2F-9441-46E3-A7DD-CA94C614AF52}"/>
    <dataValidation allowBlank="1" showInputMessage="1" promptTitle="Administration Costs" prompt="To include, for example, IT, professional fees, insurance premiums, travel and subsistence, recruitment and bank charges." sqref="B119" xr:uid="{8D212CE8-2BDF-4450-9001-540FC52D5FD3}"/>
    <dataValidation allowBlank="1" showInputMessage="1" promptTitle="Operational &amp; maintenance cost" prompt="To include, e.g. heating, lighting, cleaning, caretaking, water charges, security, insurance, waste disposal and national non-domestic rates. From a maintenance perspective, this could include unblocking drains, repairing breakages and planned maintenance" sqref="B120" xr:uid="{1735881C-27BC-40A2-926F-E0386793A040}"/>
    <dataValidation allowBlank="1" showInputMessage="1" promptTitle="Bad debt provision costs" prompt="This is the value of debts provided for in the period." sqref="B125" xr:uid="{D6B6D028-DCBA-4AE1-ABF4-2159ABA02510}"/>
    <dataValidation allowBlank="1" showInputMessage="1" promptTitle="Other operating expenditure" prompt="This could include one-off costs ahead of merger." sqref="B126" xr:uid="{9396F3BC-51C0-4E17-AFBD-F9FFDA38E1F8}"/>
    <dataValidation allowBlank="1" showInputMessage="1" promptTitle="Interest and investment income" prompt="To include investment income, for example income from short-term investments, realisation of investments held as long-term funds_x000a_Do not include endowment income, shown separately above." sqref="B145" xr:uid="{4CA9B5BD-CCF0-45FD-93A5-3AC36B6A3A3A}"/>
    <dataValidation allowBlank="1" showInputMessage="1" promptTitle="Input Validation Check" prompt="Flags where a cell contains invalid characters, such as full stops, dashes and spaces._x000a_" sqref="O2" xr:uid="{46AEFBE2-B05F-417B-B552-6666BCCEE58B}"/>
    <dataValidation allowBlank="1" showInputMessage="1" promptTitle="Sign Warning" prompt="The sign flag checks for unexpected input signs._x000a__x000a_Both expenditure and income lines on the I&amp;E should be entered as positives in base scenario as follows:_x000a_Credit income: +ve (Cr.)_x000a_Debit expense: +ve (Dr.)" sqref="N2" xr:uid="{42C2A3F0-72FA-4AB3-9A7D-2AADC194865E}"/>
  </dataValidations>
  <pageMargins left="0.7" right="0.7" top="0.75" bottom="0.75" header="0.3" footer="0.3"/>
  <pageSetup paperSize="9" orientation="portrait" r:id="rId1"/>
  <ignoredErrors>
    <ignoredError sqref="O124" formula="1"/>
  </ignoredError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71C0E-7349-4E48-B86C-9F05BAB6A498}">
  <sheetPr codeName="Sheet8">
    <tabColor rgb="FF002060"/>
  </sheetPr>
  <dimension ref="A1:R67"/>
  <sheetViews>
    <sheetView showGridLines="0" zoomScaleNormal="100" workbookViewId="0">
      <pane ySplit="6" topLeftCell="A7" activePane="bottomLeft" state="frozen"/>
      <selection activeCell="B29" sqref="B29"/>
      <selection pane="bottomLeft"/>
    </sheetView>
  </sheetViews>
  <sheetFormatPr defaultColWidth="9" defaultRowHeight="14.5" x14ac:dyDescent="0.35"/>
  <cols>
    <col min="1" max="2" width="9" style="14"/>
    <col min="3" max="3" width="10.1796875" style="14" customWidth="1"/>
    <col min="4" max="4" width="67.26953125" style="14" bestFit="1" customWidth="1"/>
    <col min="5" max="5" width="4.453125" customWidth="1"/>
    <col min="6" max="6" width="2.453125" style="14" customWidth="1"/>
    <col min="7" max="7" width="10.453125" style="14" customWidth="1"/>
    <col min="8" max="8" width="2.1796875" style="14" customWidth="1"/>
    <col min="9" max="9" width="3.453125" style="14" customWidth="1"/>
    <col min="10" max="10" width="3.453125" customWidth="1"/>
    <col min="11" max="12" width="2.7265625" style="14" customWidth="1"/>
    <col min="13" max="13" width="1" style="14" customWidth="1"/>
    <col min="15" max="15" width="18.81640625" style="14" bestFit="1" customWidth="1"/>
    <col min="16" max="16384" width="9" style="14"/>
  </cols>
  <sheetData>
    <row r="1" spans="1:18" x14ac:dyDescent="0.35">
      <c r="A1" s="147">
        <f ca="1">ToC!A1</f>
        <v>0</v>
      </c>
      <c r="B1" s="2" t="s">
        <v>60</v>
      </c>
      <c r="C1" s="2"/>
      <c r="D1" s="2">
        <f>'Cover sheet'!E8</f>
        <v>0</v>
      </c>
      <c r="E1" s="2"/>
      <c r="F1" s="2"/>
      <c r="G1" s="2"/>
      <c r="H1"/>
      <c r="I1"/>
      <c r="O1" s="14" t="s">
        <v>466</v>
      </c>
      <c r="P1" s="14" t="s">
        <v>714</v>
      </c>
    </row>
    <row r="2" spans="1:18" x14ac:dyDescent="0.35">
      <c r="A2" s="72" cm="1">
        <f t="array" aca="1" ref="A2" ca="1">HYPERLINK(CONCATENATE("#",CELL("address",IF(SUM(A$6:A$197)=0,$A$2,INDEX(A$6:A$197,MATCH(1,A$6:A$197,0))))),SUM(A$6:A$197))</f>
        <v>0</v>
      </c>
      <c r="B2" s="2"/>
      <c r="C2" s="2"/>
      <c r="D2" s="2"/>
      <c r="E2" s="2"/>
      <c r="F2" s="2"/>
      <c r="G2" s="2"/>
      <c r="H2"/>
      <c r="I2"/>
      <c r="O2" s="81" t="s">
        <v>5</v>
      </c>
    </row>
    <row r="3" spans="1:18" x14ac:dyDescent="0.35">
      <c r="A3" s="111" t="str" cm="1">
        <f t="array" aca="1" ref="A3" ca="1">HYPERLINK(CONCATENATE("#",CELL("address",ToC!$A$1)),ToC!$C$1)</f>
        <v>TOC</v>
      </c>
      <c r="B3" s="111"/>
      <c r="C3" s="2"/>
      <c r="D3" s="2"/>
      <c r="E3" s="2"/>
      <c r="F3" s="2"/>
      <c r="G3" s="2"/>
      <c r="H3"/>
      <c r="I3"/>
    </row>
    <row r="4" spans="1:18" x14ac:dyDescent="0.35">
      <c r="A4" s="2"/>
      <c r="B4" s="2"/>
      <c r="C4" s="2"/>
      <c r="D4" s="2"/>
      <c r="E4" s="2"/>
      <c r="F4" s="2"/>
      <c r="G4" s="37" t="str">
        <f>'Cover sheet'!E17</f>
        <v>FY2025</v>
      </c>
      <c r="H4"/>
      <c r="I4"/>
    </row>
    <row r="5" spans="1:18" x14ac:dyDescent="0.35">
      <c r="A5" s="2" t="s">
        <v>7</v>
      </c>
      <c r="B5" s="2"/>
      <c r="C5" s="2" t="s">
        <v>8</v>
      </c>
      <c r="D5" s="2" t="s">
        <v>9</v>
      </c>
      <c r="E5" s="411"/>
      <c r="F5" s="2"/>
      <c r="G5" s="37" t="s">
        <v>134</v>
      </c>
      <c r="H5"/>
      <c r="I5"/>
    </row>
    <row r="6" spans="1:18" x14ac:dyDescent="0.35">
      <c r="A6" s="58"/>
      <c r="B6" s="73" t="s">
        <v>469</v>
      </c>
      <c r="C6" s="83"/>
      <c r="O6" s="58"/>
    </row>
    <row r="7" spans="1:18" x14ac:dyDescent="0.35">
      <c r="A7" s="5"/>
      <c r="B7" s="5"/>
      <c r="C7" s="201"/>
      <c r="D7" s="5" t="s">
        <v>715</v>
      </c>
      <c r="E7" s="5"/>
      <c r="F7" s="5"/>
      <c r="G7" s="5"/>
      <c r="O7" s="58"/>
    </row>
    <row r="8" spans="1:18" x14ac:dyDescent="0.35">
      <c r="A8"/>
      <c r="B8"/>
      <c r="C8"/>
      <c r="D8"/>
      <c r="F8"/>
      <c r="G8"/>
      <c r="O8" s="58"/>
    </row>
    <row r="9" spans="1:18" x14ac:dyDescent="0.35">
      <c r="A9" s="58"/>
      <c r="B9" s="90"/>
      <c r="C9" s="90"/>
      <c r="D9" s="36" t="s">
        <v>351</v>
      </c>
      <c r="G9" s="91"/>
    </row>
    <row r="10" spans="1:18" x14ac:dyDescent="0.35">
      <c r="A10" s="72" cm="1">
        <f t="array" aca="1" ref="A10" ca="1">HYPERLINK(CONCATENATE("#",CELL("address",IF(SUM($O10:$O10)=0,A10,INDEX($O10:$O10,MATCH(1,$O10:$O10,0))))),SUM($O10:$O10))</f>
        <v>0</v>
      </c>
      <c r="B10"/>
      <c r="C10" s="135" t="s">
        <v>716</v>
      </c>
      <c r="D10" t="s">
        <v>471</v>
      </c>
      <c r="G10" s="268">
        <f ca="1">SUMIF('I&amp;E'!$I$10:$I$167, $D10, 'I&amp;E'!$G$10:$G$165)</f>
        <v>0</v>
      </c>
      <c r="O10" s="9">
        <f t="shared" ref="O10:O15" ca="1" si="0">IF(OR(ISNUMBER(G10),ISBLANK(G10)),0,1)</f>
        <v>0</v>
      </c>
    </row>
    <row r="11" spans="1:18" x14ac:dyDescent="0.35">
      <c r="A11" s="72" cm="1">
        <f t="array" aca="1" ref="A11" ca="1">HYPERLINK(CONCATENATE("#",CELL("address",IF(SUM($O11:$O11)=0,A11,INDEX($O11:$O11,MATCH(1,$O11:$O11,0))))),SUM($O11:$O11))</f>
        <v>0</v>
      </c>
      <c r="B11"/>
      <c r="C11" s="135" t="s">
        <v>717</v>
      </c>
      <c r="D11" t="s">
        <v>514</v>
      </c>
      <c r="G11" s="268">
        <f ca="1">SUMIF('I&amp;E'!$I$10:$I$167, $D11, 'I&amp;E'!$G$10:$G$165)</f>
        <v>0</v>
      </c>
      <c r="O11" s="9">
        <f t="shared" ca="1" si="0"/>
        <v>0</v>
      </c>
    </row>
    <row r="12" spans="1:18" x14ac:dyDescent="0.35">
      <c r="A12" s="72" cm="1">
        <f t="array" aca="1" ref="A12" ca="1">HYPERLINK(CONCATENATE("#",CELL("address",IF(SUM($O12:$O12)=0,A12,INDEX($O12:$O12,MATCH(1,$O12:$O12,0))))),SUM($O12:$O12))</f>
        <v>0</v>
      </c>
      <c r="B12"/>
      <c r="C12" s="135" t="s">
        <v>718</v>
      </c>
      <c r="D12" t="s">
        <v>472</v>
      </c>
      <c r="G12" s="268">
        <f ca="1">SUMIF('I&amp;E'!$I$10:$I$167, $D12, 'I&amp;E'!$G$10:$G$165)</f>
        <v>0</v>
      </c>
      <c r="O12" s="9">
        <f t="shared" ca="1" si="0"/>
        <v>0</v>
      </c>
    </row>
    <row r="13" spans="1:18" x14ac:dyDescent="0.35">
      <c r="A13" s="72" cm="1">
        <f t="array" aca="1" ref="A13" ca="1">HYPERLINK(CONCATENATE("#",CELL("address",IF(SUM($O13:$O13)=0,A13,INDEX($O13:$O13,MATCH(1,$O13:$O13,0))))),SUM($O13:$O13))</f>
        <v>0</v>
      </c>
      <c r="B13"/>
      <c r="C13" s="135" t="s">
        <v>719</v>
      </c>
      <c r="D13" t="s">
        <v>562</v>
      </c>
      <c r="G13" s="268">
        <f ca="1">SUMIF('I&amp;E'!$I$10:$I$167, $D13, 'I&amp;E'!$G$10:$G$165)</f>
        <v>0</v>
      </c>
      <c r="O13" s="9">
        <f t="shared" ca="1" si="0"/>
        <v>0</v>
      </c>
    </row>
    <row r="14" spans="1:18" x14ac:dyDescent="0.35">
      <c r="A14" s="72" cm="1">
        <f t="array" aca="1" ref="A14" ca="1">HYPERLINK(CONCATENATE("#",CELL("address",IF(SUM($O14:$O14)=0,A14,INDEX($O14:$O14,MATCH(1,$O14:$O14,0))))),SUM($O14:$O14))</f>
        <v>0</v>
      </c>
      <c r="B14" s="84" t="s">
        <v>5</v>
      </c>
      <c r="C14" s="135" t="s">
        <v>720</v>
      </c>
      <c r="D14" t="s">
        <v>474</v>
      </c>
      <c r="G14" s="268">
        <f ca="1">SUMIF('I&amp;E'!$I$10:$I$167, $D14, 'I&amp;E'!$G$10:$G$165)</f>
        <v>0</v>
      </c>
      <c r="O14" s="9">
        <f t="shared" ca="1" si="0"/>
        <v>0</v>
      </c>
    </row>
    <row r="15" spans="1:18" x14ac:dyDescent="0.35">
      <c r="A15" s="72" cm="1">
        <f t="array" aca="1" ref="A15" ca="1">HYPERLINK(CONCATENATE("#",CELL("address",IF(SUM($O15:$O15)=0,A15,INDEX($O15:$O15,MATCH(1,$O15:$O15,0))))),SUM($O15:$O15))</f>
        <v>0</v>
      </c>
      <c r="B15"/>
      <c r="C15" s="135" t="s">
        <v>721</v>
      </c>
      <c r="D15" s="36" t="s">
        <v>722</v>
      </c>
      <c r="G15" s="269">
        <f ca="1">SUM(G10:G14)</f>
        <v>0</v>
      </c>
      <c r="J15" s="14"/>
      <c r="O15" s="9">
        <f t="shared" ca="1" si="0"/>
        <v>0</v>
      </c>
      <c r="R15" s="229">
        <f ca="1">G15-'CFFR SOCI'!G21</f>
        <v>0</v>
      </c>
    </row>
    <row r="16" spans="1:18" x14ac:dyDescent="0.35">
      <c r="A16"/>
      <c r="B16"/>
      <c r="C16" s="135"/>
      <c r="D16"/>
      <c r="G16" s="92"/>
    </row>
    <row r="17" spans="1:18" x14ac:dyDescent="0.35">
      <c r="A17" s="58"/>
      <c r="B17" s="93"/>
      <c r="C17" s="136"/>
      <c r="D17" s="36" t="s">
        <v>371</v>
      </c>
      <c r="G17" s="92"/>
    </row>
    <row r="18" spans="1:18" x14ac:dyDescent="0.35">
      <c r="A18" s="72" cm="1">
        <f t="array" aca="1" ref="A18" ca="1">HYPERLINK(CONCATENATE("#",CELL("address",IF(SUM($O18:$O18)=0,A18,INDEX($O18:$O18,MATCH(1,$O18:$O18,0))))),SUM($O18:$O18))</f>
        <v>0</v>
      </c>
      <c r="B18"/>
      <c r="C18" s="135" t="s">
        <v>723</v>
      </c>
      <c r="D18" t="s">
        <v>477</v>
      </c>
      <c r="G18" s="268">
        <f>'I&amp;E'!G114+'I&amp;E'!G133</f>
        <v>0</v>
      </c>
      <c r="O18" s="9">
        <f>IF(OR(ISNUMBER(G18),ISBLANK(G18)),0,1)</f>
        <v>0</v>
      </c>
    </row>
    <row r="19" spans="1:18" x14ac:dyDescent="0.35">
      <c r="A19" s="72" cm="1">
        <f t="array" aca="1" ref="A19" ca="1">HYPERLINK(CONCATENATE("#",CELL("address",IF(SUM($O19:$O19)=0,A19,INDEX($O19:$O19,MATCH(1,$O19:$O19,0))))),SUM($O19:$O19))</f>
        <v>0</v>
      </c>
      <c r="B19"/>
      <c r="C19" s="135" t="s">
        <v>724</v>
      </c>
      <c r="D19" t="s">
        <v>480</v>
      </c>
      <c r="G19" s="268">
        <f>'I&amp;E'!G128</f>
        <v>0</v>
      </c>
      <c r="O19" s="9">
        <f>IF(OR(ISNUMBER(G19),ISBLANK(G19)),0,1)</f>
        <v>0</v>
      </c>
    </row>
    <row r="20" spans="1:18" x14ac:dyDescent="0.35">
      <c r="A20" s="72" cm="1">
        <f t="array" aca="1" ref="A20" ca="1">HYPERLINK(CONCATENATE("#",CELL("address",IF(SUM($O20:$O20)=0,A20,INDEX($O20:$O20,MATCH(1,$O20:$O20,0))))),SUM($O20:$O20))</f>
        <v>0</v>
      </c>
      <c r="B20"/>
      <c r="C20" s="135" t="s">
        <v>725</v>
      </c>
      <c r="D20" s="36" t="s">
        <v>726</v>
      </c>
      <c r="G20" s="269">
        <f>SUM(G18:G19)</f>
        <v>0</v>
      </c>
      <c r="O20" s="9">
        <f>IF(OR(ISNUMBER(G20),ISBLANK(G20)),0,1)</f>
        <v>0</v>
      </c>
      <c r="P20" s="9">
        <f>IF(G20='I&amp;E'!G135, 0, 1)</f>
        <v>0</v>
      </c>
    </row>
    <row r="21" spans="1:18" x14ac:dyDescent="0.35">
      <c r="A21"/>
      <c r="B21"/>
      <c r="C21" s="135"/>
      <c r="D21"/>
      <c r="G21" s="35"/>
    </row>
    <row r="22" spans="1:18" x14ac:dyDescent="0.35">
      <c r="A22" s="72" cm="1">
        <f t="array" aca="1" ref="A22" ca="1">HYPERLINK(CONCATENATE("#",CELL("address",IF(SUM($O22:$O22)=0,A22,INDEX($O22:$O22,MATCH(1,$O22:$O22,0))))),SUM($O22:$O22))</f>
        <v>0</v>
      </c>
      <c r="B22" s="94"/>
      <c r="C22" s="137" t="s">
        <v>727</v>
      </c>
      <c r="D22" s="36" t="s">
        <v>728</v>
      </c>
      <c r="G22" s="269">
        <f ca="1">+G15-G20</f>
        <v>0</v>
      </c>
      <c r="O22" s="9">
        <f ca="1">IF(OR(ISNUMBER(G22),ISBLANK(G22)),0,1)</f>
        <v>0</v>
      </c>
      <c r="R22" s="229"/>
    </row>
    <row r="23" spans="1:18" x14ac:dyDescent="0.35">
      <c r="A23"/>
      <c r="B23"/>
      <c r="C23" s="135"/>
      <c r="D23"/>
      <c r="G23" s="92"/>
    </row>
    <row r="24" spans="1:18" x14ac:dyDescent="0.35">
      <c r="A24" s="58"/>
      <c r="B24" s="94"/>
      <c r="C24" s="137"/>
      <c r="D24" t="s">
        <v>729</v>
      </c>
      <c r="G24" s="92"/>
    </row>
    <row r="25" spans="1:18" x14ac:dyDescent="0.35">
      <c r="A25" s="72" cm="1">
        <f t="array" aca="1" ref="A25" ca="1">HYPERLINK(CONCATENATE("#",CELL("address",IF(SUM($O25:$O25)=0,A25,INDEX($O25:$O25,MATCH(1,$O25:$O25,0))))),SUM($O25:$O25))</f>
        <v>0</v>
      </c>
      <c r="B25"/>
      <c r="C25" s="135" t="s">
        <v>730</v>
      </c>
      <c r="D25" t="s">
        <v>674</v>
      </c>
      <c r="G25" s="268">
        <f>'I&amp;E'!G144</f>
        <v>0</v>
      </c>
      <c r="O25" s="9">
        <f>IF(OR(ISNUMBER(G25),ISBLANK(G25)),0,1)</f>
        <v>0</v>
      </c>
    </row>
    <row r="26" spans="1:18" x14ac:dyDescent="0.35">
      <c r="A26" s="72" cm="1">
        <f t="array" aca="1" ref="A26" ca="1">HYPERLINK(CONCATENATE("#",CELL("address",IF(SUM($O26:$O26)=0,A26,INDEX($O26:$O26,MATCH(1,$O26:$O26,0))))),SUM($O26:$O26))</f>
        <v>0</v>
      </c>
      <c r="B26"/>
      <c r="C26" s="135" t="s">
        <v>731</v>
      </c>
      <c r="D26" t="s">
        <v>678</v>
      </c>
      <c r="G26" s="268">
        <f>'I&amp;E'!G146+'I&amp;E'!G147</f>
        <v>0</v>
      </c>
      <c r="O26" s="9">
        <f>IF(OR(ISNUMBER(G26),ISBLANK(G26)),0,1)</f>
        <v>0</v>
      </c>
    </row>
    <row r="27" spans="1:18" x14ac:dyDescent="0.35">
      <c r="A27" s="72" cm="1">
        <f t="array" aca="1" ref="A27" ca="1">HYPERLINK(CONCATENATE("#",CELL("address",IF(SUM($O27:$O27)=0,A27,INDEX($O27:$O27,MATCH(1,$O27:$O27,0))))),SUM($O27:$O27))</f>
        <v>0</v>
      </c>
      <c r="B27"/>
      <c r="C27" s="135" t="s">
        <v>732</v>
      </c>
      <c r="D27" t="s">
        <v>682</v>
      </c>
      <c r="G27" s="268">
        <f>'I&amp;E'!G148</f>
        <v>0</v>
      </c>
      <c r="O27" s="9">
        <f>IF(OR(ISNUMBER(G27),ISBLANK(G27)),0,1)</f>
        <v>0</v>
      </c>
    </row>
    <row r="28" spans="1:18" x14ac:dyDescent="0.35">
      <c r="A28" s="72" cm="1">
        <f t="array" aca="1" ref="A28" ca="1">HYPERLINK(CONCATENATE("#",CELL("address",IF(SUM($O28:$O28)=0,A28,INDEX($O28:$O28,MATCH(1,$O28:$O28,0))))),SUM($O28:$O28))</f>
        <v>0</v>
      </c>
      <c r="B28"/>
      <c r="C28" s="135" t="s">
        <v>733</v>
      </c>
      <c r="D28" s="36" t="s">
        <v>734</v>
      </c>
      <c r="G28" s="269">
        <f>SUM(G25:G27)</f>
        <v>0</v>
      </c>
      <c r="O28" s="9">
        <f>IF(OR(ISNUMBER(G28),ISBLANK(G28)),0,1)</f>
        <v>0</v>
      </c>
      <c r="P28" s="9">
        <f>IF(G28='I&amp;E'!G149+'I&amp;E'!G145, 0, 1)</f>
        <v>0</v>
      </c>
    </row>
    <row r="29" spans="1:18" x14ac:dyDescent="0.35">
      <c r="B29"/>
      <c r="C29" s="135"/>
      <c r="D29"/>
      <c r="G29" s="92"/>
    </row>
    <row r="30" spans="1:18" x14ac:dyDescent="0.35">
      <c r="A30" s="72" cm="1">
        <f t="array" aca="1" ref="A30" ca="1">HYPERLINK(CONCATENATE("#",CELL("address",IF(SUM($O30:$O30)=0,A30,INDEX($O30:$O30,MATCH(1,$O30:$O30,0))))),SUM($O30:$O30))</f>
        <v>0</v>
      </c>
      <c r="B30"/>
      <c r="C30" s="135" t="s">
        <v>735</v>
      </c>
      <c r="D30" s="36" t="s">
        <v>686</v>
      </c>
      <c r="G30" s="269">
        <f ca="1">+G22-G28</f>
        <v>0</v>
      </c>
      <c r="O30" s="9">
        <f ca="1">IF(OR(ISNUMBER(G30),ISBLANK(G30)),0,1)</f>
        <v>0</v>
      </c>
      <c r="P30" s="9">
        <f ca="1">IF(G30='I&amp;E'!G151, 0, 1)</f>
        <v>0</v>
      </c>
    </row>
    <row r="31" spans="1:18" x14ac:dyDescent="0.35">
      <c r="A31"/>
      <c r="B31"/>
      <c r="C31" s="135"/>
      <c r="D31"/>
      <c r="G31" s="92"/>
    </row>
    <row r="32" spans="1:18" x14ac:dyDescent="0.35">
      <c r="A32" s="58"/>
      <c r="B32" s="90"/>
      <c r="C32" s="138"/>
      <c r="D32" s="36" t="s">
        <v>687</v>
      </c>
      <c r="G32" s="92"/>
    </row>
    <row r="33" spans="1:16" x14ac:dyDescent="0.35">
      <c r="A33" s="72" cm="1">
        <f t="array" aca="1" ref="A33" ca="1">HYPERLINK(CONCATENATE("#",CELL("address",IF(SUM($O33:$O33)=0,A33,INDEX($O33:$O33,MATCH(1,$O33:$O33,0))))),SUM($O33:$O33))</f>
        <v>0</v>
      </c>
      <c r="B33"/>
      <c r="C33" s="135" t="s">
        <v>736</v>
      </c>
      <c r="D33" t="s">
        <v>689</v>
      </c>
      <c r="G33" s="268">
        <f>'I&amp;E'!G154</f>
        <v>0</v>
      </c>
      <c r="O33" s="9">
        <f>IF(OR(ISNUMBER(G33),ISBLANK(G33)),0,1)</f>
        <v>0</v>
      </c>
    </row>
    <row r="34" spans="1:16" x14ac:dyDescent="0.35">
      <c r="A34" s="72" cm="1">
        <f t="array" aca="1" ref="A34" ca="1">HYPERLINK(CONCATENATE("#",CELL("address",IF(SUM($O34:$O34)=0,A34,INDEX($O34:$O34,MATCH(1,$O34:$O34,0))))),SUM($O34:$O34))</f>
        <v>0</v>
      </c>
      <c r="B34"/>
      <c r="C34" s="135" t="s">
        <v>737</v>
      </c>
      <c r="D34" t="s">
        <v>738</v>
      </c>
      <c r="G34" s="268">
        <f>'I&amp;E'!G155</f>
        <v>0</v>
      </c>
      <c r="O34" s="9">
        <f>IF(OR(ISNUMBER(G34),ISBLANK(G34)),0,1)</f>
        <v>0</v>
      </c>
    </row>
    <row r="35" spans="1:16" x14ac:dyDescent="0.35">
      <c r="A35" s="72" cm="1">
        <f t="array" aca="1" ref="A35" ca="1">HYPERLINK(CONCATENATE("#",CELL("address",IF(SUM($O35:$O35)=0,A35,INDEX($O35:$O35,MATCH(1,$O35:$O35,0))))),SUM($O35:$O35))</f>
        <v>0</v>
      </c>
      <c r="B35"/>
      <c r="C35" s="135" t="s">
        <v>739</v>
      </c>
      <c r="D35" t="s">
        <v>693</v>
      </c>
      <c r="G35" s="268">
        <f>'I&amp;E'!G156</f>
        <v>0</v>
      </c>
      <c r="O35" s="9">
        <f t="shared" ref="O35:O38" si="1">IF(OR(ISNUMBER(G35),ISBLANK(G35)),0,1)</f>
        <v>0</v>
      </c>
    </row>
    <row r="36" spans="1:16" x14ac:dyDescent="0.35">
      <c r="A36" s="72" cm="1">
        <f t="array" aca="1" ref="A36" ca="1">HYPERLINK(CONCATENATE("#",CELL("address",IF(SUM($O36:$O36)=0,A36,INDEX($O36:$O36,MATCH(1,$O36:$O36,0))))),SUM($O36:$O36))</f>
        <v>0</v>
      </c>
      <c r="B36"/>
      <c r="C36" s="135" t="s">
        <v>740</v>
      </c>
      <c r="D36" t="s">
        <v>741</v>
      </c>
      <c r="G36" s="268">
        <f>'I&amp;E'!G157</f>
        <v>0</v>
      </c>
      <c r="O36" s="9">
        <f t="shared" si="1"/>
        <v>0</v>
      </c>
    </row>
    <row r="37" spans="1:16" x14ac:dyDescent="0.35">
      <c r="A37" s="72" cm="1">
        <f t="array" aca="1" ref="A37" ca="1">HYPERLINK(CONCATENATE("#",CELL("address",IF(SUM($O37:$O37)=0,A37,INDEX($O37:$O37,MATCH(1,$O37:$O37,0))))),SUM($O37:$O37))</f>
        <v>0</v>
      </c>
      <c r="B37"/>
      <c r="C37" s="135" t="s">
        <v>742</v>
      </c>
      <c r="D37" t="s">
        <v>697</v>
      </c>
      <c r="G37" s="268">
        <f>'I&amp;E'!G158</f>
        <v>0</v>
      </c>
      <c r="O37" s="9">
        <f t="shared" si="1"/>
        <v>0</v>
      </c>
    </row>
    <row r="38" spans="1:16" x14ac:dyDescent="0.35">
      <c r="A38" s="72" cm="1">
        <f t="array" aca="1" ref="A38" ca="1">HYPERLINK(CONCATENATE("#",CELL("address",IF(SUM($O38:$O38)=0,A38,INDEX($O38:$O38,MATCH(1,$O38:$O38,0))))),SUM($O38:$O38))</f>
        <v>0</v>
      </c>
      <c r="B38"/>
      <c r="C38" s="135" t="s">
        <v>743</v>
      </c>
      <c r="D38" s="36" t="s">
        <v>699</v>
      </c>
      <c r="G38" s="269">
        <f>SUM(G33:G37)</f>
        <v>0</v>
      </c>
      <c r="O38" s="9">
        <f t="shared" si="1"/>
        <v>0</v>
      </c>
      <c r="P38" s="9">
        <f>IF(G38='I&amp;E'!G159, 0, 1)</f>
        <v>0</v>
      </c>
    </row>
    <row r="39" spans="1:16" x14ac:dyDescent="0.35">
      <c r="A39"/>
      <c r="B39"/>
      <c r="C39" s="135"/>
      <c r="D39"/>
      <c r="G39" s="95"/>
    </row>
    <row r="40" spans="1:16" x14ac:dyDescent="0.35">
      <c r="A40" s="72" cm="1">
        <f t="array" aca="1" ref="A40" ca="1">HYPERLINK(CONCATENATE("#",CELL("address",IF(SUM($O40:$O40)=0,A40,INDEX($O40:$O40,MATCH(1,$O40:$O40,0))))),SUM($O40:$O40))</f>
        <v>0</v>
      </c>
      <c r="B40"/>
      <c r="C40" s="135" t="s">
        <v>744</v>
      </c>
      <c r="D40" s="36" t="s">
        <v>332</v>
      </c>
      <c r="G40" s="269">
        <f ca="1">+G30+G38</f>
        <v>0</v>
      </c>
      <c r="O40" s="9">
        <f ca="1">IF(OR(ISNUMBER(G40),ISBLANK(G40)),0,1)</f>
        <v>0</v>
      </c>
      <c r="P40" s="9">
        <f ca="1">IF(G40='I&amp;E'!G161, 0, 1)</f>
        <v>0</v>
      </c>
    </row>
    <row r="41" spans="1:16" x14ac:dyDescent="0.35">
      <c r="A41"/>
      <c r="B41"/>
      <c r="C41" s="135"/>
      <c r="D41"/>
      <c r="G41" s="92"/>
    </row>
    <row r="42" spans="1:16" x14ac:dyDescent="0.35">
      <c r="A42" s="58"/>
      <c r="B42" s="90"/>
      <c r="C42" s="138"/>
      <c r="D42" s="36" t="s">
        <v>745</v>
      </c>
      <c r="G42" s="92"/>
    </row>
    <row r="43" spans="1:16" x14ac:dyDescent="0.35">
      <c r="A43" s="72" cm="1">
        <f t="array" aca="1" ref="A43" ca="1">HYPERLINK(CONCATENATE("#",CELL("address",IF(SUM($O43:$O43)=0,A43,INDEX($O43:$O43,MATCH(1,$O43:$O43,0))))),SUM($O43:$O43))</f>
        <v>0</v>
      </c>
      <c r="B43"/>
      <c r="C43" s="135" t="s">
        <v>746</v>
      </c>
      <c r="D43" t="s">
        <v>747</v>
      </c>
      <c r="G43" s="268">
        <f>'I&amp;E'!G163</f>
        <v>0</v>
      </c>
      <c r="O43" s="9">
        <f>IF(OR(ISNUMBER(G43),ISBLANK(G43)),0,1)</f>
        <v>0</v>
      </c>
    </row>
    <row r="44" spans="1:16" x14ac:dyDescent="0.35">
      <c r="A44" s="72" cm="1">
        <f t="array" aca="1" ref="A44" ca="1">HYPERLINK(CONCATENATE("#",CELL("address",IF(SUM($O44:$O44)=0,A44,INDEX($O44:$O44,MATCH(1,$O44:$O44,0))))),SUM($O44:$O44))</f>
        <v>0</v>
      </c>
      <c r="B44"/>
      <c r="C44" s="135" t="s">
        <v>748</v>
      </c>
      <c r="D44" t="s">
        <v>749</v>
      </c>
      <c r="G44" s="268">
        <f>'I&amp;E'!G164</f>
        <v>0</v>
      </c>
      <c r="O44" s="9">
        <f>IF(OR(ISNUMBER(G44),ISBLANK(G44)),0,1)</f>
        <v>0</v>
      </c>
    </row>
    <row r="45" spans="1:16" x14ac:dyDescent="0.35">
      <c r="A45" s="72" cm="1">
        <f t="array" aca="1" ref="A45" ca="1">HYPERLINK(CONCATENATE("#",CELL("address",IF(SUM($O45:$O45)=0,A45,INDEX($O45:$O45,MATCH(1,$O45:$O45,0))))),SUM($O45:$O45))</f>
        <v>0</v>
      </c>
      <c r="B45"/>
      <c r="C45" s="135" t="s">
        <v>750</v>
      </c>
      <c r="D45" s="36" t="s">
        <v>751</v>
      </c>
      <c r="G45" s="269">
        <f ca="1">G40+G43+G44</f>
        <v>0</v>
      </c>
      <c r="O45" s="9">
        <f ca="1">IF(OR(ISNUMBER(G45),ISBLANK(G45)),0,1)</f>
        <v>0</v>
      </c>
      <c r="P45" s="9">
        <f ca="1">IF(G45='I&amp;E'!G165, 0, 1)</f>
        <v>0</v>
      </c>
    </row>
    <row r="46" spans="1:16" x14ac:dyDescent="0.35">
      <c r="A46"/>
      <c r="B46"/>
      <c r="C46" s="135"/>
      <c r="D46"/>
      <c r="G46" s="92"/>
    </row>
    <row r="47" spans="1:16" x14ac:dyDescent="0.35">
      <c r="A47" s="58"/>
      <c r="C47" s="130"/>
      <c r="D47" s="14" t="s">
        <v>707</v>
      </c>
      <c r="J47" s="58"/>
    </row>
    <row r="48" spans="1:16" x14ac:dyDescent="0.35">
      <c r="A48" s="72" cm="1">
        <f t="array" aca="1" ref="A48" ca="1">HYPERLINK(CONCATENATE("#",CELL("address",IF(SUM($O49:$O49)=0,A48,INDEX($O49:$O49,MATCH(1,$O49:$O49,0))))),SUM($O49:$O49))</f>
        <v>0</v>
      </c>
      <c r="C48" s="130"/>
    </row>
    <row r="49" spans="1:15" x14ac:dyDescent="0.35">
      <c r="A49" s="72" cm="1">
        <f t="array" aca="1" ref="A49" ca="1">HYPERLINK(CONCATENATE("#",CELL("address",IF(SUM($O50:$O50)=0,A49,INDEX($O50:$O50,MATCH(1,$O50:$O50,0))))),SUM($O50:$O50))</f>
        <v>0</v>
      </c>
      <c r="C49" s="130"/>
      <c r="D49" s="14" t="s">
        <v>671</v>
      </c>
      <c r="G49" s="268">
        <f>'I&amp;E'!G169</f>
        <v>0</v>
      </c>
      <c r="O49" s="9">
        <f t="shared" ref="O49:O55" si="2">IF(OR(ISNUMBER(G49),ISBLANK(G49)),0,1)</f>
        <v>0</v>
      </c>
    </row>
    <row r="50" spans="1:15" x14ac:dyDescent="0.35">
      <c r="A50" s="72" cm="1">
        <f t="array" aca="1" ref="A50" ca="1">HYPERLINK(CONCATENATE("#",CELL("address",IF(SUM($O51:$O51)=0,A50,INDEX($O51:$O51,MATCH(1,$O51:$O51,0))))),SUM($O51:$O51))</f>
        <v>0</v>
      </c>
      <c r="C50" s="130"/>
      <c r="D50" s="14" t="s">
        <v>602</v>
      </c>
      <c r="G50" s="268">
        <f>'I&amp;E'!G170</f>
        <v>0</v>
      </c>
      <c r="O50" s="9">
        <f t="shared" si="2"/>
        <v>0</v>
      </c>
    </row>
    <row r="51" spans="1:15" x14ac:dyDescent="0.35">
      <c r="A51" s="72" cm="1">
        <f t="array" aca="1" ref="A51" ca="1">HYPERLINK(CONCATENATE("#",CELL("address",IF(SUM($O52:$O52)=0,A51,INDEX($O52:$O52,MATCH(1,$O52:$O52,0))))),SUM($O52:$O52))</f>
        <v>0</v>
      </c>
      <c r="C51" s="130"/>
      <c r="D51" s="14" t="s">
        <v>629</v>
      </c>
      <c r="G51" s="268">
        <f>'I&amp;E'!G171</f>
        <v>0</v>
      </c>
      <c r="O51" s="9">
        <f t="shared" si="2"/>
        <v>0</v>
      </c>
    </row>
    <row r="52" spans="1:15" x14ac:dyDescent="0.35">
      <c r="A52" s="72" cm="1">
        <f t="array" aca="1" ref="A52" ca="1">HYPERLINK(CONCATENATE("#",CELL("address",IF(SUM($O53:$O53)=0,A52,INDEX($O53:$O53,MATCH(1,$O53:$O53,0))))),SUM($O53:$O53))</f>
        <v>0</v>
      </c>
      <c r="C52" s="130"/>
      <c r="D52" s="14" t="s">
        <v>669</v>
      </c>
      <c r="G52" s="268">
        <f>'I&amp;E'!G172</f>
        <v>0</v>
      </c>
      <c r="O52" s="9">
        <f t="shared" si="2"/>
        <v>0</v>
      </c>
    </row>
    <row r="53" spans="1:15" x14ac:dyDescent="0.35">
      <c r="A53" s="72" cm="1">
        <f t="array" aca="1" ref="A53" ca="1">HYPERLINK(CONCATENATE("#",CELL("address",IF(SUM($O54:$O54)=0,A53,INDEX($O54:$O54,MATCH(1,$O54:$O54,0))))),SUM($O54:$O54))</f>
        <v>0</v>
      </c>
      <c r="C53" s="130"/>
      <c r="D53" s="14" t="s">
        <v>608</v>
      </c>
      <c r="G53" s="268">
        <f>'I&amp;E'!G173</f>
        <v>0</v>
      </c>
      <c r="O53" s="9">
        <f t="shared" si="2"/>
        <v>0</v>
      </c>
    </row>
    <row r="54" spans="1:15" x14ac:dyDescent="0.35">
      <c r="A54" s="72" cm="1">
        <f t="array" aca="1" ref="A54" ca="1">HYPERLINK(CONCATENATE("#",CELL("address",IF(SUM($O55:$O55)=0,A54,INDEX($O55:$O55,MATCH(1,$O55:$O55,0))))),SUM($O55:$O55))</f>
        <v>0</v>
      </c>
      <c r="C54" s="130"/>
      <c r="D54" s="14" t="s">
        <v>709</v>
      </c>
      <c r="G54" s="268">
        <f>'I&amp;E'!G174</f>
        <v>0</v>
      </c>
      <c r="O54" s="9">
        <f t="shared" si="2"/>
        <v>0</v>
      </c>
    </row>
    <row r="55" spans="1:15" x14ac:dyDescent="0.35">
      <c r="A55" s="72" cm="1">
        <f t="array" aca="1" ref="A55" ca="1">HYPERLINK(CONCATENATE("#",CELL("address",IF(SUM($O56:$O56)=0,A55,INDEX($O56:$O56,MATCH(1,$O56:$O56,0))))),SUM($O56:$O56))</f>
        <v>0</v>
      </c>
      <c r="C55" s="130"/>
      <c r="D55" s="14" t="s">
        <v>712</v>
      </c>
      <c r="G55" s="268">
        <f>'I&amp;E'!G176</f>
        <v>0</v>
      </c>
      <c r="O55" s="9">
        <f t="shared" si="2"/>
        <v>0</v>
      </c>
    </row>
    <row r="56" spans="1:15" x14ac:dyDescent="0.35">
      <c r="A56"/>
      <c r="B56"/>
      <c r="C56" s="135"/>
      <c r="D56"/>
      <c r="G56" s="95"/>
      <c r="O56" s="58"/>
    </row>
    <row r="57" spans="1:15" x14ac:dyDescent="0.35">
      <c r="C57" s="130"/>
    </row>
    <row r="58" spans="1:15" x14ac:dyDescent="0.35">
      <c r="C58" s="130"/>
    </row>
    <row r="59" spans="1:15" x14ac:dyDescent="0.35">
      <c r="C59" s="130" t="s">
        <v>752</v>
      </c>
      <c r="D59" s="31" t="s">
        <v>382</v>
      </c>
    </row>
    <row r="60" spans="1:15" x14ac:dyDescent="0.35">
      <c r="D60" s="450"/>
      <c r="E60" s="450"/>
      <c r="F60" s="450"/>
      <c r="G60" s="450"/>
      <c r="H60"/>
    </row>
    <row r="61" spans="1:15" x14ac:dyDescent="0.35">
      <c r="D61" s="450"/>
      <c r="E61" s="450"/>
      <c r="F61" s="450"/>
      <c r="G61" s="450"/>
      <c r="H61"/>
    </row>
    <row r="62" spans="1:15" x14ac:dyDescent="0.35">
      <c r="D62" s="450"/>
      <c r="E62" s="450"/>
      <c r="F62" s="450"/>
      <c r="G62" s="450"/>
      <c r="H62"/>
    </row>
    <row r="63" spans="1:15" x14ac:dyDescent="0.35">
      <c r="D63" s="450"/>
      <c r="E63" s="450"/>
      <c r="F63" s="450"/>
      <c r="G63" s="450"/>
      <c r="H63"/>
    </row>
    <row r="64" spans="1:15" x14ac:dyDescent="0.35">
      <c r="D64" s="450"/>
      <c r="E64" s="450"/>
      <c r="F64" s="450"/>
      <c r="G64" s="450"/>
      <c r="H64"/>
    </row>
    <row r="65" spans="4:8" x14ac:dyDescent="0.35">
      <c r="D65" s="450"/>
      <c r="E65" s="450"/>
      <c r="F65" s="450"/>
      <c r="G65" s="450"/>
      <c r="H65"/>
    </row>
    <row r="66" spans="4:8" x14ac:dyDescent="0.35">
      <c r="D66" s="450"/>
      <c r="E66" s="450"/>
      <c r="F66" s="450"/>
      <c r="G66" s="450"/>
      <c r="H66"/>
    </row>
    <row r="67" spans="4:8" x14ac:dyDescent="0.35">
      <c r="D67" s="450"/>
      <c r="E67" s="450"/>
      <c r="F67" s="450"/>
      <c r="G67" s="450"/>
      <c r="H67"/>
    </row>
  </sheetData>
  <sheetProtection algorithmName="SHA-512" hashValue="Wzvpr29I+c6QN2gADVU82l71itdE11K2zdispXaa44F7m3y1QleKnG07u8PL7TX1psQkBcBDm0c0dYuvDH1STw==" saltValue="WjnnWKRWVB2z/hOmNydXMQ==" spinCount="100000" sheet="1" objects="1" scenarios="1"/>
  <mergeCells count="1">
    <mergeCell ref="D60:G67"/>
  </mergeCells>
  <conditionalFormatting sqref="A1:A2">
    <cfRule type="cellIs" dxfId="180" priority="9" operator="equal">
      <formula>0</formula>
    </cfRule>
    <cfRule type="cellIs" dxfId="179" priority="10" operator="greaterThan">
      <formula>0</formula>
    </cfRule>
  </conditionalFormatting>
  <conditionalFormatting sqref="A10:A15 A25:A28 O25:O28">
    <cfRule type="cellIs" dxfId="178" priority="49" operator="equal">
      <formula>0</formula>
    </cfRule>
    <cfRule type="cellIs" dxfId="177" priority="50" operator="greaterThan">
      <formula>0</formula>
    </cfRule>
  </conditionalFormatting>
  <conditionalFormatting sqref="A18:A20 A22 A30 A33:A38 A40 A43:A45 A48:A55">
    <cfRule type="cellIs" dxfId="176" priority="47" operator="equal">
      <formula>0</formula>
    </cfRule>
    <cfRule type="cellIs" dxfId="175" priority="48" operator="greaterThan">
      <formula>0</formula>
    </cfRule>
  </conditionalFormatting>
  <conditionalFormatting sqref="O10:O15">
    <cfRule type="cellIs" dxfId="174" priority="43" operator="equal">
      <formula>0</formula>
    </cfRule>
    <cfRule type="cellIs" dxfId="173" priority="44" operator="greaterThan">
      <formula>0</formula>
    </cfRule>
  </conditionalFormatting>
  <conditionalFormatting sqref="O18:O20">
    <cfRule type="cellIs" dxfId="172" priority="41" operator="equal">
      <formula>0</formula>
    </cfRule>
    <cfRule type="cellIs" dxfId="171" priority="42" operator="greaterThan">
      <formula>0</formula>
    </cfRule>
  </conditionalFormatting>
  <conditionalFormatting sqref="O22 O33:O38">
    <cfRule type="cellIs" dxfId="170" priority="19" operator="equal">
      <formula>0</formula>
    </cfRule>
    <cfRule type="cellIs" dxfId="169" priority="20" operator="greaterThan">
      <formula>0</formula>
    </cfRule>
  </conditionalFormatting>
  <conditionalFormatting sqref="O43:O45">
    <cfRule type="cellIs" dxfId="168" priority="29" operator="equal">
      <formula>0</formula>
    </cfRule>
    <cfRule type="cellIs" dxfId="167" priority="30" operator="greaterThan">
      <formula>0</formula>
    </cfRule>
  </conditionalFormatting>
  <conditionalFormatting sqref="O49:O55">
    <cfRule type="cellIs" dxfId="166" priority="27" operator="equal">
      <formula>0</formula>
    </cfRule>
    <cfRule type="cellIs" dxfId="165" priority="28" operator="greaterThan">
      <formula>0</formula>
    </cfRule>
  </conditionalFormatting>
  <conditionalFormatting sqref="O30:P30">
    <cfRule type="cellIs" dxfId="164" priority="3" operator="equal">
      <formula>0</formula>
    </cfRule>
    <cfRule type="cellIs" dxfId="163" priority="4" operator="greaterThan">
      <formula>0</formula>
    </cfRule>
  </conditionalFormatting>
  <conditionalFormatting sqref="P20">
    <cfRule type="cellIs" dxfId="162" priority="7" operator="equal">
      <formula>0</formula>
    </cfRule>
    <cfRule type="cellIs" dxfId="161" priority="8" operator="greaterThan">
      <formula>0</formula>
    </cfRule>
  </conditionalFormatting>
  <conditionalFormatting sqref="P28">
    <cfRule type="cellIs" dxfId="160" priority="5" operator="equal">
      <formula>0</formula>
    </cfRule>
    <cfRule type="cellIs" dxfId="159" priority="6" operator="greaterThan">
      <formula>0</formula>
    </cfRule>
  </conditionalFormatting>
  <conditionalFormatting sqref="P38 O40:P40 P45">
    <cfRule type="cellIs" dxfId="158" priority="1" operator="equal">
      <formula>0</formula>
    </cfRule>
    <cfRule type="cellIs" dxfId="157" priority="2" operator="greaterThan">
      <formula>0</formula>
    </cfRule>
  </conditionalFormatting>
  <dataValidations count="4">
    <dataValidation allowBlank="1" showErrorMessage="1" sqref="D33 D43" xr:uid="{C9D9A0BD-AD9F-4CDB-824A-1EF0D4CB2C1B}"/>
    <dataValidation type="custom" allowBlank="1" showInputMessage="1" showErrorMessage="1" error="Please enter text" sqref="D60" xr:uid="{3417BD31-EB56-46BD-B03C-B24CD92F80DE}">
      <formula1>ISTEXT(D60)</formula1>
    </dataValidation>
    <dataValidation allowBlank="1" showInputMessage="1" promptTitle="Input Validation Check" prompt="Flags where a cell contains invalid characters, such as full stops, dashes and spaces._x000a_" sqref="O2" xr:uid="{C6CF3F12-61E8-4346-9C8C-9698E6E08CD6}"/>
    <dataValidation allowBlank="1" showInputMessage="1" promptTitle="Endowment &amp; Investment Income" prompt="Endowment &amp; Investment Income inc. donations" sqref="B14" xr:uid="{19123322-488F-4D65-80E0-00ECFC2DCA98}"/>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7220D-E966-4B7E-B5CF-5DA0A4AD93AD}">
  <sheetPr codeName="Sheet9">
    <tabColor rgb="FF002060"/>
  </sheetPr>
  <dimension ref="A1:O69"/>
  <sheetViews>
    <sheetView showGridLines="0" zoomScaleNormal="100" workbookViewId="0">
      <pane ySplit="6" topLeftCell="A7" activePane="bottomLeft" state="frozen"/>
      <selection activeCell="B29" sqref="B29"/>
      <selection pane="bottomLeft"/>
    </sheetView>
  </sheetViews>
  <sheetFormatPr defaultColWidth="9" defaultRowHeight="14.5" x14ac:dyDescent="0.35"/>
  <cols>
    <col min="4" max="4" width="59.453125" bestFit="1" customWidth="1"/>
    <col min="5" max="6" width="1.453125" customWidth="1"/>
    <col min="8" max="8" width="2.7265625" customWidth="1"/>
    <col min="9" max="9" width="2.26953125" customWidth="1"/>
    <col min="10" max="10" width="2" customWidth="1"/>
    <col min="11" max="11" width="1.453125" customWidth="1"/>
    <col min="12" max="12" width="2.1796875" customWidth="1"/>
    <col min="13" max="13" width="1.81640625" customWidth="1"/>
    <col min="14" max="14" width="9.1796875"/>
    <col min="15" max="15" width="18.81640625" style="76" bestFit="1" customWidth="1"/>
  </cols>
  <sheetData>
    <row r="1" spans="1:15" x14ac:dyDescent="0.35">
      <c r="A1" s="147">
        <f ca="1">ToC!A1</f>
        <v>0</v>
      </c>
      <c r="B1" s="2" t="s">
        <v>753</v>
      </c>
      <c r="C1" s="2"/>
      <c r="D1" s="2">
        <f>'Cover sheet'!E8</f>
        <v>0</v>
      </c>
      <c r="E1" s="2"/>
      <c r="F1" s="2"/>
      <c r="G1" s="2"/>
      <c r="O1" s="14" t="s">
        <v>466</v>
      </c>
    </row>
    <row r="2" spans="1:15" x14ac:dyDescent="0.35">
      <c r="A2" s="72" cm="1">
        <f t="array" aca="1" ref="A2" ca="1">HYPERLINK(CONCATENATE("#",CELL("address",IF(SUM(A$6:A$201)=0,$A$2,INDEX(A$6:A$201,MATCH(1,A$6:A$201,0))))),SUM(A$6:A$201))</f>
        <v>0</v>
      </c>
      <c r="B2" s="2"/>
      <c r="C2" s="2"/>
      <c r="D2" s="2"/>
      <c r="E2" s="2"/>
      <c r="F2" s="2"/>
      <c r="G2" s="2"/>
      <c r="O2" s="81" t="s">
        <v>5</v>
      </c>
    </row>
    <row r="3" spans="1:15" x14ac:dyDescent="0.35">
      <c r="A3" s="111" t="str" cm="1">
        <f t="array" aca="1" ref="A3" ca="1">HYPERLINK(CONCATENATE("#",CELL("address",ToC!$A$1)),ToC!$C$1)</f>
        <v>TOC</v>
      </c>
      <c r="B3" s="111"/>
      <c r="C3" s="2"/>
      <c r="D3" s="2"/>
      <c r="E3" s="2"/>
      <c r="F3" s="2"/>
      <c r="G3" s="2"/>
    </row>
    <row r="4" spans="1:15" x14ac:dyDescent="0.35">
      <c r="A4" s="2"/>
      <c r="B4" s="2"/>
      <c r="C4" s="2"/>
      <c r="D4" s="2"/>
      <c r="E4" s="2"/>
      <c r="F4" s="2"/>
      <c r="G4" s="37" t="str">
        <f>'Cover sheet'!E17</f>
        <v>FY2025</v>
      </c>
    </row>
    <row r="5" spans="1:15" x14ac:dyDescent="0.35">
      <c r="A5" s="2" t="s">
        <v>7</v>
      </c>
      <c r="B5" s="2"/>
      <c r="C5" s="2" t="s">
        <v>8</v>
      </c>
      <c r="D5" s="2" t="s">
        <v>9</v>
      </c>
      <c r="E5" s="411"/>
      <c r="F5" s="2"/>
      <c r="G5" s="37" t="s">
        <v>134</v>
      </c>
      <c r="O5"/>
    </row>
    <row r="6" spans="1:15" x14ac:dyDescent="0.35">
      <c r="A6" s="58"/>
      <c r="B6" s="73" t="s">
        <v>469</v>
      </c>
      <c r="C6" s="83"/>
      <c r="D6" s="14"/>
      <c r="F6" s="14"/>
      <c r="G6" s="14"/>
      <c r="O6"/>
    </row>
    <row r="7" spans="1:15" x14ac:dyDescent="0.35">
      <c r="A7" s="5"/>
      <c r="B7" s="5"/>
      <c r="C7" s="201"/>
      <c r="D7" s="5" t="s">
        <v>754</v>
      </c>
      <c r="E7" s="5"/>
      <c r="F7" s="5"/>
      <c r="G7" s="5"/>
      <c r="O7"/>
    </row>
    <row r="8" spans="1:15" s="6" customFormat="1" x14ac:dyDescent="0.35"/>
    <row r="9" spans="1:15" s="6" customFormat="1" x14ac:dyDescent="0.35">
      <c r="D9" s="119" t="s">
        <v>351</v>
      </c>
    </row>
    <row r="10" spans="1:15" x14ac:dyDescent="0.35">
      <c r="A10" s="9" cm="1">
        <f t="array" aca="1" ref="A10" ca="1">HYPERLINK(CONCATENATE("#",CELL("address",IF(SUM($O10:$O10)=0,A10,INDEX($O10:$O10,MATCH(1,$O10:$O10,0))))),SUM($O10:$O10))</f>
        <v>0</v>
      </c>
      <c r="B10" s="96"/>
      <c r="C10" s="96" t="s">
        <v>755</v>
      </c>
      <c r="D10" s="67" t="s">
        <v>756</v>
      </c>
      <c r="G10" s="268">
        <f>'I&amp;E'!G12+'I&amp;E'!G22</f>
        <v>0</v>
      </c>
      <c r="O10" s="9">
        <f t="shared" ref="O10:O41" si="0">IF(OR(ISNUMBER(G10),ISBLANK(G10)),0,1)</f>
        <v>0</v>
      </c>
    </row>
    <row r="11" spans="1:15" x14ac:dyDescent="0.35">
      <c r="A11" s="9" cm="1">
        <f t="array" aca="1" ref="A11" ca="1">HYPERLINK(CONCATENATE("#",CELL("address",IF(SUM($O11:$O11)=0,A11,INDEX($O11:$O11,MATCH(1,$O11:$O11,0))))),SUM($O11:$O11))</f>
        <v>0</v>
      </c>
      <c r="B11" s="96"/>
      <c r="C11" s="96" t="s">
        <v>757</v>
      </c>
      <c r="D11" t="s">
        <v>505</v>
      </c>
      <c r="G11" s="268">
        <f>'I&amp;E'!G28</f>
        <v>0</v>
      </c>
      <c r="O11" s="9">
        <f t="shared" si="0"/>
        <v>0</v>
      </c>
    </row>
    <row r="12" spans="1:15" x14ac:dyDescent="0.35">
      <c r="A12" s="9" cm="1">
        <f t="array" aca="1" ref="A12" ca="1">HYPERLINK(CONCATENATE("#",CELL("address",IF(SUM($O12:$O12)=0,A12,INDEX($O12:$O12,MATCH(1,$O12:$O12,0))))),SUM($O12:$O12))</f>
        <v>0</v>
      </c>
      <c r="B12" s="96"/>
      <c r="C12" s="96" t="s">
        <v>758</v>
      </c>
      <c r="D12" t="s">
        <v>518</v>
      </c>
      <c r="G12" s="268">
        <f>'I&amp;E'!G37</f>
        <v>0</v>
      </c>
      <c r="O12" s="9">
        <f t="shared" si="0"/>
        <v>0</v>
      </c>
    </row>
    <row r="13" spans="1:15" x14ac:dyDescent="0.35">
      <c r="A13" s="9" cm="1">
        <f t="array" aca="1" ref="A13" ca="1">HYPERLINK(CONCATENATE("#",CELL("address",IF(SUM($O13:$O13)=0,A13,INDEX($O13:$O13,MATCH(1,$O13:$O13,0))))),SUM($O13:$O13))</f>
        <v>0</v>
      </c>
      <c r="B13" s="96"/>
      <c r="C13" s="96" t="s">
        <v>759</v>
      </c>
      <c r="D13" t="s">
        <v>531</v>
      </c>
      <c r="G13" s="268">
        <f>'I&amp;E'!G45</f>
        <v>0</v>
      </c>
      <c r="O13" s="9">
        <f t="shared" si="0"/>
        <v>0</v>
      </c>
    </row>
    <row r="14" spans="1:15" x14ac:dyDescent="0.35">
      <c r="A14" s="9" cm="1">
        <f t="array" aca="1" ref="A14" ca="1">HYPERLINK(CONCATENATE("#",CELL("address",IF(SUM($O14:$O14)=0,A14,INDEX($O14:$O14,MATCH(1,$O14:$O14,0))))),SUM($O14:$O14))</f>
        <v>0</v>
      </c>
      <c r="B14" s="96"/>
      <c r="C14" s="96" t="s">
        <v>760</v>
      </c>
      <c r="D14" t="s">
        <v>541</v>
      </c>
      <c r="G14" s="268">
        <f>'I&amp;E'!G52</f>
        <v>0</v>
      </c>
      <c r="O14" s="9">
        <f t="shared" si="0"/>
        <v>0</v>
      </c>
    </row>
    <row r="15" spans="1:15" x14ac:dyDescent="0.35">
      <c r="A15" s="9" cm="1">
        <f t="array" aca="1" ref="A15" ca="1">HYPERLINK(CONCATENATE("#",CELL("address",IF(SUM($O15:$O15)=0,A15,INDEX($O15:$O15,MATCH(1,$O15:$O15,0))))),SUM($O15:$O15))</f>
        <v>0</v>
      </c>
      <c r="B15" s="96"/>
      <c r="C15" s="96" t="s">
        <v>1884</v>
      </c>
      <c r="D15" t="s">
        <v>1885</v>
      </c>
      <c r="G15" s="268">
        <f>'I&amp;E'!G59</f>
        <v>0</v>
      </c>
      <c r="O15" s="9">
        <f t="shared" si="0"/>
        <v>0</v>
      </c>
    </row>
    <row r="16" spans="1:15" x14ac:dyDescent="0.35">
      <c r="A16" s="9" cm="1">
        <f t="array" aca="1" ref="A16" ca="1">HYPERLINK(CONCATENATE("#",CELL("address",IF(SUM($O16:$O16)=0,A16,INDEX($O16:$O16,MATCH(1,$O16:$O16,0))))),SUM($O16:$O16))</f>
        <v>0</v>
      </c>
      <c r="B16" s="96"/>
      <c r="C16" s="96" t="s">
        <v>761</v>
      </c>
      <c r="D16" t="s">
        <v>567</v>
      </c>
      <c r="G16" s="268">
        <f>'I&amp;E'!G74</f>
        <v>0</v>
      </c>
      <c r="O16" s="9">
        <f t="shared" si="0"/>
        <v>0</v>
      </c>
    </row>
    <row r="17" spans="1:15" x14ac:dyDescent="0.35">
      <c r="A17" s="9" cm="1">
        <f t="array" aca="1" ref="A17" ca="1">HYPERLINK(CONCATENATE("#",CELL("address",IF(SUM($O17:$O17)=0,A17,INDEX($O17:$O17,MATCH(1,$O17:$O17,0))))),SUM($O17:$O17))</f>
        <v>0</v>
      </c>
      <c r="B17" s="96"/>
      <c r="C17" s="96" t="s">
        <v>762</v>
      </c>
      <c r="D17" t="s">
        <v>586</v>
      </c>
      <c r="G17" s="268">
        <f>'I&amp;E'!G85</f>
        <v>0</v>
      </c>
      <c r="O17" s="9">
        <f t="shared" si="0"/>
        <v>0</v>
      </c>
    </row>
    <row r="18" spans="1:15" x14ac:dyDescent="0.35">
      <c r="A18" s="9" cm="1">
        <f t="array" aca="1" ref="A18" ca="1">HYPERLINK(CONCATENATE("#",CELL("address",IF(SUM($O18:$O18)=0,A18,INDEX($O18:$O18,MATCH(1,$O18:$O18,0))))),SUM($O18:$O18))</f>
        <v>0</v>
      </c>
      <c r="B18" s="96"/>
      <c r="C18" s="96" t="s">
        <v>763</v>
      </c>
      <c r="D18" t="s">
        <v>593</v>
      </c>
      <c r="G18" s="268">
        <f>'I&amp;E'!G90</f>
        <v>0</v>
      </c>
      <c r="O18" s="9">
        <f t="shared" si="0"/>
        <v>0</v>
      </c>
    </row>
    <row r="19" spans="1:15" x14ac:dyDescent="0.35">
      <c r="A19" s="9" cm="1">
        <f t="array" aca="1" ref="A19" ca="1">HYPERLINK(CONCATENATE("#",CELL("address",IF(SUM($O19:$O19)=0,A19,INDEX($O19:$O19,MATCH(1,$O19:$O19,0))))),SUM($O19:$O19))</f>
        <v>0</v>
      </c>
      <c r="B19" s="96"/>
      <c r="C19" s="96" t="s">
        <v>764</v>
      </c>
      <c r="D19" t="s">
        <v>602</v>
      </c>
      <c r="G19" s="268">
        <f>'I&amp;E'!G96</f>
        <v>0</v>
      </c>
      <c r="O19" s="9">
        <f t="shared" si="0"/>
        <v>0</v>
      </c>
    </row>
    <row r="20" spans="1:15" x14ac:dyDescent="0.35">
      <c r="A20" s="9" cm="1">
        <f t="array" aca="1" ref="A20" ca="1">HYPERLINK(CONCATENATE("#",CELL("address",IF(SUM($O20:$O20)=0,A20,INDEX($O20:$O20,MATCH(1,$O20:$O20,0))))),SUM($O20:$O20))</f>
        <v>0</v>
      </c>
      <c r="B20" s="96"/>
      <c r="C20" s="96" t="s">
        <v>765</v>
      </c>
      <c r="D20" t="s">
        <v>608</v>
      </c>
      <c r="G20" s="268">
        <f>'I&amp;E'!G100</f>
        <v>0</v>
      </c>
      <c r="O20" s="9">
        <f t="shared" si="0"/>
        <v>0</v>
      </c>
    </row>
    <row r="21" spans="1:15" x14ac:dyDescent="0.35">
      <c r="A21" s="9" cm="1">
        <f t="array" aca="1" ref="A21" ca="1">HYPERLINK(CONCATENATE("#",CELL("address",IF(SUM($O21:$O21)=0,A21,INDEX($O21:$O21,MATCH(1,$O21:$O21,0))))),SUM($O21:$O21))</f>
        <v>0</v>
      </c>
      <c r="B21" s="96"/>
      <c r="C21" s="96" t="s">
        <v>766</v>
      </c>
      <c r="D21" s="69" t="s">
        <v>610</v>
      </c>
      <c r="G21" s="269">
        <f>SUM(G10:G20)</f>
        <v>0</v>
      </c>
      <c r="O21" s="9">
        <f t="shared" si="0"/>
        <v>0</v>
      </c>
    </row>
    <row r="22" spans="1:15" x14ac:dyDescent="0.35">
      <c r="A22" s="9" cm="1">
        <f t="array" aca="1" ref="A22" ca="1">HYPERLINK(CONCATENATE("#",CELL("address",IF(SUM($O22:$O22)=0,A22,INDEX($O22:$O22,MATCH(1,$O22:$O22,0))))),SUM($O22:$O22))</f>
        <v>0</v>
      </c>
      <c r="B22" s="96"/>
      <c r="C22" s="96" t="s">
        <v>767</v>
      </c>
      <c r="D22" s="67" t="s">
        <v>533</v>
      </c>
      <c r="G22" s="268">
        <f>'I&amp;E'!G13+'I&amp;E'!G23+'I&amp;E'!G29+'I&amp;E'!G38+'I&amp;E'!G46+'I&amp;E'!G53+'I&amp;E'!G60</f>
        <v>0</v>
      </c>
      <c r="O22" s="9">
        <f t="shared" si="0"/>
        <v>0</v>
      </c>
    </row>
    <row r="23" spans="1:15" s="97" customFormat="1" x14ac:dyDescent="0.35">
      <c r="B23" s="98"/>
      <c r="C23" s="98"/>
      <c r="D23" s="99"/>
      <c r="O23" s="80">
        <f t="shared" si="0"/>
        <v>0</v>
      </c>
    </row>
    <row r="24" spans="1:15" x14ac:dyDescent="0.35">
      <c r="A24" s="9" cm="1">
        <f t="array" aca="1" ref="A24" ca="1">HYPERLINK(CONCATENATE("#",CELL("address",IF(SUM($O24:$O24)=0,A24,INDEX($O24:$O24,MATCH(1,$O24:$O24,0))))),SUM($O24:$O24))</f>
        <v>0</v>
      </c>
      <c r="B24" s="96"/>
      <c r="C24" s="96" t="s">
        <v>768</v>
      </c>
      <c r="D24" t="s">
        <v>631</v>
      </c>
      <c r="G24" s="268">
        <f>'I&amp;E'!G114</f>
        <v>0</v>
      </c>
      <c r="O24" s="9">
        <f t="shared" si="0"/>
        <v>0</v>
      </c>
    </row>
    <row r="25" spans="1:15" x14ac:dyDescent="0.35">
      <c r="A25" s="9" cm="1">
        <f t="array" aca="1" ref="A25" ca="1">HYPERLINK(CONCATENATE("#",CELL("address",IF(SUM($O25:$O25)=0,A25,INDEX($O25:$O25,MATCH(1,$O25:$O25,0))))),SUM($O25:$O25))</f>
        <v>0</v>
      </c>
      <c r="B25" s="96"/>
      <c r="C25" s="96" t="s">
        <v>769</v>
      </c>
      <c r="D25" t="s">
        <v>656</v>
      </c>
      <c r="G25" s="268">
        <f>'I&amp;E'!G128</f>
        <v>0</v>
      </c>
      <c r="O25" s="9">
        <f t="shared" si="0"/>
        <v>0</v>
      </c>
    </row>
    <row r="26" spans="1:15" x14ac:dyDescent="0.35">
      <c r="A26" s="9" cm="1">
        <f t="array" aca="1" ref="A26" ca="1">HYPERLINK(CONCATENATE("#",CELL("address",IF(SUM($O26:$O26)=0,A26,INDEX($O26:$O26,MATCH(1,$O26:$O26,0))))),SUM($O26:$O26))</f>
        <v>0</v>
      </c>
      <c r="B26" s="96"/>
      <c r="C26" s="96" t="s">
        <v>770</v>
      </c>
      <c r="D26" t="s">
        <v>663</v>
      </c>
      <c r="G26" s="268">
        <f>'I&amp;E'!G133</f>
        <v>0</v>
      </c>
      <c r="O26" s="9">
        <f t="shared" si="0"/>
        <v>0</v>
      </c>
    </row>
    <row r="27" spans="1:15" x14ac:dyDescent="0.35">
      <c r="A27" s="9" cm="1">
        <f t="array" aca="1" ref="A27" ca="1">HYPERLINK(CONCATENATE("#",CELL("address",IF(SUM($O27:$O27)=0,A27,INDEX($O27:$O27,MATCH(1,$O27:$O27,0))))),SUM($O27:$O27))</f>
        <v>0</v>
      </c>
      <c r="B27" s="96"/>
      <c r="C27" s="96" t="s">
        <v>771</v>
      </c>
      <c r="D27" s="69" t="s">
        <v>772</v>
      </c>
      <c r="G27" s="269">
        <f>SUM(G24:G26)</f>
        <v>0</v>
      </c>
      <c r="O27" s="9">
        <f t="shared" si="0"/>
        <v>0</v>
      </c>
    </row>
    <row r="28" spans="1:15" s="97" customFormat="1" x14ac:dyDescent="0.35">
      <c r="B28" s="98"/>
      <c r="C28" s="98"/>
      <c r="D28" s="99"/>
      <c r="O28" s="80">
        <f t="shared" si="0"/>
        <v>0</v>
      </c>
    </row>
    <row r="29" spans="1:15" x14ac:dyDescent="0.35">
      <c r="A29" s="9" cm="1">
        <f t="array" aca="1" ref="A29" ca="1">HYPERLINK(CONCATENATE("#",CELL("address",IF(SUM($O29:$O29)=0,A29,INDEX($O29:$O29,MATCH(1,$O29:$O29,0))))),SUM($O29:$O29))</f>
        <v>0</v>
      </c>
      <c r="B29" s="96"/>
      <c r="C29" s="96" t="s">
        <v>773</v>
      </c>
      <c r="D29" s="69" t="s">
        <v>667</v>
      </c>
      <c r="G29" s="269">
        <f>G21-G27</f>
        <v>0</v>
      </c>
      <c r="O29" s="9">
        <f t="shared" si="0"/>
        <v>0</v>
      </c>
    </row>
    <row r="30" spans="1:15" s="97" customFormat="1" x14ac:dyDescent="0.35">
      <c r="B30" s="98"/>
      <c r="C30" s="98"/>
      <c r="D30" s="99"/>
      <c r="O30" s="80">
        <f t="shared" si="0"/>
        <v>0</v>
      </c>
    </row>
    <row r="31" spans="1:15" x14ac:dyDescent="0.35">
      <c r="A31" s="9" cm="1">
        <f t="array" aca="1" ref="A31" ca="1">HYPERLINK(CONCATENATE("#",CELL("address",IF(SUM($O31:$O31)=0,A31,INDEX($O31:$O31,MATCH(1,$O31:$O31,0))))),SUM($O31:$O31))</f>
        <v>0</v>
      </c>
      <c r="B31" s="96"/>
      <c r="C31" s="96" t="s">
        <v>774</v>
      </c>
      <c r="D31" t="s">
        <v>669</v>
      </c>
      <c r="G31" s="268">
        <f>'I&amp;E'!G139</f>
        <v>0</v>
      </c>
      <c r="O31" s="9">
        <f t="shared" si="0"/>
        <v>0</v>
      </c>
    </row>
    <row r="32" spans="1:15" x14ac:dyDescent="0.35">
      <c r="A32" s="9" cm="1">
        <f t="array" aca="1" ref="A32" ca="1">HYPERLINK(CONCATENATE("#",CELL("address",IF(SUM($O32:$O32)=0,A32,INDEX($O32:$O32,MATCH(1,$O32:$O32,0))))),SUM($O32:$O32))</f>
        <v>0</v>
      </c>
      <c r="B32" s="96"/>
      <c r="C32" s="96" t="s">
        <v>343</v>
      </c>
      <c r="D32" s="69" t="s">
        <v>671</v>
      </c>
      <c r="G32" s="269">
        <f>G31+G29</f>
        <v>0</v>
      </c>
      <c r="O32" s="9">
        <f t="shared" si="0"/>
        <v>0</v>
      </c>
    </row>
    <row r="33" spans="1:15" s="97" customFormat="1" x14ac:dyDescent="0.35">
      <c r="B33" s="98"/>
      <c r="C33" s="98"/>
      <c r="D33" s="99"/>
      <c r="O33" s="80">
        <f t="shared" si="0"/>
        <v>0</v>
      </c>
    </row>
    <row r="34" spans="1:15" x14ac:dyDescent="0.35">
      <c r="A34" s="9" cm="1">
        <f t="array" aca="1" ref="A34" ca="1">HYPERLINK(CONCATENATE("#",CELL("address",IF(SUM($O34:$O34)=0,A34,INDEX($O34:$O34,MATCH(1,$O34:$O34,0))))),SUM($O34:$O34))</f>
        <v>0</v>
      </c>
      <c r="B34" s="96"/>
      <c r="C34" s="96"/>
      <c r="D34" s="100" t="s">
        <v>775</v>
      </c>
      <c r="G34" s="269">
        <f>G32-'I&amp;E'!G141</f>
        <v>0</v>
      </c>
      <c r="O34" s="9">
        <f t="shared" si="0"/>
        <v>0</v>
      </c>
    </row>
    <row r="35" spans="1:15" s="97" customFormat="1" x14ac:dyDescent="0.35">
      <c r="B35" s="98"/>
      <c r="C35" s="98"/>
      <c r="D35" s="99"/>
      <c r="O35" s="80">
        <f t="shared" si="0"/>
        <v>0</v>
      </c>
    </row>
    <row r="36" spans="1:15" x14ac:dyDescent="0.35">
      <c r="A36" s="9" cm="1">
        <f t="array" aca="1" ref="A36" ca="1">HYPERLINK(CONCATENATE("#",CELL("address",IF(SUM($O36:$O36)=0,A36,INDEX($O36:$O36,MATCH(1,$O36:$O36,0))))),SUM($O36:$O36))</f>
        <v>0</v>
      </c>
      <c r="B36" s="96"/>
      <c r="C36" s="96" t="s">
        <v>776</v>
      </c>
      <c r="D36" t="s">
        <v>674</v>
      </c>
      <c r="G36" s="268">
        <f>'I&amp;E'!G144</f>
        <v>0</v>
      </c>
      <c r="O36" s="9">
        <f t="shared" si="0"/>
        <v>0</v>
      </c>
    </row>
    <row r="37" spans="1:15" x14ac:dyDescent="0.35">
      <c r="A37" s="9" cm="1">
        <f t="array" aca="1" ref="A37" ca="1">HYPERLINK(CONCATENATE("#",CELL("address",IF(SUM($O37:$O37)=0,A37,INDEX($O37:$O37,MATCH(1,$O37:$O37,0))))),SUM($O37:$O37))</f>
        <v>0</v>
      </c>
      <c r="B37" s="96"/>
      <c r="C37" s="96" t="s">
        <v>777</v>
      </c>
      <c r="D37" t="s">
        <v>676</v>
      </c>
      <c r="G37" s="268">
        <f>'I&amp;E'!G145</f>
        <v>0</v>
      </c>
      <c r="O37" s="9">
        <f t="shared" si="0"/>
        <v>0</v>
      </c>
    </row>
    <row r="38" spans="1:15" x14ac:dyDescent="0.35">
      <c r="A38" s="9" cm="1">
        <f t="array" aca="1" ref="A38" ca="1">HYPERLINK(CONCATENATE("#",CELL("address",IF(SUM($O38:$O38)=0,A38,INDEX($O38:$O38,MATCH(1,$O38:$O38,0))))),SUM($O38:$O38))</f>
        <v>0</v>
      </c>
      <c r="B38" s="96"/>
      <c r="C38" s="96" t="s">
        <v>778</v>
      </c>
      <c r="D38" t="s">
        <v>678</v>
      </c>
      <c r="G38" s="268">
        <f>'I&amp;E'!G146</f>
        <v>0</v>
      </c>
      <c r="O38" s="9">
        <f t="shared" si="0"/>
        <v>0</v>
      </c>
    </row>
    <row r="39" spans="1:15" x14ac:dyDescent="0.35">
      <c r="A39" s="9" cm="1">
        <f t="array" aca="1" ref="A39" ca="1">HYPERLINK(CONCATENATE("#",CELL("address",IF(SUM($O39:$O39)=0,A39,INDEX($O39:$O39,MATCH(1,$O39:$O39,0))))),SUM($O39:$O39))</f>
        <v>0</v>
      </c>
      <c r="B39" s="96"/>
      <c r="C39" s="96" t="s">
        <v>779</v>
      </c>
      <c r="D39" t="s">
        <v>680</v>
      </c>
      <c r="G39" s="268">
        <f>'I&amp;E'!G147</f>
        <v>0</v>
      </c>
      <c r="O39" s="9">
        <f t="shared" si="0"/>
        <v>0</v>
      </c>
    </row>
    <row r="40" spans="1:15" x14ac:dyDescent="0.35">
      <c r="A40" s="9" cm="1">
        <f t="array" aca="1" ref="A40" ca="1">HYPERLINK(CONCATENATE("#",CELL("address",IF(SUM($O40:$O40)=0,A40,INDEX($O40:$O40,MATCH(1,$O40:$O40,0))))),SUM($O40:$O40))</f>
        <v>0</v>
      </c>
      <c r="B40" s="96"/>
      <c r="C40" s="96" t="s">
        <v>780</v>
      </c>
      <c r="D40" t="s">
        <v>682</v>
      </c>
      <c r="G40" s="268">
        <f>'I&amp;E'!G148</f>
        <v>0</v>
      </c>
      <c r="O40" s="9">
        <f t="shared" si="0"/>
        <v>0</v>
      </c>
    </row>
    <row r="41" spans="1:15" x14ac:dyDescent="0.35">
      <c r="A41" s="9" cm="1">
        <f t="array" aca="1" ref="A41" ca="1">HYPERLINK(CONCATENATE("#",CELL("address",IF(SUM($O41:$O41)=0,A41,INDEX($O41:$O41,MATCH(1,$O41:$O41,0))))),SUM($O41:$O41))</f>
        <v>0</v>
      </c>
      <c r="B41" s="96"/>
      <c r="C41" s="96" t="s">
        <v>781</v>
      </c>
      <c r="D41" s="69" t="s">
        <v>684</v>
      </c>
      <c r="G41" s="269">
        <f>(SUM(G36, G38:G40)-G37)</f>
        <v>0</v>
      </c>
      <c r="O41" s="9">
        <f t="shared" si="0"/>
        <v>0</v>
      </c>
    </row>
    <row r="42" spans="1:15" s="97" customFormat="1" x14ac:dyDescent="0.35">
      <c r="B42" s="98"/>
      <c r="C42" s="98"/>
      <c r="D42" s="99"/>
      <c r="O42" s="80">
        <f t="shared" ref="O42:O58" si="1">IF(OR(ISNUMBER(G42),ISBLANK(G42)),0,1)</f>
        <v>0</v>
      </c>
    </row>
    <row r="43" spans="1:15" x14ac:dyDescent="0.35">
      <c r="A43" s="9" cm="1">
        <f t="array" aca="1" ref="A43" ca="1">HYPERLINK(CONCATENATE("#",CELL("address",IF(SUM($O43:$O43)=0,A43,INDEX($O43:$O43,MATCH(1,$O43:$O43,0))))),SUM($O43:$O43))</f>
        <v>0</v>
      </c>
      <c r="B43" s="96"/>
      <c r="C43" s="96" t="s">
        <v>782</v>
      </c>
      <c r="D43" s="69" t="s">
        <v>686</v>
      </c>
      <c r="G43" s="269">
        <f>G32-G41</f>
        <v>0</v>
      </c>
      <c r="O43" s="9">
        <f t="shared" si="1"/>
        <v>0</v>
      </c>
    </row>
    <row r="44" spans="1:15" s="97" customFormat="1" x14ac:dyDescent="0.35">
      <c r="B44" s="98"/>
      <c r="C44" s="98"/>
      <c r="D44" s="99"/>
      <c r="O44" s="80">
        <f t="shared" si="1"/>
        <v>0</v>
      </c>
    </row>
    <row r="45" spans="1:15" x14ac:dyDescent="0.35">
      <c r="A45" s="9" cm="1">
        <f t="array" aca="1" ref="A45" ca="1">HYPERLINK(CONCATENATE("#",CELL("address",IF(SUM($O45:$O45)=0,A45,INDEX($O45:$O45,MATCH(1,$O45:$O45,0))))),SUM($O45:$O45))</f>
        <v>0</v>
      </c>
      <c r="B45" s="96"/>
      <c r="C45" s="96" t="s">
        <v>783</v>
      </c>
      <c r="D45" t="s">
        <v>689</v>
      </c>
      <c r="G45" s="268">
        <f>'I&amp;E'!G154</f>
        <v>0</v>
      </c>
      <c r="O45" s="9">
        <f t="shared" si="1"/>
        <v>0</v>
      </c>
    </row>
    <row r="46" spans="1:15" x14ac:dyDescent="0.35">
      <c r="A46" s="9" cm="1">
        <f t="array" aca="1" ref="A46" ca="1">HYPERLINK(CONCATENATE("#",CELL("address",IF(SUM($O46:$O46)=0,A46,INDEX($O46:$O46,MATCH(1,$O46:$O46,0))))),SUM($O46:$O46))</f>
        <v>0</v>
      </c>
      <c r="B46" s="96"/>
      <c r="C46" s="96" t="s">
        <v>784</v>
      </c>
      <c r="D46" t="s">
        <v>691</v>
      </c>
      <c r="G46" s="268">
        <f>'I&amp;E'!G155</f>
        <v>0</v>
      </c>
      <c r="O46" s="9">
        <f t="shared" si="1"/>
        <v>0</v>
      </c>
    </row>
    <row r="47" spans="1:15" x14ac:dyDescent="0.35">
      <c r="A47" s="9" cm="1">
        <f t="array" aca="1" ref="A47" ca="1">HYPERLINK(CONCATENATE("#",CELL("address",IF(SUM($O47:$O47)=0,A47,INDEX($O47:$O47,MATCH(1,$O47:$O47,0))))),SUM($O47:$O47))</f>
        <v>0</v>
      </c>
      <c r="B47" s="96"/>
      <c r="C47" s="96" t="s">
        <v>785</v>
      </c>
      <c r="D47" t="s">
        <v>693</v>
      </c>
      <c r="G47" s="268">
        <f>'I&amp;E'!G156</f>
        <v>0</v>
      </c>
      <c r="O47" s="9">
        <f t="shared" si="1"/>
        <v>0</v>
      </c>
    </row>
    <row r="48" spans="1:15" x14ac:dyDescent="0.35">
      <c r="A48" s="9" cm="1">
        <f t="array" aca="1" ref="A48" ca="1">HYPERLINK(CONCATENATE("#",CELL("address",IF(SUM($O48:$O48)=0,A48,INDEX($O48:$O48,MATCH(1,$O48:$O48,0))))),SUM($O48:$O48))</f>
        <v>0</v>
      </c>
      <c r="B48" s="96"/>
      <c r="C48" s="96" t="s">
        <v>786</v>
      </c>
      <c r="D48" t="s">
        <v>695</v>
      </c>
      <c r="G48" s="268">
        <f>'I&amp;E'!G157</f>
        <v>0</v>
      </c>
      <c r="O48" s="9">
        <f t="shared" si="1"/>
        <v>0</v>
      </c>
    </row>
    <row r="49" spans="1:15" x14ac:dyDescent="0.35">
      <c r="A49" s="9" cm="1">
        <f t="array" aca="1" ref="A49" ca="1">HYPERLINK(CONCATENATE("#",CELL("address",IF(SUM($O49:$O49)=0,A49,INDEX($O49:$O49,MATCH(1,$O49:$O49,0))))),SUM($O49:$O49))</f>
        <v>0</v>
      </c>
      <c r="B49" s="96"/>
      <c r="C49" s="96" t="s">
        <v>787</v>
      </c>
      <c r="D49" t="s">
        <v>697</v>
      </c>
      <c r="G49" s="268">
        <f>'I&amp;E'!G158</f>
        <v>0</v>
      </c>
      <c r="O49" s="9">
        <f t="shared" si="1"/>
        <v>0</v>
      </c>
    </row>
    <row r="50" spans="1:15" x14ac:dyDescent="0.35">
      <c r="A50" s="9" cm="1">
        <f t="array" aca="1" ref="A50" ca="1">HYPERLINK(CONCATENATE("#",CELL("address",IF(SUM($O50:$O50)=0,A50,INDEX($O50:$O50,MATCH(1,$O50:$O50,0))))),SUM($O50:$O50))</f>
        <v>0</v>
      </c>
      <c r="B50" s="96"/>
      <c r="C50" s="96" t="s">
        <v>788</v>
      </c>
      <c r="D50" s="69" t="s">
        <v>699</v>
      </c>
      <c r="G50" s="268">
        <f>'I&amp;E'!G159</f>
        <v>0</v>
      </c>
      <c r="O50" s="9">
        <f t="shared" si="1"/>
        <v>0</v>
      </c>
    </row>
    <row r="51" spans="1:15" s="97" customFormat="1" x14ac:dyDescent="0.35">
      <c r="B51" s="98"/>
      <c r="C51" s="98"/>
      <c r="D51" s="99"/>
      <c r="O51" s="80">
        <f t="shared" si="1"/>
        <v>0</v>
      </c>
    </row>
    <row r="52" spans="1:15" x14ac:dyDescent="0.35">
      <c r="A52" s="9" cm="1">
        <f t="array" aca="1" ref="A52" ca="1">HYPERLINK(CONCATENATE("#",CELL("address",IF(SUM($O52:$O52)=0,A52,INDEX($O52:$O52,MATCH(1,$O52:$O52,0))))),SUM($O52:$O52))</f>
        <v>0</v>
      </c>
      <c r="B52" s="96"/>
      <c r="C52" s="96" t="s">
        <v>331</v>
      </c>
      <c r="D52" s="69" t="s">
        <v>332</v>
      </c>
      <c r="G52" s="269">
        <f>SUM(G43+G50)</f>
        <v>0</v>
      </c>
      <c r="O52" s="9">
        <f t="shared" si="1"/>
        <v>0</v>
      </c>
    </row>
    <row r="53" spans="1:15" s="97" customFormat="1" x14ac:dyDescent="0.35">
      <c r="B53" s="98"/>
      <c r="C53" s="98"/>
      <c r="D53" s="99"/>
      <c r="O53" s="80">
        <f t="shared" si="1"/>
        <v>0</v>
      </c>
    </row>
    <row r="54" spans="1:15" x14ac:dyDescent="0.35">
      <c r="A54" s="9" cm="1">
        <f t="array" aca="1" ref="A54" ca="1">HYPERLINK(CONCATENATE("#",CELL("address",IF(SUM($O54:$O54)=0,A54,INDEX($O54:$O54,MATCH(1,$O54:$O54,0))))),SUM($O54:$O54))</f>
        <v>0</v>
      </c>
      <c r="B54" s="96"/>
      <c r="C54" s="96"/>
      <c r="D54" s="100" t="s">
        <v>789</v>
      </c>
      <c r="G54" s="269">
        <f>G52-'I&amp;E'!G161</f>
        <v>0</v>
      </c>
      <c r="O54" s="9">
        <f t="shared" si="1"/>
        <v>0</v>
      </c>
    </row>
    <row r="55" spans="1:15" s="97" customFormat="1" x14ac:dyDescent="0.35">
      <c r="B55" s="98"/>
      <c r="C55" s="98"/>
      <c r="D55" s="99"/>
      <c r="O55" s="80">
        <f t="shared" si="1"/>
        <v>0</v>
      </c>
    </row>
    <row r="56" spans="1:15" x14ac:dyDescent="0.35">
      <c r="A56" s="9" cm="1">
        <f t="array" aca="1" ref="A56" ca="1">HYPERLINK(CONCATENATE("#",CELL("address",IF(SUM($O56:$O56)=0,A56,INDEX($O56:$O56,MATCH(1,$O56:$O56,0))))),SUM($O56:$O56))</f>
        <v>0</v>
      </c>
      <c r="B56" s="96"/>
      <c r="C56" s="96" t="s">
        <v>790</v>
      </c>
      <c r="D56" s="69" t="s">
        <v>706</v>
      </c>
      <c r="G56" s="268">
        <f>'I&amp;E'!G165</f>
        <v>0</v>
      </c>
      <c r="O56" s="9">
        <f t="shared" si="1"/>
        <v>0</v>
      </c>
    </row>
    <row r="57" spans="1:15" s="97" customFormat="1" x14ac:dyDescent="0.35">
      <c r="B57" s="98"/>
      <c r="C57" s="98"/>
      <c r="D57" s="99"/>
      <c r="O57" s="80">
        <f t="shared" si="1"/>
        <v>0</v>
      </c>
    </row>
    <row r="58" spans="1:15" x14ac:dyDescent="0.35">
      <c r="A58" s="9" cm="1">
        <f t="array" aca="1" ref="A58" ca="1">HYPERLINK(CONCATENATE("#",CELL("address",IF(SUM($O58:$O58)=0,A58,INDEX($O58:$O58,MATCH(1,$O58:$O58,0))))),SUM($O58:$O58))</f>
        <v>0</v>
      </c>
      <c r="B58" s="96"/>
      <c r="C58" s="96" t="s">
        <v>347</v>
      </c>
      <c r="D58" s="69" t="s">
        <v>712</v>
      </c>
      <c r="G58" s="268">
        <f>'I&amp;E'!G176</f>
        <v>0</v>
      </c>
      <c r="O58" s="9">
        <f t="shared" si="1"/>
        <v>0</v>
      </c>
    </row>
    <row r="61" spans="1:15" x14ac:dyDescent="0.35">
      <c r="C61" s="203" t="s">
        <v>791</v>
      </c>
      <c r="D61" s="31" t="s">
        <v>382</v>
      </c>
      <c r="E61" s="14"/>
      <c r="F61" s="14"/>
      <c r="G61" s="14"/>
    </row>
    <row r="62" spans="1:15" x14ac:dyDescent="0.35">
      <c r="D62" s="502"/>
      <c r="E62" s="503"/>
      <c r="F62" s="503"/>
      <c r="G62" s="503"/>
      <c r="H62" s="504"/>
    </row>
    <row r="63" spans="1:15" x14ac:dyDescent="0.35">
      <c r="D63" s="505"/>
      <c r="E63" s="506"/>
      <c r="F63" s="506"/>
      <c r="G63" s="506"/>
      <c r="H63" s="507"/>
    </row>
    <row r="64" spans="1:15" x14ac:dyDescent="0.35">
      <c r="D64" s="505"/>
      <c r="E64" s="506"/>
      <c r="F64" s="506"/>
      <c r="G64" s="506"/>
      <c r="H64" s="507"/>
    </row>
    <row r="65" spans="4:8" x14ac:dyDescent="0.35">
      <c r="D65" s="505"/>
      <c r="E65" s="506"/>
      <c r="F65" s="506"/>
      <c r="G65" s="506"/>
      <c r="H65" s="507"/>
    </row>
    <row r="66" spans="4:8" x14ac:dyDescent="0.35">
      <c r="D66" s="505"/>
      <c r="E66" s="506"/>
      <c r="F66" s="506"/>
      <c r="G66" s="506"/>
      <c r="H66" s="507"/>
    </row>
    <row r="67" spans="4:8" x14ac:dyDescent="0.35">
      <c r="D67" s="505"/>
      <c r="E67" s="506"/>
      <c r="F67" s="506"/>
      <c r="G67" s="506"/>
      <c r="H67" s="507"/>
    </row>
    <row r="68" spans="4:8" x14ac:dyDescent="0.35">
      <c r="D68" s="505"/>
      <c r="E68" s="506"/>
      <c r="F68" s="506"/>
      <c r="G68" s="506"/>
      <c r="H68" s="507"/>
    </row>
    <row r="69" spans="4:8" x14ac:dyDescent="0.35">
      <c r="D69" s="508"/>
      <c r="E69" s="509"/>
      <c r="F69" s="509"/>
      <c r="G69" s="509"/>
      <c r="H69" s="510"/>
    </row>
  </sheetData>
  <sheetProtection algorithmName="SHA-512" hashValue="KuK9QoMzQwbhfXBLtjbERo3DdMIrjWmCZfut9VPaZNsanLiwnPQ52eF0LLSwXkerGi+cR9prR3q9MPL47Ck9hg==" saltValue="oS+pUQyEnaG6xct8NMTWbw==" spinCount="100000" sheet="1" objects="1" scenarios="1"/>
  <mergeCells count="1">
    <mergeCell ref="D62:H69"/>
  </mergeCells>
  <conditionalFormatting sqref="A1:A2">
    <cfRule type="cellIs" dxfId="156" priority="3" operator="equal">
      <formula>0</formula>
    </cfRule>
    <cfRule type="cellIs" dxfId="155" priority="4" operator="greaterThan">
      <formula>0</formula>
    </cfRule>
  </conditionalFormatting>
  <conditionalFormatting sqref="A10:A22">
    <cfRule type="cellIs" dxfId="154" priority="45" operator="equal">
      <formula>0</formula>
    </cfRule>
    <cfRule type="cellIs" dxfId="153" priority="46" operator="greaterThan">
      <formula>0</formula>
    </cfRule>
  </conditionalFormatting>
  <conditionalFormatting sqref="A24:A27 A29 A31:A32 O31:O32 A34 A36:A41 A43 A45:A50 A52 A54 A56 A58">
    <cfRule type="cellIs" dxfId="152" priority="43" operator="equal">
      <formula>0</formula>
    </cfRule>
    <cfRule type="cellIs" dxfId="151" priority="44" operator="greaterThan">
      <formula>0</formula>
    </cfRule>
  </conditionalFormatting>
  <conditionalFormatting sqref="O10:O22">
    <cfRule type="cellIs" dxfId="150" priority="37" operator="equal">
      <formula>0</formula>
    </cfRule>
    <cfRule type="cellIs" dxfId="149" priority="38" operator="greaterThan">
      <formula>0</formula>
    </cfRule>
  </conditionalFormatting>
  <conditionalFormatting sqref="O24:O27">
    <cfRule type="cellIs" dxfId="148" priority="35" operator="equal">
      <formula>0</formula>
    </cfRule>
    <cfRule type="cellIs" dxfId="147" priority="36" operator="greaterThan">
      <formula>0</formula>
    </cfRule>
  </conditionalFormatting>
  <conditionalFormatting sqref="O29">
    <cfRule type="cellIs" dxfId="146" priority="33" operator="equal">
      <formula>0</formula>
    </cfRule>
    <cfRule type="cellIs" dxfId="145" priority="34" operator="greaterThan">
      <formula>0</formula>
    </cfRule>
  </conditionalFormatting>
  <conditionalFormatting sqref="O34">
    <cfRule type="cellIs" dxfId="144" priority="29" operator="equal">
      <formula>0</formula>
    </cfRule>
    <cfRule type="cellIs" dxfId="143" priority="30" operator="greaterThan">
      <formula>0</formula>
    </cfRule>
  </conditionalFormatting>
  <conditionalFormatting sqref="O36:O41">
    <cfRule type="cellIs" dxfId="142" priority="27" operator="equal">
      <formula>0</formula>
    </cfRule>
    <cfRule type="cellIs" dxfId="141" priority="28" operator="greaterThan">
      <formula>0</formula>
    </cfRule>
  </conditionalFormatting>
  <conditionalFormatting sqref="O43">
    <cfRule type="cellIs" dxfId="140" priority="25" operator="equal">
      <formula>0</formula>
    </cfRule>
    <cfRule type="cellIs" dxfId="139" priority="26" operator="greaterThan">
      <formula>0</formula>
    </cfRule>
  </conditionalFormatting>
  <conditionalFormatting sqref="O45:O50">
    <cfRule type="cellIs" dxfId="138" priority="23" operator="equal">
      <formula>0</formula>
    </cfRule>
    <cfRule type="cellIs" dxfId="137" priority="24" operator="greaterThan">
      <formula>0</formula>
    </cfRule>
  </conditionalFormatting>
  <conditionalFormatting sqref="O52">
    <cfRule type="cellIs" dxfId="136" priority="21" operator="equal">
      <formula>0</formula>
    </cfRule>
    <cfRule type="cellIs" dxfId="135" priority="22" operator="greaterThan">
      <formula>0</formula>
    </cfRule>
  </conditionalFormatting>
  <conditionalFormatting sqref="O54">
    <cfRule type="cellIs" dxfId="134" priority="19" operator="equal">
      <formula>0</formula>
    </cfRule>
    <cfRule type="cellIs" dxfId="133" priority="20" operator="greaterThan">
      <formula>0</formula>
    </cfRule>
  </conditionalFormatting>
  <conditionalFormatting sqref="O56">
    <cfRule type="cellIs" dxfId="132" priority="17" operator="equal">
      <formula>0</formula>
    </cfRule>
    <cfRule type="cellIs" dxfId="131" priority="18" operator="greaterThan">
      <formula>0</formula>
    </cfRule>
  </conditionalFormatting>
  <conditionalFormatting sqref="O58">
    <cfRule type="cellIs" dxfId="130" priority="15" operator="equal">
      <formula>0</formula>
    </cfRule>
    <cfRule type="cellIs" dxfId="129" priority="16" operator="greaterThan">
      <formula>0</formula>
    </cfRule>
  </conditionalFormatting>
  <dataValidations count="2">
    <dataValidation type="custom" allowBlank="1" showInputMessage="1" showErrorMessage="1" error="Please enter text" sqref="D62" xr:uid="{6B467C50-7559-4397-A546-E61CF1D59378}">
      <formula1>ISTEXT(D62)</formula1>
    </dataValidation>
    <dataValidation allowBlank="1" showInputMessage="1" promptTitle="Input Validation Check" prompt="Flags where a cell contains invalid characters, such as full stops, dashes and spaces._x000a_" sqref="O2" xr:uid="{EACFB1B5-EDCA-436E-AA34-F33D5E928D95}"/>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4B2422841C7D49A432E70F919E2D4E" ma:contentTypeVersion="10" ma:contentTypeDescription="Create a new document." ma:contentTypeScope="" ma:versionID="b33fee71ce32e846bbb4b404ffdd2057">
  <xsd:schema xmlns:xsd="http://www.w3.org/2001/XMLSchema" xmlns:xs="http://www.w3.org/2001/XMLSchema" xmlns:p="http://schemas.microsoft.com/office/2006/metadata/properties" xmlns:ns2="213252c7-5a1a-4c07-8773-ad07f5b5cb07" xmlns:ns3="1ba87c6e-f9f6-4328-8b7c-76f24b86ae00" targetNamespace="http://schemas.microsoft.com/office/2006/metadata/properties" ma:root="true" ma:fieldsID="bfd16061afd4c46dbef06a92a89b914d" ns2:_="" ns3:_="">
    <xsd:import namespace="213252c7-5a1a-4c07-8773-ad07f5b5cb07"/>
    <xsd:import namespace="1ba87c6e-f9f6-4328-8b7c-76f24b86ae0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3252c7-5a1a-4c07-8773-ad07f5b5cb0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ba87c6e-f9f6-4328-8b7c-76f24b86ae00"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1ba87c6e-f9f6-4328-8b7c-76f24b86ae00">
      <UserInfo>
        <DisplayName>LACEY, Louise</DisplayName>
        <AccountId>95</AccountId>
        <AccountType/>
      </UserInfo>
      <UserInfo>
        <DisplayName>BOLAND, Richard</DisplayName>
        <AccountId>71</AccountId>
        <AccountType/>
      </UserInfo>
      <UserInfo>
        <DisplayName>TOLSON, Alison</DisplayName>
        <AccountId>33</AccountId>
        <AccountType/>
      </UserInfo>
      <UserInfo>
        <DisplayName>HUTCHINSON, Steve</DisplayName>
        <AccountId>109</AccountId>
        <AccountType/>
      </UserInfo>
      <UserInfo>
        <DisplayName>FITCH, Anna</DisplayName>
        <AccountId>44</AccountId>
        <AccountType/>
      </UserInfo>
      <UserInfo>
        <DisplayName>EDWARDS, Becky</DisplayName>
        <AccountId>35</AccountId>
        <AccountType/>
      </UserInfo>
    </SharedWithUsers>
    <MediaLengthInSeconds xmlns="213252c7-5a1a-4c07-8773-ad07f5b5cb07" xsi:nil="true"/>
  </documentManagement>
</p:properties>
</file>

<file path=customXml/itemProps1.xml><?xml version="1.0" encoding="utf-8"?>
<ds:datastoreItem xmlns:ds="http://schemas.openxmlformats.org/officeDocument/2006/customXml" ds:itemID="{911473F1-15CA-4B5C-ACED-A6449D7AAC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3252c7-5a1a-4c07-8773-ad07f5b5cb07"/>
    <ds:schemaRef ds:uri="1ba87c6e-f9f6-4328-8b7c-76f24b86ae0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E25A54-A916-4691-8612-E14B8D53F0F5}">
  <ds:schemaRefs>
    <ds:schemaRef ds:uri="http://schemas.microsoft.com/sharepoint/v3/contenttype/forms"/>
  </ds:schemaRefs>
</ds:datastoreItem>
</file>

<file path=customXml/itemProps3.xml><?xml version="1.0" encoding="utf-8"?>
<ds:datastoreItem xmlns:ds="http://schemas.openxmlformats.org/officeDocument/2006/customXml" ds:itemID="{355904FB-7929-406E-8EF0-1B6944C474BA}">
  <ds:schemaRefs>
    <ds:schemaRef ds:uri="http://purl.org/dc/elements/1.1/"/>
    <ds:schemaRef ds:uri="http://purl.org/dc/dcmitype/"/>
    <ds:schemaRef ds:uri="http://schemas.microsoft.com/office/2006/metadata/properties"/>
    <ds:schemaRef ds:uri="http://www.w3.org/XML/1998/namespace"/>
    <ds:schemaRef ds:uri="http://schemas.microsoft.com/office/2006/documentManagement/types"/>
    <ds:schemaRef ds:uri="http://schemas.microsoft.com/office/infopath/2007/PartnerControls"/>
    <ds:schemaRef ds:uri="http://schemas.openxmlformats.org/package/2006/metadata/core-properties"/>
    <ds:schemaRef ds:uri="1ba87c6e-f9f6-4328-8b7c-76f24b86ae00"/>
    <ds:schemaRef ds:uri="213252c7-5a1a-4c07-8773-ad07f5b5cb07"/>
    <ds:schemaRef ds:uri="http://purl.org/dc/terms/"/>
  </ds:schemaRefs>
</ds:datastoreItem>
</file>

<file path=docMetadata/LabelInfo.xml><?xml version="1.0" encoding="utf-8"?>
<clbl:labelList xmlns:clbl="http://schemas.microsoft.com/office/2020/mipLabelMetadata">
  <clbl:label id="{fad277c9-c60a-4da1-b5f3-b3b8b34a82f9}" enabled="0" method="" siteId="{fad277c9-c60a-4da1-b5f3-b3b8b34a82f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vt:i4>
      </vt:variant>
    </vt:vector>
  </HeadingPairs>
  <TitlesOfParts>
    <vt:vector size="17" baseType="lpstr">
      <vt:lpstr>ToC</vt:lpstr>
      <vt:lpstr>Cover sheet</vt:lpstr>
      <vt:lpstr>Guide</vt:lpstr>
      <vt:lpstr>Benchmarking</vt:lpstr>
      <vt:lpstr>Ratios</vt:lpstr>
      <vt:lpstr>Financial health</vt:lpstr>
      <vt:lpstr>I&amp;E</vt:lpstr>
      <vt:lpstr>SOCI</vt:lpstr>
      <vt:lpstr>CFFR SOCI</vt:lpstr>
      <vt:lpstr>BS</vt:lpstr>
      <vt:lpstr>Cashflow</vt:lpstr>
      <vt:lpstr>Miscellaneous</vt:lpstr>
      <vt:lpstr>Parameters</vt:lpstr>
      <vt:lpstr>List of colleges</vt:lpstr>
      <vt:lpstr>Template</vt:lpstr>
      <vt:lpstr>'Cover sheet'!Print_Area</vt:lpstr>
      <vt:lpstr>Guide!Print_Area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Finance Record 2023 to 2024</dc:title>
  <dc:subject/>
  <dc:creator>Education and Skills Funding Agency</dc:creator>
  <cp:keywords/>
  <dc:description/>
  <cp:lastModifiedBy>HAND, Thomas</cp:lastModifiedBy>
  <cp:revision/>
  <dcterms:created xsi:type="dcterms:W3CDTF">2021-06-16T13:24:23Z</dcterms:created>
  <dcterms:modified xsi:type="dcterms:W3CDTF">2025-11-05T15:15:32Z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0x010100794B2422841C7D49A432E70F919E2D4E</vt:lpwstr>
  </property>
  <property fmtid="{D5CDD505-2E9C-101B-9397-08002B2CF9AE}" pid="3" name="MediaServiceImageTags">
    <vt:lpwstr/>
  </property>
  <property fmtid="{D5CDD505-2E9C-101B-9397-08002B2CF9AE}" pid="4" name="Order">
    <vt:r8>283500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Comments">
    <vt:lpwstr>First version post-checklist</vt:lpwstr>
  </property>
</Properties>
</file>