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https://defra-my.sharepoint.com/personal/sally_taylor_defra_gov_uk/Documents/Modern Slavery/MS Gov Risk Tool/Approval Consultation with CO &amp; HO/"/>
    </mc:Choice>
  </mc:AlternateContent>
  <xr:revisionPtr revIDLastSave="33" documentId="8_{99A71DE7-B68E-4405-B828-B51A353BD037}" xr6:coauthVersionLast="47" xr6:coauthVersionMax="47" xr10:uidLastSave="{2743AFAA-488C-4164-965B-294751DEADE3}"/>
  <workbookProtection workbookAlgorithmName="SHA-512" workbookHashValue="oUtFEezd0FgLy4uukpHznFA7bUOJF9ZrDAupBncayOKIeuO7ZP8GSC3fxzM8eD27eACtydRENrcoIeY0Zv9twQ==" workbookSaltValue="wcH3sgOyl5yJ/iPe04Pgsw==" workbookSpinCount="100000" lockStructure="1"/>
  <bookViews>
    <workbookView xWindow="-110" yWindow="-110" windowWidth="19420" windowHeight="10300" xr2:uid="{9ED0CCBD-E121-4254-A214-3D47CFBD92B9}"/>
  </bookViews>
  <sheets>
    <sheet name="Overview" sheetId="7" r:id="rId1"/>
    <sheet name="Input Guidance" sheetId="9" r:id="rId2"/>
    <sheet name="Input" sheetId="3" r:id="rId3"/>
    <sheet name="Country Data" sheetId="6" state="hidden" r:id="rId4"/>
    <sheet name="Reference" sheetId="4" state="hidden" r:id="rId5"/>
    <sheet name="Output" sheetId="5" r:id="rId6"/>
    <sheet name="Good Practice" sheetId="11" r:id="rId7"/>
    <sheet name="GSI" sheetId="8" state="hidden" r:id="rId8"/>
  </sheet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 i="6" l="1"/>
  <c r="C5" i="6"/>
  <c r="C6" i="6"/>
  <c r="C7" i="6"/>
  <c r="C8" i="6"/>
  <c r="C9" i="6"/>
  <c r="C10" i="6"/>
  <c r="C11" i="6"/>
  <c r="C12" i="6"/>
  <c r="C13" i="6"/>
  <c r="C14" i="6"/>
  <c r="C15" i="6"/>
  <c r="C16" i="6"/>
  <c r="C17" i="6"/>
  <c r="C18" i="6"/>
  <c r="C19" i="6"/>
  <c r="C20" i="6"/>
  <c r="C21" i="6"/>
  <c r="C22" i="6"/>
  <c r="C23" i="6"/>
  <c r="C24" i="6"/>
  <c r="C25" i="6"/>
  <c r="C26" i="6"/>
  <c r="C27" i="6"/>
  <c r="C28" i="6"/>
  <c r="C29" i="6"/>
  <c r="C30" i="6"/>
  <c r="C31" i="6"/>
  <c r="C32" i="6"/>
  <c r="C33" i="6"/>
  <c r="C34" i="6"/>
  <c r="C35" i="6"/>
  <c r="C36" i="6"/>
  <c r="C37" i="6"/>
  <c r="C38" i="6"/>
  <c r="C39" i="6"/>
  <c r="C40" i="6"/>
  <c r="C41" i="6"/>
  <c r="C42" i="6"/>
  <c r="C43" i="6"/>
  <c r="C44" i="6"/>
  <c r="C45" i="6"/>
  <c r="C46" i="6"/>
  <c r="C47" i="6"/>
  <c r="C48" i="6"/>
  <c r="C49" i="6"/>
  <c r="C50" i="6"/>
  <c r="C51" i="6"/>
  <c r="C52" i="6"/>
  <c r="C53" i="6"/>
  <c r="C54" i="6"/>
  <c r="C55" i="6"/>
  <c r="C56" i="6"/>
  <c r="C57" i="6"/>
  <c r="C58" i="6"/>
  <c r="C59" i="6"/>
  <c r="C60" i="6"/>
  <c r="C61" i="6"/>
  <c r="C62" i="6"/>
  <c r="C63" i="6"/>
  <c r="C64" i="6"/>
  <c r="C65" i="6"/>
  <c r="C66" i="6"/>
  <c r="C67" i="6"/>
  <c r="C68" i="6"/>
  <c r="C69" i="6"/>
  <c r="C70" i="6"/>
  <c r="C71" i="6"/>
  <c r="C72" i="6"/>
  <c r="C73" i="6"/>
  <c r="C74" i="6"/>
  <c r="C75" i="6"/>
  <c r="C76" i="6"/>
  <c r="C77" i="6"/>
  <c r="C78" i="6"/>
  <c r="C79" i="6"/>
  <c r="C80" i="6"/>
  <c r="C81" i="6"/>
  <c r="C82" i="6"/>
  <c r="C83" i="6"/>
  <c r="C84" i="6"/>
  <c r="C85" i="6"/>
  <c r="C86" i="6"/>
  <c r="C87" i="6"/>
  <c r="C88" i="6"/>
  <c r="C89" i="6"/>
  <c r="C90" i="6"/>
  <c r="C91" i="6"/>
  <c r="C92" i="6"/>
  <c r="C93" i="6"/>
  <c r="C94" i="6"/>
  <c r="C95" i="6"/>
  <c r="C96" i="6"/>
  <c r="C97" i="6"/>
  <c r="C98" i="6"/>
  <c r="C99" i="6"/>
  <c r="C100" i="6"/>
  <c r="C101" i="6"/>
  <c r="C102" i="6"/>
  <c r="C103" i="6"/>
  <c r="C104" i="6"/>
  <c r="C105" i="6"/>
  <c r="C106" i="6"/>
  <c r="C107" i="6"/>
  <c r="C108" i="6"/>
  <c r="C109" i="6"/>
  <c r="C110" i="6"/>
  <c r="C111" i="6"/>
  <c r="C112" i="6"/>
  <c r="C113" i="6"/>
  <c r="C114" i="6"/>
  <c r="C115" i="6"/>
  <c r="C116" i="6"/>
  <c r="C117" i="6"/>
  <c r="C118" i="6"/>
  <c r="C119" i="6"/>
  <c r="C120" i="6"/>
  <c r="C121" i="6"/>
  <c r="C122" i="6"/>
  <c r="C123" i="6"/>
  <c r="C124" i="6"/>
  <c r="C125" i="6"/>
  <c r="C126" i="6"/>
  <c r="C127" i="6"/>
  <c r="C128" i="6"/>
  <c r="C129" i="6"/>
  <c r="C130" i="6"/>
  <c r="C131" i="6"/>
  <c r="C132" i="6"/>
  <c r="C133" i="6"/>
  <c r="C134" i="6"/>
  <c r="C135" i="6"/>
  <c r="C136" i="6"/>
  <c r="C137" i="6"/>
  <c r="C138" i="6"/>
  <c r="C139" i="6"/>
  <c r="C140" i="6"/>
  <c r="C141" i="6"/>
  <c r="C142" i="6"/>
  <c r="C143" i="6"/>
  <c r="C144" i="6"/>
  <c r="C145" i="6"/>
  <c r="C146" i="6"/>
  <c r="C147" i="6"/>
  <c r="C148" i="6"/>
  <c r="C149" i="6"/>
  <c r="C150" i="6"/>
  <c r="C151" i="6"/>
  <c r="C152" i="6"/>
  <c r="C153" i="6"/>
  <c r="C154" i="6"/>
  <c r="C155" i="6"/>
  <c r="C156" i="6"/>
  <c r="C157" i="6"/>
  <c r="C158" i="6"/>
  <c r="C159" i="6"/>
  <c r="C160" i="6"/>
  <c r="C161" i="6"/>
  <c r="C162" i="6"/>
  <c r="C163" i="6"/>
  <c r="C164" i="6"/>
  <c r="C165" i="6"/>
  <c r="C166" i="6"/>
  <c r="C167" i="6"/>
  <c r="C168" i="6"/>
  <c r="C169" i="6"/>
  <c r="C170" i="6"/>
  <c r="C171" i="6"/>
  <c r="C172" i="6"/>
  <c r="C173" i="6"/>
  <c r="C174" i="6"/>
  <c r="C175" i="6"/>
  <c r="C176" i="6"/>
  <c r="C177" i="6"/>
  <c r="C178" i="6"/>
  <c r="C179" i="6"/>
  <c r="C180" i="6"/>
  <c r="C181" i="6"/>
  <c r="C182" i="6"/>
  <c r="C183" i="6"/>
  <c r="C184" i="6"/>
  <c r="C185" i="6"/>
  <c r="C186" i="6"/>
  <c r="C187" i="6"/>
  <c r="C188" i="6"/>
  <c r="C189" i="6"/>
  <c r="C190" i="6"/>
  <c r="C191" i="6"/>
  <c r="C192" i="6"/>
  <c r="C193" i="6"/>
  <c r="C194" i="6"/>
  <c r="C195" i="6"/>
  <c r="C196" i="6"/>
  <c r="C197" i="6"/>
  <c r="C198" i="6"/>
  <c r="C199" i="6"/>
  <c r="C200" i="6"/>
  <c r="C201" i="6"/>
  <c r="C202" i="6"/>
  <c r="C203" i="6"/>
  <c r="C204" i="6"/>
  <c r="C205" i="6"/>
  <c r="C206" i="6"/>
  <c r="C207" i="6"/>
  <c r="C208" i="6"/>
  <c r="C209" i="6"/>
  <c r="C210" i="6"/>
  <c r="C211" i="6"/>
  <c r="C212" i="6"/>
  <c r="C213" i="6"/>
  <c r="C214" i="6"/>
  <c r="C215" i="6"/>
  <c r="C216" i="6"/>
  <c r="C217" i="6"/>
  <c r="C218" i="6"/>
  <c r="C219" i="6"/>
  <c r="C220" i="6"/>
  <c r="C221" i="6"/>
  <c r="C222" i="6"/>
  <c r="C223" i="6"/>
  <c r="C224" i="6"/>
  <c r="C225" i="6"/>
  <c r="C226" i="6"/>
  <c r="C227" i="6"/>
  <c r="C228" i="6"/>
  <c r="C229" i="6"/>
  <c r="C3" i="6"/>
  <c r="Z34" i="4"/>
  <c r="Z33" i="4"/>
  <c r="Z32" i="4"/>
  <c r="Z31" i="4"/>
  <c r="Z30" i="4"/>
  <c r="Z29" i="4"/>
  <c r="Z28" i="4"/>
  <c r="Z27" i="4"/>
  <c r="Z26" i="4"/>
  <c r="Z25" i="4"/>
  <c r="Z24" i="4"/>
  <c r="Z23" i="4"/>
  <c r="Z22" i="4"/>
  <c r="Z21" i="4"/>
  <c r="Z20" i="4"/>
  <c r="Z19" i="4"/>
  <c r="Z18" i="4"/>
  <c r="Z17" i="4"/>
  <c r="Z16" i="4"/>
  <c r="Z15" i="4"/>
  <c r="Z14" i="4"/>
  <c r="Z13" i="4"/>
  <c r="Z12" i="4"/>
  <c r="Z11" i="4"/>
  <c r="Z10" i="4"/>
  <c r="Z9" i="4"/>
  <c r="Z8" i="4"/>
  <c r="Z7" i="4"/>
  <c r="Z6" i="4"/>
  <c r="Z5" i="4"/>
  <c r="E213" i="6"/>
  <c r="F213" i="6"/>
  <c r="A40" i="3" a="1"/>
  <c r="A40" i="3" s="1"/>
  <c r="A41" i="3" a="1"/>
  <c r="A41" i="3" s="1"/>
  <c r="A42" i="3" a="1"/>
  <c r="A42" i="3" s="1"/>
  <c r="A43" i="3" a="1"/>
  <c r="A43" i="3" s="1"/>
  <c r="A44" i="3" a="1"/>
  <c r="A44" i="3" s="1"/>
  <c r="A45" i="3" a="1"/>
  <c r="A45" i="3" s="1"/>
  <c r="A46" i="3" a="1"/>
  <c r="A46" i="3" s="1"/>
  <c r="A47" i="3" a="1"/>
  <c r="A47" i="3" s="1"/>
  <c r="A48" i="3" a="1"/>
  <c r="A48" i="3" s="1"/>
  <c r="A49" i="3" a="1"/>
  <c r="A49" i="3" s="1"/>
  <c r="A50" i="3" a="1"/>
  <c r="A50" i="3" s="1"/>
  <c r="A51" i="3" a="1"/>
  <c r="A51" i="3" s="1"/>
  <c r="A52" i="3" a="1"/>
  <c r="A52" i="3" s="1"/>
  <c r="A53" i="3" a="1"/>
  <c r="A53" i="3" s="1"/>
  <c r="A54" i="3" a="1"/>
  <c r="A54" i="3" s="1"/>
  <c r="A55" i="3" a="1"/>
  <c r="A55" i="3" s="1"/>
  <c r="A56" i="3" a="1"/>
  <c r="A56" i="3" s="1"/>
  <c r="A57" i="3" a="1"/>
  <c r="A57" i="3" s="1"/>
  <c r="A58" i="3" a="1"/>
  <c r="A58" i="3" s="1"/>
  <c r="F212" i="6"/>
  <c r="E212" i="6"/>
  <c r="H3" i="6"/>
  <c r="H4" i="6"/>
  <c r="H5" i="6"/>
  <c r="H6" i="6"/>
  <c r="H7" i="6"/>
  <c r="H8" i="6"/>
  <c r="H9" i="6"/>
  <c r="H10" i="6"/>
  <c r="H11" i="6"/>
  <c r="H12" i="6"/>
  <c r="H13" i="6"/>
  <c r="H176" i="6"/>
  <c r="H14" i="6"/>
  <c r="H15" i="6"/>
  <c r="H16" i="6"/>
  <c r="H17" i="6"/>
  <c r="H18" i="6"/>
  <c r="H19" i="6"/>
  <c r="H20" i="6"/>
  <c r="H21" i="6"/>
  <c r="H22" i="6"/>
  <c r="H23" i="6"/>
  <c r="H24" i="6"/>
  <c r="H25" i="6"/>
  <c r="H26" i="6"/>
  <c r="H27" i="6"/>
  <c r="H28" i="6"/>
  <c r="H29" i="6"/>
  <c r="H30" i="6"/>
  <c r="H31" i="6"/>
  <c r="H32" i="6"/>
  <c r="H33" i="6"/>
  <c r="H34" i="6"/>
  <c r="H35" i="6"/>
  <c r="H36" i="6"/>
  <c r="H37" i="6"/>
  <c r="H38" i="6"/>
  <c r="H39" i="6"/>
  <c r="H41" i="6"/>
  <c r="H85" i="6"/>
  <c r="H42" i="6"/>
  <c r="H43" i="6"/>
  <c r="H44" i="6"/>
  <c r="H45" i="6"/>
  <c r="H46" i="6"/>
  <c r="H47" i="6"/>
  <c r="H48" i="6"/>
  <c r="H49" i="6"/>
  <c r="H50" i="6"/>
  <c r="H51" i="6"/>
  <c r="H52" i="6"/>
  <c r="H53" i="6"/>
  <c r="H54" i="6"/>
  <c r="H55" i="6"/>
  <c r="H56" i="6"/>
  <c r="H57" i="6"/>
  <c r="H58" i="6"/>
  <c r="H59" i="6"/>
  <c r="H60" i="6"/>
  <c r="H61" i="6"/>
  <c r="H62" i="6"/>
  <c r="H63" i="6"/>
  <c r="H177" i="6"/>
  <c r="H64" i="6"/>
  <c r="H65" i="6"/>
  <c r="H66" i="6"/>
  <c r="H67" i="6"/>
  <c r="H68" i="6"/>
  <c r="H69" i="6"/>
  <c r="H70" i="6"/>
  <c r="H71" i="6"/>
  <c r="H72" i="6"/>
  <c r="H73" i="6"/>
  <c r="H74" i="6"/>
  <c r="H75" i="6"/>
  <c r="H76" i="6"/>
  <c r="H77" i="6"/>
  <c r="H78" i="6"/>
  <c r="H79" i="6"/>
  <c r="H80" i="6"/>
  <c r="H81" i="6"/>
  <c r="H82" i="6"/>
  <c r="H83" i="6"/>
  <c r="H84" i="6"/>
  <c r="H86" i="6"/>
  <c r="H87" i="6"/>
  <c r="H88" i="6"/>
  <c r="H89" i="6"/>
  <c r="H90" i="6"/>
  <c r="H91" i="6"/>
  <c r="H92" i="6"/>
  <c r="H93" i="6"/>
  <c r="H94" i="6"/>
  <c r="H95" i="6"/>
  <c r="H96" i="6"/>
  <c r="H97" i="6"/>
  <c r="H98" i="6"/>
  <c r="H99" i="6"/>
  <c r="H100" i="6"/>
  <c r="H101" i="6"/>
  <c r="H102" i="6"/>
  <c r="H103" i="6"/>
  <c r="H104" i="6"/>
  <c r="H105" i="6"/>
  <c r="H106" i="6"/>
  <c r="H107" i="6"/>
  <c r="H108" i="6"/>
  <c r="H109" i="6"/>
  <c r="H110" i="6"/>
  <c r="H111" i="6"/>
  <c r="H112" i="6"/>
  <c r="H113" i="6"/>
  <c r="H114" i="6"/>
  <c r="H115" i="6"/>
  <c r="H116" i="6"/>
  <c r="H117" i="6"/>
  <c r="H118" i="6"/>
  <c r="H119" i="6"/>
  <c r="H120" i="6"/>
  <c r="H121" i="6"/>
  <c r="H122" i="6"/>
  <c r="H123" i="6"/>
  <c r="H124" i="6"/>
  <c r="H125" i="6"/>
  <c r="H126" i="6"/>
  <c r="H127" i="6"/>
  <c r="H128" i="6"/>
  <c r="H129" i="6"/>
  <c r="H130" i="6"/>
  <c r="H131" i="6"/>
  <c r="H132" i="6"/>
  <c r="H133" i="6"/>
  <c r="H134" i="6"/>
  <c r="H135" i="6"/>
  <c r="H136" i="6"/>
  <c r="H137" i="6"/>
  <c r="H138" i="6"/>
  <c r="H139" i="6"/>
  <c r="H140" i="6"/>
  <c r="H141" i="6"/>
  <c r="H142" i="6"/>
  <c r="H40" i="6"/>
  <c r="H143" i="6"/>
  <c r="H144" i="6"/>
  <c r="H145" i="6"/>
  <c r="H146" i="6"/>
  <c r="H147" i="6"/>
  <c r="H148" i="6"/>
  <c r="H149" i="6"/>
  <c r="H150" i="6"/>
  <c r="H151" i="6"/>
  <c r="H152" i="6"/>
  <c r="H153" i="6"/>
  <c r="H154" i="6"/>
  <c r="H155" i="6"/>
  <c r="H156" i="6"/>
  <c r="H157" i="6"/>
  <c r="H158" i="6"/>
  <c r="H159" i="6"/>
  <c r="H160" i="6"/>
  <c r="H161" i="6"/>
  <c r="H162" i="6"/>
  <c r="H163" i="6"/>
  <c r="H164" i="6"/>
  <c r="H165" i="6"/>
  <c r="H166" i="6"/>
  <c r="H167" i="6"/>
  <c r="H168" i="6"/>
  <c r="H169" i="6"/>
  <c r="H170" i="6"/>
  <c r="H171" i="6"/>
  <c r="H172" i="6"/>
  <c r="H173" i="6"/>
  <c r="H174" i="6"/>
  <c r="H175" i="6"/>
  <c r="H178" i="6"/>
  <c r="H179" i="6"/>
  <c r="H180" i="6"/>
  <c r="H181" i="6"/>
  <c r="H182" i="6"/>
  <c r="H183" i="6"/>
  <c r="H184" i="6"/>
  <c r="H185" i="6"/>
  <c r="H186" i="6"/>
  <c r="H187" i="6"/>
  <c r="H188" i="6"/>
  <c r="H189" i="6"/>
  <c r="H190" i="6"/>
  <c r="H191" i="6"/>
  <c r="H192" i="6"/>
  <c r="H193" i="6"/>
  <c r="H194" i="6"/>
  <c r="H195" i="6"/>
  <c r="H196" i="6"/>
  <c r="H197" i="6"/>
  <c r="H198" i="6"/>
  <c r="H199" i="6"/>
  <c r="C11" i="5"/>
  <c r="C10" i="5"/>
  <c r="C9" i="5"/>
  <c r="C8" i="5"/>
  <c r="C7" i="5"/>
  <c r="AA5" i="4" a="1"/>
  <c r="AA5" i="4" s="1"/>
  <c r="AA6" i="4" a="1"/>
  <c r="AA6" i="4" s="1"/>
  <c r="AA7" i="4" a="1"/>
  <c r="AA7" i="4" s="1"/>
  <c r="AA8" i="4" a="1"/>
  <c r="AA8" i="4" s="1"/>
  <c r="AA9" i="4" a="1"/>
  <c r="AA9" i="4" s="1"/>
  <c r="AA10" i="4" a="1"/>
  <c r="AA10" i="4" s="1"/>
  <c r="AA11" i="4" a="1"/>
  <c r="AA11" i="4" s="1"/>
  <c r="AA12" i="4" a="1"/>
  <c r="AA12" i="4" s="1"/>
  <c r="AA13" i="4" a="1"/>
  <c r="AA13" i="4" s="1"/>
  <c r="AA14" i="4" a="1"/>
  <c r="AA14" i="4" s="1"/>
  <c r="AA15" i="4" a="1"/>
  <c r="AA15" i="4" s="1"/>
  <c r="AA16" i="4" a="1"/>
  <c r="AA16" i="4" s="1"/>
  <c r="AA17" i="4" a="1"/>
  <c r="AA17" i="4" s="1"/>
  <c r="AA18" i="4" a="1"/>
  <c r="AA18" i="4" s="1"/>
  <c r="AA19" i="4" a="1"/>
  <c r="AA19" i="4" s="1"/>
  <c r="AA20" i="4" a="1"/>
  <c r="AA20" i="4" s="1"/>
  <c r="AA21" i="4" a="1"/>
  <c r="AA21" i="4" s="1"/>
  <c r="AA22" i="4" a="1"/>
  <c r="AA22" i="4" s="1"/>
  <c r="AA23" i="4" a="1"/>
  <c r="AA23" i="4" s="1"/>
  <c r="AA24" i="4" a="1"/>
  <c r="AA24" i="4" s="1"/>
  <c r="AA25" i="4" a="1"/>
  <c r="AA25" i="4" s="1"/>
  <c r="AA26" i="4" a="1"/>
  <c r="AA26" i="4" s="1"/>
  <c r="AA27" i="4" a="1"/>
  <c r="AA27" i="4" s="1"/>
  <c r="AA28" i="4" a="1"/>
  <c r="AA28" i="4" s="1"/>
  <c r="AA29" i="4" a="1"/>
  <c r="AA29" i="4" s="1"/>
  <c r="AA30" i="4" a="1"/>
  <c r="AA30" i="4" s="1"/>
  <c r="AA31" i="4" a="1"/>
  <c r="AA31" i="4" s="1"/>
  <c r="AA32" i="4" a="1"/>
  <c r="AA32" i="4" s="1"/>
  <c r="AA33" i="4" a="1"/>
  <c r="AA33" i="4" s="1"/>
  <c r="AA34" i="4" a="1"/>
  <c r="AA34" i="4" s="1"/>
  <c r="B74" i="4"/>
  <c r="B72" i="4"/>
  <c r="AF3" i="6" s="1" a="1"/>
  <c r="AF3" i="6" s="1"/>
  <c r="B71" i="4"/>
  <c r="AE3" i="6" s="1" a="1"/>
  <c r="AE3" i="6" s="1"/>
  <c r="B70" i="4"/>
  <c r="B69" i="4"/>
  <c r="B68" i="4"/>
  <c r="T2" i="6" a="1"/>
  <c r="T2" i="6" s="1"/>
  <c r="U2" i="6" a="1"/>
  <c r="U2" i="6" s="1"/>
  <c r="V2" i="6" a="1"/>
  <c r="V2" i="6" s="1"/>
  <c r="W2" i="6" a="1"/>
  <c r="W2" i="6" s="1"/>
  <c r="X2" i="6" a="1"/>
  <c r="X2" i="6" s="1"/>
  <c r="Y2" i="6" a="1"/>
  <c r="Y2" i="6" s="1"/>
  <c r="Z2" i="6" a="1"/>
  <c r="Z2" i="6" s="1"/>
  <c r="AA2" i="6" a="1"/>
  <c r="AA2" i="6" s="1"/>
  <c r="AB2" i="6" a="1"/>
  <c r="AB2" i="6" s="1"/>
  <c r="AC2" i="6" a="1"/>
  <c r="AC2" i="6" s="1"/>
  <c r="AD2" i="6" a="1"/>
  <c r="AD2" i="6" s="1"/>
  <c r="AE2" i="6" a="1"/>
  <c r="AE2" i="6" s="1"/>
  <c r="AF2" i="6" a="1"/>
  <c r="AF2" i="6" s="1"/>
  <c r="AG2" i="6" a="1"/>
  <c r="AG2" i="6" s="1"/>
  <c r="AH2" i="6" a="1"/>
  <c r="AH2" i="6" s="1"/>
  <c r="AI2" i="6" a="1"/>
  <c r="AI2" i="6" s="1"/>
  <c r="AJ2" i="6" a="1"/>
  <c r="AJ2" i="6" s="1"/>
  <c r="AK2" i="6" a="1"/>
  <c r="AK2" i="6" s="1"/>
  <c r="AL2" i="6" a="1"/>
  <c r="AL2" i="6" s="1"/>
  <c r="AM2" i="6" a="1"/>
  <c r="AM2" i="6" s="1"/>
  <c r="AN2" i="6" a="1"/>
  <c r="AN2" i="6" s="1"/>
  <c r="AO2" i="6" a="1"/>
  <c r="AO2" i="6" s="1"/>
  <c r="AP2" i="6" a="1"/>
  <c r="AP2" i="6" s="1"/>
  <c r="AQ2" i="6" a="1"/>
  <c r="AQ2" i="6" s="1"/>
  <c r="B83" i="4"/>
  <c r="AQ3" i="6" s="1" a="1"/>
  <c r="AQ3" i="6" s="1"/>
  <c r="F169" i="6"/>
  <c r="F170" i="6"/>
  <c r="F171" i="6"/>
  <c r="F172" i="6"/>
  <c r="F173" i="6"/>
  <c r="F174" i="6"/>
  <c r="F175" i="6"/>
  <c r="F178" i="6"/>
  <c r="F179" i="6"/>
  <c r="F180" i="6"/>
  <c r="F181" i="6"/>
  <c r="F182" i="6"/>
  <c r="F183" i="6"/>
  <c r="F184" i="6"/>
  <c r="F185" i="6"/>
  <c r="F186" i="6"/>
  <c r="F187" i="6"/>
  <c r="F188" i="6"/>
  <c r="F189" i="6"/>
  <c r="F190" i="6"/>
  <c r="F191" i="6"/>
  <c r="F192" i="6"/>
  <c r="F193" i="6"/>
  <c r="F194" i="6"/>
  <c r="F195" i="6"/>
  <c r="F196" i="6"/>
  <c r="F197" i="6"/>
  <c r="F198" i="6"/>
  <c r="F199" i="6"/>
  <c r="M128" i="8"/>
  <c r="M54" i="8"/>
  <c r="M110" i="8"/>
  <c r="M148" i="8"/>
  <c r="M182" i="8"/>
  <c r="M172" i="8"/>
  <c r="M187" i="8"/>
  <c r="M143" i="8"/>
  <c r="M2" i="8"/>
  <c r="M92" i="8"/>
  <c r="M186" i="8"/>
  <c r="M129" i="8"/>
  <c r="M119" i="8"/>
  <c r="M183" i="8"/>
  <c r="M3" i="8"/>
  <c r="M16" i="8"/>
  <c r="M88" i="8"/>
  <c r="M132" i="8"/>
  <c r="M12" i="8"/>
  <c r="M135" i="8"/>
  <c r="M160" i="8"/>
  <c r="M22" i="8"/>
  <c r="M87" i="8"/>
  <c r="M194" i="8"/>
  <c r="M113" i="8"/>
  <c r="M9" i="8"/>
  <c r="M170" i="8"/>
  <c r="M93" i="8"/>
  <c r="M26" i="8"/>
  <c r="M72" i="8"/>
  <c r="M52" i="8"/>
  <c r="M43" i="8"/>
  <c r="M91" i="8"/>
  <c r="M77" i="8"/>
  <c r="M39" i="8"/>
  <c r="M138" i="8"/>
  <c r="M68" i="8"/>
  <c r="M127" i="8"/>
  <c r="M53" i="8"/>
  <c r="M37" i="8"/>
  <c r="M63" i="8"/>
  <c r="M154" i="8"/>
  <c r="M50" i="8"/>
  <c r="M62" i="8"/>
  <c r="M96" i="8"/>
  <c r="M142" i="8"/>
  <c r="M28" i="8"/>
  <c r="M191" i="8"/>
  <c r="M125" i="8"/>
  <c r="M84" i="8"/>
  <c r="M85" i="8"/>
  <c r="M21" i="8"/>
  <c r="M47" i="8"/>
  <c r="M79" i="8"/>
  <c r="M137" i="8"/>
  <c r="M14" i="8"/>
  <c r="M150" i="8"/>
  <c r="M73" i="8"/>
  <c r="M99" i="8"/>
  <c r="M141" i="8"/>
  <c r="M13" i="8"/>
  <c r="M78" i="8"/>
  <c r="M49" i="8"/>
  <c r="M112" i="8"/>
  <c r="M75" i="8"/>
  <c r="M176" i="8"/>
  <c r="M131" i="8"/>
  <c r="M162" i="8"/>
  <c r="M136" i="8"/>
  <c r="M66" i="8"/>
  <c r="M57" i="8"/>
  <c r="M105" i="8"/>
  <c r="M157" i="8"/>
  <c r="M101" i="8"/>
  <c r="M177" i="8"/>
  <c r="M196" i="8"/>
  <c r="M34" i="8"/>
  <c r="M30" i="8"/>
  <c r="M174" i="8"/>
  <c r="M139" i="8"/>
  <c r="M80" i="8"/>
  <c r="M42" i="8"/>
  <c r="M33" i="8"/>
  <c r="M41" i="8"/>
  <c r="M107" i="8"/>
  <c r="M94" i="8"/>
  <c r="M197" i="8"/>
  <c r="M89" i="8"/>
  <c r="M29" i="8"/>
  <c r="M198" i="8"/>
  <c r="M24" i="8"/>
  <c r="M104" i="8"/>
  <c r="M180" i="8"/>
  <c r="M134" i="8"/>
  <c r="M126" i="8"/>
  <c r="M103" i="8"/>
  <c r="M45" i="8"/>
  <c r="M70" i="8"/>
  <c r="M155" i="8"/>
  <c r="M51" i="8"/>
  <c r="M144" i="8"/>
  <c r="M44" i="8"/>
  <c r="M71" i="8"/>
  <c r="M8" i="8"/>
  <c r="M185" i="8"/>
  <c r="M6" i="8"/>
  <c r="M55" i="8"/>
  <c r="M195" i="8"/>
  <c r="M115" i="8"/>
  <c r="M69" i="8"/>
  <c r="M36" i="8"/>
  <c r="M166" i="8"/>
  <c r="M140" i="8"/>
  <c r="M82" i="8"/>
  <c r="M27" i="8"/>
  <c r="M56" i="8"/>
  <c r="M159" i="8"/>
  <c r="M152" i="8"/>
  <c r="M95" i="8"/>
  <c r="M178" i="8"/>
  <c r="M122" i="8"/>
  <c r="M189" i="8"/>
  <c r="M83" i="8"/>
  <c r="M40" i="8"/>
  <c r="M35" i="8"/>
  <c r="M98" i="8"/>
  <c r="M19" i="8"/>
  <c r="M118" i="8"/>
  <c r="M149" i="8"/>
  <c r="M65" i="8"/>
  <c r="M173" i="8"/>
  <c r="M74" i="8"/>
  <c r="M158" i="8"/>
  <c r="M120" i="8"/>
  <c r="M181" i="8"/>
  <c r="M161" i="8"/>
  <c r="M117" i="8"/>
  <c r="M153" i="8"/>
  <c r="M61" i="8"/>
  <c r="M4" i="8"/>
  <c r="M190" i="8"/>
  <c r="M11" i="8"/>
  <c r="M23" i="8"/>
  <c r="M31" i="8"/>
  <c r="M188" i="8"/>
  <c r="M171" i="8"/>
  <c r="M97" i="8"/>
  <c r="M124" i="8"/>
  <c r="M10" i="8"/>
  <c r="M111" i="8"/>
  <c r="M60" i="8"/>
  <c r="M86" i="8"/>
  <c r="M81" i="8"/>
  <c r="M17" i="8"/>
  <c r="M46" i="8"/>
  <c r="M168" i="8"/>
  <c r="M123" i="8"/>
  <c r="M64" i="8"/>
  <c r="M130" i="8"/>
  <c r="M169" i="8"/>
  <c r="M7" i="8"/>
  <c r="M175" i="8"/>
  <c r="M15" i="8"/>
  <c r="M18" i="8"/>
  <c r="M25" i="8"/>
  <c r="M32" i="8"/>
  <c r="M59" i="8"/>
  <c r="M76" i="8"/>
  <c r="M100" i="8"/>
  <c r="M102" i="8"/>
  <c r="M106" i="8"/>
  <c r="M108" i="8"/>
  <c r="M116" i="8"/>
  <c r="M133" i="8"/>
  <c r="M164" i="8"/>
  <c r="M165" i="8"/>
  <c r="M151" i="8"/>
  <c r="M156" i="8"/>
  <c r="M167" i="8"/>
  <c r="M192" i="8"/>
  <c r="M5" i="8"/>
  <c r="M20" i="8"/>
  <c r="M38" i="8"/>
  <c r="M48" i="8"/>
  <c r="M67" i="8"/>
  <c r="M90" i="8"/>
  <c r="M109" i="8"/>
  <c r="M58" i="8"/>
  <c r="M114" i="8"/>
  <c r="M121" i="8"/>
  <c r="M163" i="8"/>
  <c r="M145" i="8"/>
  <c r="M146" i="8"/>
  <c r="M147" i="8"/>
  <c r="M179" i="8"/>
  <c r="M184" i="8"/>
  <c r="M193" i="8"/>
  <c r="L128" i="8"/>
  <c r="L54" i="8"/>
  <c r="L110" i="8"/>
  <c r="L148" i="8"/>
  <c r="L182" i="8"/>
  <c r="L172" i="8"/>
  <c r="L187" i="8"/>
  <c r="L143" i="8"/>
  <c r="L2" i="8"/>
  <c r="L92" i="8"/>
  <c r="L186" i="8"/>
  <c r="L129" i="8"/>
  <c r="L119" i="8"/>
  <c r="L183" i="8"/>
  <c r="L3" i="8"/>
  <c r="L16" i="8"/>
  <c r="L88" i="8"/>
  <c r="L132" i="8"/>
  <c r="L12" i="8"/>
  <c r="L135" i="8"/>
  <c r="L160" i="8"/>
  <c r="L22" i="8"/>
  <c r="L87" i="8"/>
  <c r="L194" i="8"/>
  <c r="L113" i="8"/>
  <c r="L9" i="8"/>
  <c r="L170" i="8"/>
  <c r="L93" i="8"/>
  <c r="L26" i="8"/>
  <c r="L72" i="8"/>
  <c r="L52" i="8"/>
  <c r="L43" i="8"/>
  <c r="L91" i="8"/>
  <c r="L77" i="8"/>
  <c r="L39" i="8"/>
  <c r="L138" i="8"/>
  <c r="L68" i="8"/>
  <c r="L127" i="8"/>
  <c r="L53" i="8"/>
  <c r="L37" i="8"/>
  <c r="L63" i="8"/>
  <c r="L154" i="8"/>
  <c r="L50" i="8"/>
  <c r="L62" i="8"/>
  <c r="L96" i="8"/>
  <c r="L142" i="8"/>
  <c r="L28" i="8"/>
  <c r="L191" i="8"/>
  <c r="L125" i="8"/>
  <c r="L84" i="8"/>
  <c r="L85" i="8"/>
  <c r="L21" i="8"/>
  <c r="L47" i="8"/>
  <c r="L79" i="8"/>
  <c r="L137" i="8"/>
  <c r="L14" i="8"/>
  <c r="L150" i="8"/>
  <c r="L73" i="8"/>
  <c r="L99" i="8"/>
  <c r="L141" i="8"/>
  <c r="L13" i="8"/>
  <c r="L78" i="8"/>
  <c r="L49" i="8"/>
  <c r="L112" i="8"/>
  <c r="L75" i="8"/>
  <c r="L176" i="8"/>
  <c r="L131" i="8"/>
  <c r="L162" i="8"/>
  <c r="L136" i="8"/>
  <c r="L66" i="8"/>
  <c r="L57" i="8"/>
  <c r="L105" i="8"/>
  <c r="L157" i="8"/>
  <c r="L101" i="8"/>
  <c r="L177" i="8"/>
  <c r="L196" i="8"/>
  <c r="L34" i="8"/>
  <c r="L30" i="8"/>
  <c r="L174" i="8"/>
  <c r="L139" i="8"/>
  <c r="L80" i="8"/>
  <c r="L42" i="8"/>
  <c r="L33" i="8"/>
  <c r="L41" i="8"/>
  <c r="L107" i="8"/>
  <c r="L94" i="8"/>
  <c r="L197" i="8"/>
  <c r="L89" i="8"/>
  <c r="L29" i="8"/>
  <c r="L198" i="8"/>
  <c r="L24" i="8"/>
  <c r="L104" i="8"/>
  <c r="L180" i="8"/>
  <c r="L134" i="8"/>
  <c r="L126" i="8"/>
  <c r="L103" i="8"/>
  <c r="L45" i="8"/>
  <c r="L70" i="8"/>
  <c r="L155" i="8"/>
  <c r="L51" i="8"/>
  <c r="L144" i="8"/>
  <c r="L44" i="8"/>
  <c r="L71" i="8"/>
  <c r="L8" i="8"/>
  <c r="L185" i="8"/>
  <c r="L6" i="8"/>
  <c r="L55" i="8"/>
  <c r="L195" i="8"/>
  <c r="L115" i="8"/>
  <c r="L69" i="8"/>
  <c r="L36" i="8"/>
  <c r="L166" i="8"/>
  <c r="L140" i="8"/>
  <c r="L82" i="8"/>
  <c r="L27" i="8"/>
  <c r="L56" i="8"/>
  <c r="L159" i="8"/>
  <c r="L152" i="8"/>
  <c r="L95" i="8"/>
  <c r="L178" i="8"/>
  <c r="L122" i="8"/>
  <c r="L189" i="8"/>
  <c r="L83" i="8"/>
  <c r="L40" i="8"/>
  <c r="L35" i="8"/>
  <c r="L98" i="8"/>
  <c r="L19" i="8"/>
  <c r="L118" i="8"/>
  <c r="L149" i="8"/>
  <c r="L65" i="8"/>
  <c r="L173" i="8"/>
  <c r="L74" i="8"/>
  <c r="L158" i="8"/>
  <c r="L120" i="8"/>
  <c r="L181" i="8"/>
  <c r="L161" i="8"/>
  <c r="L117" i="8"/>
  <c r="L153" i="8"/>
  <c r="L61" i="8"/>
  <c r="L4" i="8"/>
  <c r="L190" i="8"/>
  <c r="L11" i="8"/>
  <c r="L23" i="8"/>
  <c r="L31" i="8"/>
  <c r="L188" i="8"/>
  <c r="L171" i="8"/>
  <c r="L97" i="8"/>
  <c r="L124" i="8"/>
  <c r="L10" i="8"/>
  <c r="L111" i="8"/>
  <c r="L60" i="8"/>
  <c r="L86" i="8"/>
  <c r="L81" i="8"/>
  <c r="L17" i="8"/>
  <c r="L46" i="8"/>
  <c r="L168" i="8"/>
  <c r="L123" i="8"/>
  <c r="L64" i="8"/>
  <c r="L130" i="8"/>
  <c r="L169" i="8"/>
  <c r="L7" i="8"/>
  <c r="L175" i="8"/>
  <c r="L15" i="8"/>
  <c r="L18" i="8"/>
  <c r="L25" i="8"/>
  <c r="L32" i="8"/>
  <c r="L59" i="8"/>
  <c r="L76" i="8"/>
  <c r="L100" i="8"/>
  <c r="L102" i="8"/>
  <c r="L106" i="8"/>
  <c r="L108" i="8"/>
  <c r="L116" i="8"/>
  <c r="L133" i="8"/>
  <c r="L164" i="8"/>
  <c r="L165" i="8"/>
  <c r="L151" i="8"/>
  <c r="L156" i="8"/>
  <c r="L167" i="8"/>
  <c r="L192" i="8"/>
  <c r="L5" i="8"/>
  <c r="L20" i="8"/>
  <c r="L38" i="8"/>
  <c r="L48" i="8"/>
  <c r="L67" i="8"/>
  <c r="L90" i="8"/>
  <c r="L109" i="8"/>
  <c r="L58" i="8"/>
  <c r="L114" i="8"/>
  <c r="L121" i="8"/>
  <c r="L163" i="8"/>
  <c r="L145" i="8"/>
  <c r="L146" i="8"/>
  <c r="L147" i="8"/>
  <c r="L179" i="8"/>
  <c r="L184" i="8"/>
  <c r="L193" i="8"/>
  <c r="B44" i="4"/>
  <c r="B86" i="4"/>
  <c r="A39" i="3" l="1" a="1"/>
  <c r="A39" i="3" s="1"/>
  <c r="G213" i="6" a="1"/>
  <c r="G213" i="6" s="1"/>
  <c r="G212" i="6" a="1"/>
  <c r="G212" i="6" s="1"/>
  <c r="G16" i="6" a="1"/>
  <c r="G16" i="6" s="1"/>
  <c r="G26" i="6" a="1"/>
  <c r="G26" i="6" s="1"/>
  <c r="G48" i="6" a="1"/>
  <c r="G48" i="6" s="1"/>
  <c r="G58" i="6" a="1"/>
  <c r="G58" i="6" s="1"/>
  <c r="G79" i="6" a="1"/>
  <c r="G79" i="6" s="1"/>
  <c r="G90" i="6" a="1"/>
  <c r="G90" i="6" s="1"/>
  <c r="G112" i="6" a="1"/>
  <c r="G112" i="6" s="1"/>
  <c r="G122" i="6" a="1"/>
  <c r="G122" i="6" s="1"/>
  <c r="G143" i="6" a="1"/>
  <c r="G143" i="6" s="1"/>
  <c r="G153" i="6" a="1"/>
  <c r="G153" i="6" s="1"/>
  <c r="G175" i="6" a="1"/>
  <c r="G175" i="6" s="1"/>
  <c r="G187" i="6" a="1"/>
  <c r="G187" i="6" s="1"/>
  <c r="G18" i="6" a="1"/>
  <c r="G18" i="6" s="1"/>
  <c r="G71" i="6" a="1"/>
  <c r="G71" i="6" s="1"/>
  <c r="G114" i="6" a="1"/>
  <c r="G114" i="6" s="1"/>
  <c r="G167" i="6" a="1"/>
  <c r="G167" i="6" s="1"/>
  <c r="G116" i="6" a="1"/>
  <c r="G116" i="6" s="1"/>
  <c r="G181" i="6" a="1"/>
  <c r="G181" i="6" s="1"/>
  <c r="G21" i="6" a="1"/>
  <c r="G21" i="6" s="1"/>
  <c r="G95" i="6" a="1"/>
  <c r="G95" i="6" s="1"/>
  <c r="G182" i="6" a="1"/>
  <c r="G182" i="6" s="1"/>
  <c r="G177" i="6" a="1"/>
  <c r="G177" i="6" s="1"/>
  <c r="G128" i="6" a="1"/>
  <c r="G128" i="6" s="1"/>
  <c r="G43" i="6" a="1"/>
  <c r="G43" i="6" s="1"/>
  <c r="G107" i="6" a="1"/>
  <c r="G107" i="6" s="1"/>
  <c r="G183" i="6" a="1"/>
  <c r="G183" i="6" s="1"/>
  <c r="G44" i="6" a="1"/>
  <c r="G44" i="6" s="1"/>
  <c r="G129" i="6" a="1"/>
  <c r="G129" i="6" s="1"/>
  <c r="G23" i="6" a="1"/>
  <c r="G23" i="6" s="1"/>
  <c r="G87" i="6" a="1"/>
  <c r="G87" i="6" s="1"/>
  <c r="G7" i="6" a="1"/>
  <c r="G7" i="6" s="1"/>
  <c r="G27" i="6" a="1"/>
  <c r="G27" i="6" s="1"/>
  <c r="G38" i="6" a="1"/>
  <c r="G38" i="6" s="1"/>
  <c r="G59" i="6" a="1"/>
  <c r="G59" i="6" s="1"/>
  <c r="G69" i="6" a="1"/>
  <c r="G69" i="6" s="1"/>
  <c r="G91" i="6" a="1"/>
  <c r="G91" i="6" s="1"/>
  <c r="G102" i="6" a="1"/>
  <c r="G102" i="6" s="1"/>
  <c r="G123" i="6" a="1"/>
  <c r="G123" i="6" s="1"/>
  <c r="G134" i="6" a="1"/>
  <c r="G134" i="6" s="1"/>
  <c r="G154" i="6" a="1"/>
  <c r="G154" i="6" s="1"/>
  <c r="G165" i="6" a="1"/>
  <c r="G165" i="6" s="1"/>
  <c r="G188" i="6" a="1"/>
  <c r="G188" i="6" s="1"/>
  <c r="G199" i="6" a="1"/>
  <c r="G199" i="6" s="1"/>
  <c r="G50" i="6" a="1"/>
  <c r="G50" i="6" s="1"/>
  <c r="G104" i="6" a="1"/>
  <c r="G104" i="6" s="1"/>
  <c r="G145" i="6" a="1"/>
  <c r="G145" i="6" s="1"/>
  <c r="G137" i="6" a="1"/>
  <c r="G137" i="6" s="1"/>
  <c r="G31" i="6" a="1"/>
  <c r="G31" i="6" s="1"/>
  <c r="G158" i="6" a="1"/>
  <c r="G158" i="6" s="1"/>
  <c r="G73" i="6" a="1"/>
  <c r="G73" i="6" s="1"/>
  <c r="G159" i="6" a="1"/>
  <c r="G159" i="6" s="1"/>
  <c r="G74" i="6" a="1"/>
  <c r="G74" i="6" s="1"/>
  <c r="G139" i="6" a="1"/>
  <c r="G139" i="6" s="1"/>
  <c r="G75" i="6" a="1"/>
  <c r="G75" i="6" s="1"/>
  <c r="G171" i="6" a="1"/>
  <c r="G171" i="6" s="1"/>
  <c r="G76" i="6" a="1"/>
  <c r="G76" i="6" s="1"/>
  <c r="G141" i="6" a="1"/>
  <c r="G141" i="6" s="1"/>
  <c r="G65" i="6" a="1"/>
  <c r="G65" i="6" s="1"/>
  <c r="G120" i="6" a="1"/>
  <c r="G120" i="6" s="1"/>
  <c r="G161" i="6" a="1"/>
  <c r="G161" i="6" s="1"/>
  <c r="G77" i="6" a="1"/>
  <c r="G77" i="6" s="1"/>
  <c r="G131" i="6" a="1"/>
  <c r="G131" i="6" s="1"/>
  <c r="G196" i="6" a="1"/>
  <c r="G196" i="6" s="1"/>
  <c r="G57" i="6" a="1"/>
  <c r="G57" i="6" s="1"/>
  <c r="G100" i="6" a="1"/>
  <c r="G100" i="6" s="1"/>
  <c r="G163" i="6" a="1"/>
  <c r="G163" i="6" s="1"/>
  <c r="G68" i="6" a="1"/>
  <c r="G68" i="6" s="1"/>
  <c r="G111" i="6" a="1"/>
  <c r="G111" i="6" s="1"/>
  <c r="G164" i="6" a="1"/>
  <c r="G164" i="6" s="1"/>
  <c r="G17" i="6" a="1"/>
  <c r="G17" i="6" s="1"/>
  <c r="G28" i="6" a="1"/>
  <c r="G28" i="6" s="1"/>
  <c r="G49" i="6" a="1"/>
  <c r="G49" i="6" s="1"/>
  <c r="G60" i="6" a="1"/>
  <c r="G60" i="6" s="1"/>
  <c r="G80" i="6" a="1"/>
  <c r="G80" i="6" s="1"/>
  <c r="G92" i="6" a="1"/>
  <c r="G92" i="6" s="1"/>
  <c r="G113" i="6" a="1"/>
  <c r="G113" i="6" s="1"/>
  <c r="G124" i="6" a="1"/>
  <c r="G124" i="6" s="1"/>
  <c r="G144" i="6" a="1"/>
  <c r="G144" i="6" s="1"/>
  <c r="G155" i="6" a="1"/>
  <c r="G155" i="6" s="1"/>
  <c r="G178" i="6" a="1"/>
  <c r="G178" i="6" s="1"/>
  <c r="G189" i="6" a="1"/>
  <c r="G189" i="6" s="1"/>
  <c r="G84" i="6" a="1"/>
  <c r="G84" i="6" s="1"/>
  <c r="G148" i="6" a="1"/>
  <c r="G148" i="6" s="1"/>
  <c r="G11" i="6" a="1"/>
  <c r="G11" i="6" s="1"/>
  <c r="G138" i="6" a="1"/>
  <c r="G138" i="6" s="1"/>
  <c r="G12" i="6" a="1"/>
  <c r="G12" i="6" s="1"/>
  <c r="G170" i="6" a="1"/>
  <c r="G170" i="6" s="1"/>
  <c r="G13" i="6" a="1"/>
  <c r="G13" i="6" s="1"/>
  <c r="G140" i="6" a="1"/>
  <c r="G140" i="6" s="1"/>
  <c r="G176" i="6" a="1"/>
  <c r="G176" i="6" s="1"/>
  <c r="G150" i="6" a="1"/>
  <c r="G150" i="6" s="1"/>
  <c r="G46" i="6" a="1"/>
  <c r="G46" i="6" s="1"/>
  <c r="G173" i="6" a="1"/>
  <c r="G173" i="6" s="1"/>
  <c r="G5" i="6" a="1"/>
  <c r="G5" i="6" s="1"/>
  <c r="G121" i="6" a="1"/>
  <c r="G121" i="6" s="1"/>
  <c r="G197" i="6" a="1"/>
  <c r="G197" i="6" s="1"/>
  <c r="G198" i="6" a="1"/>
  <c r="G198" i="6" s="1"/>
  <c r="G8" i="6" a="1"/>
  <c r="G8" i="6" s="1"/>
  <c r="G29" i="6" a="1"/>
  <c r="G29" i="6" s="1"/>
  <c r="G39" i="6" a="1"/>
  <c r="G39" i="6" s="1"/>
  <c r="G61" i="6" a="1"/>
  <c r="G61" i="6" s="1"/>
  <c r="G70" i="6" a="1"/>
  <c r="G70" i="6" s="1"/>
  <c r="G93" i="6" a="1"/>
  <c r="G93" i="6" s="1"/>
  <c r="G103" i="6" a="1"/>
  <c r="G103" i="6" s="1"/>
  <c r="G125" i="6" a="1"/>
  <c r="G125" i="6" s="1"/>
  <c r="G135" i="6" a="1"/>
  <c r="G135" i="6" s="1"/>
  <c r="G156" i="6" a="1"/>
  <c r="G156" i="6" s="1"/>
  <c r="G166" i="6" a="1"/>
  <c r="G166" i="6" s="1"/>
  <c r="G190" i="6" a="1"/>
  <c r="G190" i="6" s="1"/>
  <c r="G9" i="6" a="1"/>
  <c r="G9" i="6" s="1"/>
  <c r="G41" i="6" a="1"/>
  <c r="G41" i="6" s="1"/>
  <c r="G81" i="6" a="1"/>
  <c r="G81" i="6" s="1"/>
  <c r="G136" i="6" a="1"/>
  <c r="G136" i="6" s="1"/>
  <c r="G179" i="6" a="1"/>
  <c r="G179" i="6" s="1"/>
  <c r="G83" i="6" a="1"/>
  <c r="G83" i="6" s="1"/>
  <c r="G168" i="6" a="1"/>
  <c r="G168" i="6" s="1"/>
  <c r="G53" i="6" a="1"/>
  <c r="G53" i="6" s="1"/>
  <c r="G117" i="6" a="1"/>
  <c r="G117" i="6" s="1"/>
  <c r="G32" i="6" a="1"/>
  <c r="G32" i="6" s="1"/>
  <c r="G96" i="6" a="1"/>
  <c r="G96" i="6" s="1"/>
  <c r="G169" i="6" a="1"/>
  <c r="G169" i="6" s="1"/>
  <c r="G54" i="6" a="1"/>
  <c r="G54" i="6" s="1"/>
  <c r="G118" i="6" a="1"/>
  <c r="G118" i="6" s="1"/>
  <c r="G33" i="6" a="1"/>
  <c r="G33" i="6" s="1"/>
  <c r="G97" i="6" a="1"/>
  <c r="G97" i="6" s="1"/>
  <c r="G160" i="6" a="1"/>
  <c r="G160" i="6" s="1"/>
  <c r="G55" i="6" a="1"/>
  <c r="G55" i="6" s="1"/>
  <c r="G119" i="6" a="1"/>
  <c r="G119" i="6" s="1"/>
  <c r="G184" i="6" a="1"/>
  <c r="G184" i="6" s="1"/>
  <c r="G24" i="6" a="1"/>
  <c r="G24" i="6" s="1"/>
  <c r="G56" i="6" a="1"/>
  <c r="G56" i="6" s="1"/>
  <c r="G98" i="6" a="1"/>
  <c r="G98" i="6" s="1"/>
  <c r="G151" i="6" a="1"/>
  <c r="G151" i="6" s="1"/>
  <c r="G195" i="6" a="1"/>
  <c r="G195" i="6" s="1"/>
  <c r="G4" i="6" a="1"/>
  <c r="G4" i="6" s="1"/>
  <c r="G35" i="6" a="1"/>
  <c r="G35" i="6" s="1"/>
  <c r="G99" i="6" a="1"/>
  <c r="G99" i="6" s="1"/>
  <c r="G142" i="6" a="1"/>
  <c r="G142" i="6" s="1"/>
  <c r="G25" i="6" a="1"/>
  <c r="G25" i="6" s="1"/>
  <c r="G89" i="6" a="1"/>
  <c r="G89" i="6" s="1"/>
  <c r="G152" i="6" a="1"/>
  <c r="G152" i="6" s="1"/>
  <c r="G15" i="6" a="1"/>
  <c r="G15" i="6" s="1"/>
  <c r="G47" i="6" a="1"/>
  <c r="G47" i="6" s="1"/>
  <c r="G101" i="6" a="1"/>
  <c r="G101" i="6" s="1"/>
  <c r="G40" i="6" a="1"/>
  <c r="G40" i="6" s="1"/>
  <c r="G19" i="6" a="1"/>
  <c r="G19" i="6" s="1"/>
  <c r="G30" i="6" a="1"/>
  <c r="G30" i="6" s="1"/>
  <c r="G51" i="6" a="1"/>
  <c r="G51" i="6" s="1"/>
  <c r="G62" i="6" a="1"/>
  <c r="G62" i="6" s="1"/>
  <c r="G82" i="6" a="1"/>
  <c r="G82" i="6" s="1"/>
  <c r="G94" i="6" a="1"/>
  <c r="G94" i="6" s="1"/>
  <c r="G115" i="6" a="1"/>
  <c r="G115" i="6" s="1"/>
  <c r="G126" i="6" a="1"/>
  <c r="G126" i="6" s="1"/>
  <c r="G146" i="6" a="1"/>
  <c r="G146" i="6" s="1"/>
  <c r="G157" i="6" a="1"/>
  <c r="G157" i="6" s="1"/>
  <c r="G180" i="6" a="1"/>
  <c r="G180" i="6" s="1"/>
  <c r="G191" i="6" a="1"/>
  <c r="G191" i="6" s="1"/>
  <c r="G10" i="6" a="1"/>
  <c r="G10" i="6" s="1"/>
  <c r="G20" i="6" a="1"/>
  <c r="G20" i="6" s="1"/>
  <c r="G85" i="6" a="1"/>
  <c r="G85" i="6" s="1"/>
  <c r="G52" i="6" a="1"/>
  <c r="G52" i="6" s="1"/>
  <c r="G72" i="6" a="1"/>
  <c r="G72" i="6" s="1"/>
  <c r="G105" i="6" a="1"/>
  <c r="G105" i="6" s="1"/>
  <c r="G147" i="6" a="1"/>
  <c r="G147" i="6" s="1"/>
  <c r="G63" i="6" a="1"/>
  <c r="G63" i="6" s="1"/>
  <c r="G127" i="6" a="1"/>
  <c r="G127" i="6" s="1"/>
  <c r="G192" i="6" a="1"/>
  <c r="G192" i="6" s="1"/>
  <c r="G42" i="6" a="1"/>
  <c r="G42" i="6" s="1"/>
  <c r="G106" i="6" a="1"/>
  <c r="G106" i="6" s="1"/>
  <c r="G193" i="6" a="1"/>
  <c r="G193" i="6" s="1"/>
  <c r="G22" i="6" a="1"/>
  <c r="G22" i="6" s="1"/>
  <c r="G86" i="6" a="1"/>
  <c r="G86" i="6" s="1"/>
  <c r="G149" i="6" a="1"/>
  <c r="G149" i="6" s="1"/>
  <c r="G64" i="6" a="1"/>
  <c r="G64" i="6" s="1"/>
  <c r="G108" i="6" a="1"/>
  <c r="G108" i="6" s="1"/>
  <c r="G194" i="6" a="1"/>
  <c r="G194" i="6" s="1"/>
  <c r="G45" i="6" a="1"/>
  <c r="G45" i="6" s="1"/>
  <c r="G109" i="6" a="1"/>
  <c r="G109" i="6" s="1"/>
  <c r="G172" i="6" a="1"/>
  <c r="G172" i="6" s="1"/>
  <c r="G3" i="6" a="1"/>
  <c r="G3" i="6" s="1"/>
  <c r="G34" i="6" a="1"/>
  <c r="G34" i="6" s="1"/>
  <c r="G88" i="6" a="1"/>
  <c r="G88" i="6" s="1"/>
  <c r="G130" i="6" a="1"/>
  <c r="G130" i="6" s="1"/>
  <c r="G185" i="6" a="1"/>
  <c r="G185" i="6" s="1"/>
  <c r="G14" i="6" a="1"/>
  <c r="G14" i="6" s="1"/>
  <c r="G66" i="6" a="1"/>
  <c r="G66" i="6" s="1"/>
  <c r="G110" i="6" a="1"/>
  <c r="G110" i="6" s="1"/>
  <c r="G162" i="6" a="1"/>
  <c r="G162" i="6" s="1"/>
  <c r="G36" i="6" a="1"/>
  <c r="G36" i="6" s="1"/>
  <c r="G67" i="6" a="1"/>
  <c r="G67" i="6" s="1"/>
  <c r="G132" i="6" a="1"/>
  <c r="G132" i="6" s="1"/>
  <c r="G186" i="6" a="1"/>
  <c r="G186" i="6" s="1"/>
  <c r="G6" i="6" a="1"/>
  <c r="G6" i="6" s="1"/>
  <c r="G37" i="6" a="1"/>
  <c r="G37" i="6" s="1"/>
  <c r="G78" i="6" a="1"/>
  <c r="G78" i="6" s="1"/>
  <c r="G133" i="6" a="1"/>
  <c r="G133" i="6" s="1"/>
  <c r="G174" i="6" a="1"/>
  <c r="G174" i="6" s="1"/>
  <c r="E10" i="6"/>
  <c r="E12" i="6"/>
  <c r="E5" i="6"/>
  <c r="E83" i="6"/>
  <c r="E97" i="6"/>
  <c r="E11" i="6"/>
  <c r="E4" i="6"/>
  <c r="E152" i="6"/>
  <c r="E6" i="6"/>
  <c r="E3" i="6"/>
  <c r="E138" i="6"/>
  <c r="E168" i="6"/>
  <c r="E57" i="6"/>
  <c r="E185" i="6"/>
  <c r="E136" i="6"/>
  <c r="E120" i="6"/>
  <c r="E104" i="6"/>
  <c r="E88" i="6"/>
  <c r="E71" i="6"/>
  <c r="E56" i="6"/>
  <c r="E41" i="6"/>
  <c r="E24" i="6"/>
  <c r="E9" i="6"/>
  <c r="E184" i="6"/>
  <c r="E166" i="6"/>
  <c r="E150" i="6"/>
  <c r="E135" i="6"/>
  <c r="E119" i="6"/>
  <c r="E103" i="6"/>
  <c r="E87" i="6"/>
  <c r="E70" i="6"/>
  <c r="E55" i="6"/>
  <c r="E39" i="6"/>
  <c r="E23" i="6"/>
  <c r="E8" i="6"/>
  <c r="E199" i="6"/>
  <c r="E183" i="6"/>
  <c r="E165" i="6"/>
  <c r="E149" i="6"/>
  <c r="E134" i="6"/>
  <c r="E118" i="6"/>
  <c r="E102" i="6"/>
  <c r="E86" i="6"/>
  <c r="E69" i="6"/>
  <c r="E54" i="6"/>
  <c r="E38" i="6"/>
  <c r="E22" i="6"/>
  <c r="E7" i="6"/>
  <c r="E122" i="6"/>
  <c r="E58" i="6"/>
  <c r="E186" i="6"/>
  <c r="E85" i="6"/>
  <c r="E167" i="6"/>
  <c r="E117" i="6"/>
  <c r="E84" i="6"/>
  <c r="E197" i="6"/>
  <c r="E116" i="6"/>
  <c r="E36" i="6"/>
  <c r="E180" i="6"/>
  <c r="E35" i="6"/>
  <c r="E195" i="6"/>
  <c r="E18" i="6"/>
  <c r="E64" i="6"/>
  <c r="E193" i="6"/>
  <c r="E175" i="6"/>
  <c r="E159" i="6"/>
  <c r="E143" i="6"/>
  <c r="E128" i="6"/>
  <c r="E112" i="6"/>
  <c r="E96" i="6"/>
  <c r="E79" i="6"/>
  <c r="E177" i="6"/>
  <c r="E48" i="6"/>
  <c r="E32" i="6"/>
  <c r="E16" i="6"/>
  <c r="E153" i="6"/>
  <c r="E90" i="6"/>
  <c r="E121" i="6"/>
  <c r="E72" i="6"/>
  <c r="E151" i="6"/>
  <c r="E198" i="6"/>
  <c r="E20" i="6"/>
  <c r="E66" i="6"/>
  <c r="E130" i="6"/>
  <c r="E50" i="6"/>
  <c r="E178" i="6"/>
  <c r="E129" i="6"/>
  <c r="E33" i="6"/>
  <c r="E192" i="6"/>
  <c r="E174" i="6"/>
  <c r="E158" i="6"/>
  <c r="E40" i="6"/>
  <c r="E127" i="6"/>
  <c r="E111" i="6"/>
  <c r="E95" i="6"/>
  <c r="E78" i="6"/>
  <c r="E63" i="6"/>
  <c r="E47" i="6"/>
  <c r="E31" i="6"/>
  <c r="E15" i="6"/>
  <c r="E26" i="6"/>
  <c r="E89" i="6"/>
  <c r="E164" i="6"/>
  <c r="E101" i="6"/>
  <c r="E68" i="6"/>
  <c r="E163" i="6"/>
  <c r="E115" i="6"/>
  <c r="E160" i="6"/>
  <c r="E113" i="6"/>
  <c r="E17" i="6"/>
  <c r="E191" i="6"/>
  <c r="E173" i="6"/>
  <c r="E157" i="6"/>
  <c r="E142" i="6"/>
  <c r="E126" i="6"/>
  <c r="E110" i="6"/>
  <c r="E94" i="6"/>
  <c r="E77" i="6"/>
  <c r="E62" i="6"/>
  <c r="E46" i="6"/>
  <c r="E30" i="6"/>
  <c r="E14" i="6"/>
  <c r="E187" i="6"/>
  <c r="E106" i="6"/>
  <c r="E105" i="6"/>
  <c r="E148" i="6"/>
  <c r="E21" i="6"/>
  <c r="E181" i="6"/>
  <c r="E52" i="6"/>
  <c r="E146" i="6"/>
  <c r="E19" i="6"/>
  <c r="E161" i="6"/>
  <c r="E114" i="6"/>
  <c r="E81" i="6"/>
  <c r="E49" i="6"/>
  <c r="E190" i="6"/>
  <c r="E172" i="6"/>
  <c r="E156" i="6"/>
  <c r="E141" i="6"/>
  <c r="E125" i="6"/>
  <c r="E109" i="6"/>
  <c r="E93" i="6"/>
  <c r="E76" i="6"/>
  <c r="E61" i="6"/>
  <c r="E45" i="6"/>
  <c r="E29" i="6"/>
  <c r="E176" i="6"/>
  <c r="E169" i="6"/>
  <c r="E42" i="6"/>
  <c r="E137" i="6"/>
  <c r="E25" i="6"/>
  <c r="E133" i="6"/>
  <c r="E53" i="6"/>
  <c r="E132" i="6"/>
  <c r="E100" i="6"/>
  <c r="E67" i="6"/>
  <c r="E196" i="6"/>
  <c r="E131" i="6"/>
  <c r="E82" i="6"/>
  <c r="E179" i="6"/>
  <c r="E34" i="6"/>
  <c r="E194" i="6"/>
  <c r="E144" i="6"/>
  <c r="E80" i="6"/>
  <c r="E189" i="6"/>
  <c r="E171" i="6"/>
  <c r="E155" i="6"/>
  <c r="E140" i="6"/>
  <c r="E124" i="6"/>
  <c r="E108" i="6"/>
  <c r="E92" i="6"/>
  <c r="E75" i="6"/>
  <c r="E60" i="6"/>
  <c r="E44" i="6"/>
  <c r="E28" i="6"/>
  <c r="E13" i="6"/>
  <c r="E73" i="6"/>
  <c r="E182" i="6"/>
  <c r="E37" i="6"/>
  <c r="E147" i="6"/>
  <c r="E162" i="6"/>
  <c r="E99" i="6"/>
  <c r="E51" i="6"/>
  <c r="E145" i="6"/>
  <c r="E98" i="6"/>
  <c r="E65" i="6"/>
  <c r="E188" i="6"/>
  <c r="E170" i="6"/>
  <c r="E154" i="6"/>
  <c r="E139" i="6"/>
  <c r="E123" i="6"/>
  <c r="E107" i="6"/>
  <c r="E91" i="6"/>
  <c r="E74" i="6"/>
  <c r="E59" i="6"/>
  <c r="E43" i="6"/>
  <c r="E27" i="6"/>
  <c r="B4" i="4"/>
  <c r="B87" i="4" l="1"/>
  <c r="B59" i="4"/>
  <c r="B50" i="4"/>
  <c r="B38" i="4"/>
  <c r="B29" i="4"/>
  <c r="B3" i="4"/>
  <c r="F168" i="6"/>
  <c r="F167" i="6"/>
  <c r="B84" i="4"/>
  <c r="B55" i="4"/>
  <c r="B46" i="4"/>
  <c r="B34" i="4"/>
  <c r="B25" i="4"/>
  <c r="F111" i="4"/>
  <c r="E111" i="4"/>
  <c r="D111" i="4"/>
  <c r="B80" i="4"/>
  <c r="B60" i="4"/>
  <c r="T3" i="6" s="1" a="1"/>
  <c r="T3" i="6" s="1"/>
  <c r="F3" i="6"/>
  <c r="F4" i="6"/>
  <c r="F5" i="6"/>
  <c r="F6" i="6"/>
  <c r="F7" i="6"/>
  <c r="F8" i="6"/>
  <c r="F9" i="6"/>
  <c r="F10" i="6"/>
  <c r="F11" i="6"/>
  <c r="F12" i="6"/>
  <c r="F13" i="6"/>
  <c r="F176" i="6"/>
  <c r="F14" i="6"/>
  <c r="F15" i="6"/>
  <c r="F16" i="6"/>
  <c r="F17" i="6"/>
  <c r="F18" i="6"/>
  <c r="F19" i="6"/>
  <c r="F20" i="6"/>
  <c r="F21" i="6"/>
  <c r="F22" i="6"/>
  <c r="F23" i="6"/>
  <c r="F24" i="6"/>
  <c r="F25" i="6"/>
  <c r="F26" i="6"/>
  <c r="F27" i="6"/>
  <c r="F28" i="6"/>
  <c r="F29" i="6"/>
  <c r="F30" i="6"/>
  <c r="F31" i="6"/>
  <c r="F32" i="6"/>
  <c r="F33" i="6"/>
  <c r="F34" i="6"/>
  <c r="F35" i="6"/>
  <c r="F36" i="6"/>
  <c r="F37" i="6"/>
  <c r="F38" i="6"/>
  <c r="F39" i="6"/>
  <c r="F41" i="6"/>
  <c r="F85" i="6"/>
  <c r="F42" i="6"/>
  <c r="F43" i="6"/>
  <c r="F44" i="6"/>
  <c r="F45" i="6"/>
  <c r="F46" i="6"/>
  <c r="F47" i="6"/>
  <c r="F48" i="6"/>
  <c r="F49" i="6"/>
  <c r="F50" i="6"/>
  <c r="F51" i="6"/>
  <c r="F52" i="6"/>
  <c r="F53" i="6"/>
  <c r="F54" i="6"/>
  <c r="F55" i="6"/>
  <c r="F56" i="6"/>
  <c r="F57" i="6"/>
  <c r="F58" i="6"/>
  <c r="F59" i="6"/>
  <c r="F60" i="6"/>
  <c r="F61" i="6"/>
  <c r="F62" i="6"/>
  <c r="F63" i="6"/>
  <c r="F177" i="6"/>
  <c r="F64" i="6"/>
  <c r="F65" i="6"/>
  <c r="F66" i="6"/>
  <c r="F67" i="6"/>
  <c r="F68" i="6"/>
  <c r="F69" i="6"/>
  <c r="F70" i="6"/>
  <c r="F71" i="6"/>
  <c r="F72" i="6"/>
  <c r="F73" i="6"/>
  <c r="F74" i="6"/>
  <c r="F75" i="6"/>
  <c r="F76" i="6"/>
  <c r="F77" i="6"/>
  <c r="F78" i="6"/>
  <c r="F79" i="6"/>
  <c r="F80" i="6"/>
  <c r="F81" i="6"/>
  <c r="F82" i="6"/>
  <c r="F83" i="6"/>
  <c r="F84" i="6"/>
  <c r="F86" i="6"/>
  <c r="F87" i="6"/>
  <c r="F88" i="6"/>
  <c r="F89" i="6"/>
  <c r="F90" i="6"/>
  <c r="F91" i="6"/>
  <c r="F92" i="6"/>
  <c r="F93" i="6"/>
  <c r="F94" i="6"/>
  <c r="F95" i="6"/>
  <c r="F96" i="6"/>
  <c r="F97" i="6"/>
  <c r="F98" i="6"/>
  <c r="F99" i="6"/>
  <c r="F100" i="6"/>
  <c r="F101" i="6"/>
  <c r="F102" i="6"/>
  <c r="F103" i="6"/>
  <c r="F104" i="6"/>
  <c r="F105" i="6"/>
  <c r="F106" i="6"/>
  <c r="F107" i="6"/>
  <c r="F108" i="6"/>
  <c r="F109" i="6"/>
  <c r="F110" i="6"/>
  <c r="F111" i="6"/>
  <c r="F112" i="6"/>
  <c r="F113" i="6"/>
  <c r="F114" i="6"/>
  <c r="F115" i="6"/>
  <c r="F116" i="6"/>
  <c r="F117" i="6"/>
  <c r="F118" i="6"/>
  <c r="F119" i="6"/>
  <c r="F120" i="6"/>
  <c r="F121" i="6"/>
  <c r="F122" i="6"/>
  <c r="F123" i="6"/>
  <c r="F124" i="6"/>
  <c r="F125" i="6"/>
  <c r="F126" i="6"/>
  <c r="F127" i="6"/>
  <c r="F128" i="6"/>
  <c r="F129" i="6"/>
  <c r="F130" i="6"/>
  <c r="F131" i="6"/>
  <c r="F132" i="6"/>
  <c r="F133" i="6"/>
  <c r="F134" i="6"/>
  <c r="F135" i="6"/>
  <c r="F136" i="6"/>
  <c r="F137" i="6"/>
  <c r="F138" i="6"/>
  <c r="F139" i="6"/>
  <c r="F140" i="6"/>
  <c r="F141" i="6"/>
  <c r="F142" i="6"/>
  <c r="F40" i="6"/>
  <c r="F143" i="6"/>
  <c r="F144" i="6"/>
  <c r="F145" i="6"/>
  <c r="F146" i="6"/>
  <c r="F147" i="6"/>
  <c r="F148" i="6"/>
  <c r="F149" i="6"/>
  <c r="F150" i="6"/>
  <c r="F151" i="6"/>
  <c r="F152" i="6"/>
  <c r="F153" i="6"/>
  <c r="F154" i="6"/>
  <c r="F155" i="6"/>
  <c r="F156" i="6"/>
  <c r="F157" i="6"/>
  <c r="F158" i="6"/>
  <c r="F159" i="6"/>
  <c r="F160" i="6"/>
  <c r="F161" i="6"/>
  <c r="F162" i="6"/>
  <c r="F163" i="6"/>
  <c r="F164" i="6"/>
  <c r="F165" i="6"/>
  <c r="F166" i="6"/>
  <c r="B81" i="4"/>
  <c r="AO3" i="6" s="1" a="1"/>
  <c r="AO3" i="6" s="1"/>
  <c r="B61" i="4"/>
  <c r="U3" i="6" s="1" a="1"/>
  <c r="U3" i="6" s="1"/>
  <c r="AC3" i="6" a="1"/>
  <c r="AC3" i="6" s="1"/>
  <c r="B62" i="4"/>
  <c r="V3" i="6" s="1" a="1"/>
  <c r="V3" i="6" s="1"/>
  <c r="B64" i="4"/>
  <c r="X3" i="6" s="1" a="1"/>
  <c r="X3" i="6" s="1"/>
  <c r="B65" i="4"/>
  <c r="Y3" i="6" s="1" a="1"/>
  <c r="Y3" i="6" s="1"/>
  <c r="B66" i="4"/>
  <c r="Z3" i="6" s="1" a="1"/>
  <c r="Z3" i="6" s="1"/>
  <c r="B67" i="4"/>
  <c r="AA3" i="6" s="1" a="1"/>
  <c r="AA3" i="6" s="1"/>
  <c r="AB3" i="6" a="1"/>
  <c r="AB3" i="6" s="1"/>
  <c r="AD3" i="6" a="1"/>
  <c r="AD3" i="6" s="1"/>
  <c r="B63" i="4"/>
  <c r="W3" i="6" s="1" a="1"/>
  <c r="W3" i="6" s="1"/>
  <c r="B73" i="4"/>
  <c r="AG3" i="6" s="1" a="1"/>
  <c r="AG3" i="6" s="1"/>
  <c r="B76" i="4"/>
  <c r="B78" i="4"/>
  <c r="B77" i="4"/>
  <c r="AH3" i="6" a="1"/>
  <c r="AH3" i="6" s="1"/>
  <c r="B79" i="4"/>
  <c r="B75" i="4"/>
  <c r="B82" i="4"/>
  <c r="AP3" i="6" s="1" a="1"/>
  <c r="AP3" i="6" s="1"/>
  <c r="B10" i="4"/>
  <c r="B11" i="4"/>
  <c r="B12" i="4"/>
  <c r="B13" i="4"/>
  <c r="B14" i="4"/>
  <c r="B15" i="4"/>
  <c r="B16" i="4"/>
  <c r="B17" i="4"/>
  <c r="B18" i="4"/>
  <c r="B19" i="4"/>
  <c r="B20" i="4"/>
  <c r="B21" i="4"/>
  <c r="B22" i="4"/>
  <c r="B23" i="4"/>
  <c r="B24" i="4"/>
  <c r="B57" i="4"/>
  <c r="B48" i="4"/>
  <c r="B27" i="4"/>
  <c r="B36" i="4"/>
  <c r="B52" i="4"/>
  <c r="B53" i="4"/>
  <c r="B54" i="4"/>
  <c r="B51" i="4"/>
  <c r="B5" i="4"/>
  <c r="B40" i="4"/>
  <c r="B41" i="4"/>
  <c r="B42" i="4"/>
  <c r="B43" i="4"/>
  <c r="B45" i="4"/>
  <c r="B39" i="4"/>
  <c r="B31" i="4"/>
  <c r="B32" i="4"/>
  <c r="B33" i="4"/>
  <c r="B30" i="4"/>
  <c r="B6" i="4"/>
  <c r="B7" i="4"/>
  <c r="B8" i="4"/>
  <c r="B9" i="4"/>
  <c r="AI3" i="6" l="1" a="1"/>
  <c r="AI3" i="6" s="1"/>
  <c r="AK3" i="6" a="1"/>
  <c r="AK3" i="6" s="1"/>
  <c r="AM3" i="6" a="1"/>
  <c r="AM3" i="6" s="1"/>
  <c r="AL3" i="6" a="1"/>
  <c r="AL3" i="6" s="1"/>
  <c r="AN3" i="6" a="1"/>
  <c r="AN3" i="6" s="1"/>
  <c r="AJ3" i="6" a="1"/>
  <c r="AJ3" i="6" s="1"/>
  <c r="B95" i="4"/>
  <c r="A31" i="3" s="1" a="1"/>
  <c r="A31" i="3" s="1"/>
  <c r="B94" i="4"/>
  <c r="B93" i="4"/>
  <c r="A34" i="3" s="1" a="1"/>
  <c r="A34" i="3" s="1"/>
  <c r="B91" i="4"/>
  <c r="A28" i="3" s="1" a="1"/>
  <c r="A28" i="3" s="1"/>
  <c r="B90" i="4"/>
  <c r="A22" i="3" s="1" a="1"/>
  <c r="A22" i="3" s="1"/>
  <c r="D1" i="4"/>
  <c r="S4" i="6" l="1"/>
  <c r="S5" i="6" s="1"/>
  <c r="B97" i="4"/>
  <c r="A25" i="3" s="1" a="1"/>
  <c r="A25" i="3" s="1"/>
  <c r="G114" i="4"/>
  <c r="E1" i="4"/>
  <c r="F1" i="4" l="1"/>
  <c r="G1" i="4" s="1"/>
  <c r="H1" i="4" s="1"/>
  <c r="S6" i="6"/>
  <c r="S7" i="6" s="1"/>
  <c r="S8" i="6" l="1"/>
  <c r="I1" i="4"/>
  <c r="S9" i="6" l="1"/>
  <c r="J1" i="4"/>
  <c r="K1" i="4" l="1"/>
  <c r="L1" i="4" s="1"/>
  <c r="M1" i="4" s="1"/>
  <c r="S10" i="6"/>
  <c r="S11" i="6" s="1"/>
  <c r="N1" i="4" l="1"/>
  <c r="O1" i="4" s="1"/>
  <c r="P1" i="4" s="1"/>
  <c r="Q1" i="4" s="1"/>
  <c r="S12" i="6"/>
  <c r="S13" i="6" s="1"/>
  <c r="R1" i="4" l="1"/>
  <c r="S1" i="4" s="1"/>
  <c r="T1" i="4" s="1"/>
  <c r="U1" i="4" s="1"/>
  <c r="V1" i="4" s="1"/>
  <c r="B33" i="5" s="1"/>
  <c r="S14" i="6"/>
  <c r="S15" i="6" s="1"/>
  <c r="B37" i="5" l="1"/>
  <c r="B36" i="5"/>
  <c r="B35" i="5"/>
  <c r="B34" i="5"/>
  <c r="B38" i="5"/>
  <c r="B39" i="5"/>
  <c r="B40" i="5"/>
  <c r="B42" i="5"/>
  <c r="B41" i="5"/>
  <c r="S16" i="6"/>
  <c r="S17" i="6" s="1"/>
  <c r="S18" i="6" s="1"/>
  <c r="S19" i="6" s="1"/>
  <c r="S20" i="6" s="1"/>
  <c r="S21" i="6" s="1"/>
  <c r="S22" i="6" s="1"/>
  <c r="S23" i="6" s="1"/>
  <c r="S24" i="6" s="1"/>
  <c r="S25" i="6" s="1"/>
  <c r="S26" i="6" s="1"/>
  <c r="S27" i="6" s="1"/>
  <c r="S28" i="6" s="1"/>
  <c r="S29" i="6" s="1"/>
  <c r="S30" i="6" s="1"/>
  <c r="S31" i="6" s="1"/>
  <c r="S32" i="6" s="1"/>
  <c r="S33" i="6" s="1"/>
  <c r="S34" i="6" s="1"/>
  <c r="S35" i="6" s="1"/>
  <c r="S36" i="6" s="1"/>
  <c r="S37" i="6" s="1"/>
  <c r="S38" i="6" s="1"/>
  <c r="S39" i="6" s="1"/>
  <c r="S40" i="6" s="1"/>
  <c r="S41" i="6" s="1"/>
  <c r="S42" i="6" s="1"/>
  <c r="S43" i="6" s="1"/>
  <c r="S44" i="6" s="1"/>
  <c r="S45" i="6" s="1"/>
  <c r="S46" i="6" s="1"/>
  <c r="S47" i="6" s="1"/>
  <c r="S48" i="6" s="1"/>
  <c r="S49" i="6" s="1"/>
  <c r="S50" i="6" s="1"/>
  <c r="S51" i="6" s="1"/>
  <c r="S52" i="6" s="1"/>
  <c r="S53" i="6" s="1"/>
  <c r="S54" i="6" s="1"/>
  <c r="S55" i="6" s="1"/>
  <c r="S56" i="6" s="1"/>
  <c r="S57" i="6" s="1"/>
  <c r="S58" i="6" s="1"/>
  <c r="S59" i="6" s="1"/>
  <c r="S60" i="6" s="1"/>
  <c r="S61" i="6" s="1"/>
  <c r="S62" i="6" s="1"/>
  <c r="S63" i="6" s="1"/>
  <c r="S64" i="6" s="1"/>
  <c r="S65" i="6" s="1"/>
  <c r="S66" i="6" s="1"/>
  <c r="S67" i="6" s="1"/>
  <c r="S68" i="6" s="1"/>
  <c r="S69" i="6" s="1"/>
  <c r="S70" i="6" s="1"/>
  <c r="S71" i="6" s="1"/>
  <c r="S72" i="6" s="1"/>
  <c r="S73" i="6" s="1"/>
  <c r="S74" i="6" s="1"/>
  <c r="S75" i="6" s="1"/>
  <c r="S76" i="6" s="1"/>
  <c r="S77" i="6" s="1"/>
  <c r="S78" i="6" s="1"/>
  <c r="S79" i="6" s="1"/>
  <c r="S80" i="6" s="1"/>
  <c r="S81" i="6" s="1"/>
  <c r="S82" i="6" s="1"/>
  <c r="S83" i="6" s="1"/>
  <c r="S84" i="6" s="1"/>
  <c r="S85" i="6" s="1"/>
  <c r="S86" i="6" s="1"/>
  <c r="S87" i="6" s="1"/>
  <c r="S88" i="6" s="1"/>
  <c r="S89" i="6" s="1"/>
  <c r="S90" i="6" s="1"/>
  <c r="S91" i="6" s="1"/>
  <c r="S92" i="6" s="1"/>
  <c r="S93" i="6" s="1"/>
  <c r="S94" i="6" s="1"/>
  <c r="S95" i="6" s="1"/>
  <c r="S96" i="6" s="1"/>
  <c r="S97" i="6" s="1"/>
  <c r="S98" i="6" s="1"/>
  <c r="S99" i="6" s="1"/>
  <c r="S100" i="6" s="1"/>
  <c r="S101" i="6" s="1"/>
  <c r="S102" i="6" s="1"/>
  <c r="S103" i="6" s="1"/>
  <c r="S104" i="6" s="1"/>
  <c r="S105" i="6" s="1"/>
  <c r="S106" i="6" s="1"/>
  <c r="S107" i="6" s="1"/>
  <c r="S108" i="6" s="1"/>
  <c r="S109" i="6" s="1"/>
  <c r="S110" i="6" s="1"/>
  <c r="S111" i="6" s="1"/>
  <c r="S112" i="6" s="1"/>
  <c r="S113" i="6" s="1"/>
  <c r="S114" i="6" s="1"/>
  <c r="S115" i="6" s="1"/>
  <c r="S116" i="6" s="1"/>
  <c r="S117" i="6" s="1"/>
  <c r="S118" i="6" s="1"/>
  <c r="S119" i="6" s="1"/>
  <c r="S120" i="6" s="1"/>
  <c r="S121" i="6" s="1"/>
  <c r="S122" i="6" s="1"/>
  <c r="S123" i="6" s="1"/>
  <c r="S124" i="6" s="1"/>
  <c r="S125" i="6" s="1"/>
  <c r="S126" i="6" s="1"/>
  <c r="S127" i="6" s="1"/>
  <c r="S128" i="6" s="1"/>
  <c r="S129" i="6" s="1"/>
  <c r="S130" i="6" s="1"/>
  <c r="S131" i="6" s="1"/>
  <c r="S132" i="6" s="1"/>
  <c r="S133" i="6" s="1"/>
  <c r="S134" i="6" s="1"/>
  <c r="S135" i="6" s="1"/>
  <c r="S136" i="6" s="1"/>
  <c r="S137" i="6" s="1"/>
  <c r="S138" i="6" s="1"/>
  <c r="S139" i="6" s="1"/>
  <c r="S140" i="6" s="1"/>
  <c r="S141" i="6" s="1"/>
  <c r="S142" i="6" s="1"/>
  <c r="S143" i="6" s="1"/>
  <c r="S144" i="6" s="1"/>
  <c r="S145" i="6" s="1"/>
  <c r="S146" i="6" s="1"/>
  <c r="S147" i="6" s="1"/>
  <c r="S148" i="6" s="1"/>
  <c r="S149" i="6" s="1"/>
  <c r="S150" i="6" s="1"/>
  <c r="S151" i="6" s="1"/>
  <c r="S152" i="6" s="1"/>
  <c r="S153" i="6" s="1"/>
  <c r="S154" i="6" s="1"/>
  <c r="S155" i="6" s="1"/>
  <c r="S156" i="6" s="1"/>
  <c r="S157" i="6" s="1"/>
  <c r="S158" i="6" s="1"/>
  <c r="S159" i="6" s="1"/>
  <c r="S160" i="6" s="1"/>
  <c r="S161" i="6" s="1"/>
  <c r="S162" i="6" s="1"/>
  <c r="S163" i="6" s="1"/>
  <c r="S164" i="6" s="1"/>
  <c r="S165" i="6" s="1"/>
  <c r="S166" i="6" s="1"/>
  <c r="S167" i="6" s="1"/>
  <c r="S168" i="6" s="1"/>
  <c r="S169" i="6" s="1"/>
  <c r="S170" i="6" s="1"/>
  <c r="S171" i="6" s="1"/>
  <c r="S172" i="6" s="1"/>
  <c r="S173" i="6" s="1"/>
  <c r="S174" i="6" s="1"/>
  <c r="S175" i="6" s="1"/>
  <c r="S176" i="6" s="1"/>
  <c r="S177" i="6" s="1"/>
  <c r="S178" i="6" s="1"/>
  <c r="S179" i="6" s="1"/>
  <c r="AS1" i="6" l="1"/>
  <c r="AS3" i="6" s="1" a="1"/>
  <c r="AS3" i="6" s="1"/>
  <c r="AS4" i="6" s="1" a="1"/>
  <c r="AS4" i="6" s="1"/>
  <c r="AS5" i="6" l="1" a="1"/>
  <c r="AS5" i="6" s="1"/>
  <c r="AS6" i="6" s="1" a="1"/>
  <c r="AS6" i="6" s="1"/>
  <c r="AS7" i="6" s="1" a="1"/>
  <c r="AS7" i="6" s="1"/>
  <c r="AS8" i="6" l="1" a="1"/>
  <c r="AS8" i="6" s="1"/>
  <c r="AS9" i="6" l="1" a="1"/>
  <c r="AS9" i="6" s="1"/>
  <c r="AS10" i="6" l="1" a="1"/>
  <c r="AS10" i="6" s="1"/>
  <c r="AS11" i="6" l="1" a="1"/>
  <c r="AS11" i="6" s="1"/>
  <c r="AS12" i="6" l="1" a="1"/>
  <c r="AS12" i="6" s="1"/>
  <c r="AS13" i="6" l="1" a="1"/>
  <c r="AS13" i="6" s="1"/>
  <c r="AS14" i="6" l="1" a="1"/>
  <c r="AS14" i="6" s="1"/>
  <c r="AS15" i="6" l="1" a="1"/>
  <c r="AS15" i="6" s="1"/>
  <c r="AS16" i="6" l="1" a="1"/>
  <c r="AS16" i="6" s="1"/>
  <c r="AS17" i="6" l="1" a="1"/>
  <c r="AS17" i="6" s="1"/>
  <c r="AS18" i="6" l="1" a="1"/>
  <c r="AS18" i="6" s="1"/>
  <c r="AS19" i="6" l="1" a="1"/>
  <c r="AS19" i="6" s="1"/>
  <c r="AS20" i="6" s="1" a="1"/>
  <c r="AS20" i="6" s="1"/>
  <c r="AS21" i="6" s="1" a="1"/>
  <c r="AS21" i="6" s="1"/>
  <c r="AS22" i="6" s="1" a="1"/>
  <c r="AS22" i="6" s="1"/>
  <c r="AS23" i="6" s="1" a="1"/>
  <c r="AS23" i="6" s="1"/>
  <c r="AS24" i="6" s="1" a="1"/>
  <c r="AS24" i="6" s="1"/>
  <c r="E28" i="3" l="1"/>
  <c r="E27" i="3"/>
  <c r="E26" i="3"/>
  <c r="E29" i="3"/>
  <c r="E31" i="3"/>
  <c r="E30" i="3"/>
  <c r="E99" i="3"/>
  <c r="F101" i="3"/>
  <c r="E88" i="3"/>
  <c r="F83" i="3"/>
  <c r="F59" i="3"/>
  <c r="E55" i="3"/>
  <c r="F66" i="3"/>
  <c r="F45" i="3"/>
  <c r="F74" i="3"/>
  <c r="F77" i="3"/>
  <c r="E61" i="3"/>
  <c r="E74" i="3"/>
  <c r="E89" i="3"/>
  <c r="E67" i="3"/>
  <c r="E79" i="3"/>
  <c r="F56" i="3"/>
  <c r="F29" i="3"/>
  <c r="F55" i="3"/>
  <c r="F51" i="3"/>
  <c r="E100" i="3"/>
  <c r="F78" i="3"/>
  <c r="E47" i="3"/>
  <c r="F47" i="3"/>
  <c r="E98" i="3"/>
  <c r="F53" i="3"/>
  <c r="E33" i="3"/>
  <c r="E71" i="3"/>
  <c r="E65" i="3"/>
  <c r="F91" i="3"/>
  <c r="E34" i="3"/>
  <c r="E36" i="3"/>
  <c r="F86" i="3"/>
  <c r="F69" i="3"/>
  <c r="E54" i="3"/>
  <c r="F97" i="3"/>
  <c r="E76" i="3"/>
  <c r="E70" i="3"/>
  <c r="F43" i="3"/>
  <c r="E91" i="3"/>
  <c r="E58" i="3"/>
  <c r="F49" i="3"/>
  <c r="E56" i="3"/>
  <c r="F89" i="3"/>
  <c r="F46" i="3"/>
  <c r="F48" i="3"/>
  <c r="F35" i="3"/>
  <c r="F57" i="3"/>
  <c r="F60" i="3"/>
  <c r="F84" i="3"/>
  <c r="E35" i="3"/>
  <c r="F34" i="3"/>
  <c r="F63" i="3"/>
  <c r="E43" i="3"/>
  <c r="F96" i="3"/>
  <c r="F52" i="3"/>
  <c r="E87" i="3"/>
  <c r="E64" i="3"/>
  <c r="F100" i="3"/>
  <c r="E44" i="3"/>
  <c r="E53" i="3"/>
  <c r="F92" i="3"/>
  <c r="F80" i="3"/>
  <c r="F67" i="3"/>
  <c r="E32" i="3"/>
  <c r="E38" i="3"/>
  <c r="E59" i="3"/>
  <c r="F44" i="3"/>
  <c r="F99" i="3"/>
  <c r="E60" i="3"/>
  <c r="E48" i="3"/>
  <c r="F65" i="3"/>
  <c r="E40" i="3"/>
  <c r="F94" i="3"/>
  <c r="E101" i="3"/>
  <c r="F27" i="3"/>
  <c r="F54" i="3"/>
  <c r="E85" i="3"/>
  <c r="F31" i="3"/>
  <c r="E37" i="3"/>
  <c r="F71" i="3"/>
  <c r="E63" i="3"/>
  <c r="F70" i="3"/>
  <c r="E93" i="3"/>
  <c r="E96" i="3"/>
  <c r="E94" i="3"/>
  <c r="F36" i="3"/>
  <c r="F85" i="3"/>
  <c r="F64" i="3"/>
  <c r="E80" i="3"/>
  <c r="E95" i="3"/>
  <c r="F58" i="3"/>
  <c r="F95" i="3"/>
  <c r="E45" i="3"/>
  <c r="F26" i="3"/>
  <c r="F39" i="3"/>
  <c r="E92" i="3"/>
  <c r="F98" i="3"/>
  <c r="E41" i="3"/>
  <c r="F76" i="3"/>
  <c r="E81" i="3"/>
  <c r="F68" i="3"/>
  <c r="F28" i="3"/>
  <c r="E90" i="3"/>
  <c r="F90" i="3"/>
  <c r="F73" i="3"/>
  <c r="F32" i="3"/>
  <c r="E46" i="3"/>
  <c r="F38" i="3"/>
  <c r="F61" i="3"/>
  <c r="F88" i="3"/>
  <c r="F75" i="3"/>
  <c r="F50" i="3"/>
  <c r="E86" i="3"/>
  <c r="E83" i="3"/>
  <c r="E82" i="3"/>
  <c r="E51" i="3"/>
  <c r="E69" i="3"/>
  <c r="F79" i="3"/>
  <c r="E84" i="3"/>
  <c r="E62" i="3"/>
  <c r="F30" i="3"/>
  <c r="E77" i="3"/>
  <c r="F62" i="3"/>
  <c r="E75" i="3"/>
  <c r="E78" i="3"/>
  <c r="F42" i="3"/>
  <c r="E49" i="3"/>
  <c r="E97" i="3"/>
  <c r="F41" i="3"/>
  <c r="F72" i="3"/>
  <c r="E52" i="3"/>
  <c r="F81" i="3"/>
  <c r="F93" i="3"/>
  <c r="E66" i="3"/>
  <c r="E50" i="3"/>
  <c r="E73" i="3"/>
  <c r="F87" i="3"/>
  <c r="F40" i="3"/>
  <c r="E72" i="3"/>
  <c r="E57" i="3"/>
  <c r="E39" i="3"/>
  <c r="F37" i="3"/>
  <c r="E68" i="3"/>
  <c r="E42" i="3"/>
  <c r="F82" i="3"/>
  <c r="F33" i="3"/>
  <c r="N2" i="8"/>
  <c r="N3" i="8"/>
  <c r="N4" i="8"/>
  <c r="N5" i="8"/>
  <c r="N6" i="8"/>
  <c r="N7" i="8"/>
  <c r="N8" i="8" s="1"/>
  <c r="N9" i="8" s="1"/>
  <c r="N10" i="8" s="1"/>
  <c r="N11" i="8" s="1"/>
  <c r="N12" i="8" s="1"/>
  <c r="N13" i="8" s="1"/>
  <c r="N14" i="8" s="1"/>
  <c r="N15" i="8" s="1"/>
  <c r="N16" i="8" s="1"/>
  <c r="N17" i="8" s="1"/>
  <c r="N18" i="8" s="1"/>
  <c r="N19" i="8" s="1"/>
  <c r="N20" i="8" s="1"/>
  <c r="N21" i="8" s="1"/>
  <c r="N22" i="8" s="1"/>
  <c r="N23" i="8" s="1"/>
  <c r="N24" i="8" s="1"/>
  <c r="N25" i="8" s="1"/>
  <c r="N26" i="8" s="1"/>
  <c r="N27" i="8" s="1"/>
  <c r="N28" i="8" s="1"/>
  <c r="N29" i="8" s="1"/>
  <c r="N30" i="8" s="1"/>
  <c r="N31" i="8" s="1"/>
  <c r="N32" i="8" s="1"/>
  <c r="N33" i="8" s="1"/>
  <c r="N34" i="8" s="1"/>
  <c r="N35" i="8" s="1"/>
  <c r="N36" i="8" s="1"/>
  <c r="N37" i="8" s="1"/>
  <c r="N38" i="8" s="1"/>
  <c r="N39" i="8" s="1"/>
  <c r="N40" i="8" s="1"/>
  <c r="N41" i="8" s="1"/>
  <c r="N42" i="8" s="1"/>
  <c r="N43" i="8" s="1"/>
  <c r="N44" i="8" s="1"/>
  <c r="N45" i="8" s="1"/>
  <c r="N46" i="8" s="1"/>
  <c r="N47" i="8" s="1"/>
  <c r="N48" i="8" s="1"/>
  <c r="N49" i="8" s="1"/>
  <c r="N50" i="8" s="1"/>
  <c r="N51" i="8" s="1"/>
  <c r="N52" i="8" s="1"/>
  <c r="N53" i="8" s="1"/>
  <c r="N54" i="8" s="1"/>
  <c r="N55" i="8" s="1"/>
  <c r="N56" i="8" s="1"/>
  <c r="N57" i="8" s="1"/>
  <c r="N58" i="8" s="1"/>
  <c r="N59" i="8" s="1"/>
  <c r="N60" i="8" s="1"/>
  <c r="N61" i="8" s="1"/>
  <c r="N62" i="8" s="1"/>
  <c r="N63" i="8" s="1"/>
  <c r="N64" i="8" s="1"/>
  <c r="N65" i="8" s="1"/>
  <c r="N66" i="8" s="1"/>
  <c r="N67" i="8" s="1"/>
  <c r="N68" i="8" s="1"/>
  <c r="N69" i="8" s="1"/>
  <c r="N70" i="8" s="1"/>
  <c r="N71" i="8" s="1"/>
  <c r="N72" i="8" s="1"/>
  <c r="N73" i="8" s="1"/>
  <c r="N74" i="8" s="1"/>
  <c r="N75" i="8" s="1"/>
  <c r="N76" i="8" s="1"/>
  <c r="N77" i="8" s="1"/>
  <c r="N78" i="8" s="1"/>
  <c r="N79" i="8" s="1"/>
  <c r="N80" i="8" s="1"/>
  <c r="N81" i="8" s="1"/>
  <c r="N82" i="8" s="1"/>
  <c r="N83" i="8" s="1"/>
  <c r="N84" i="8" s="1"/>
  <c r="N85" i="8" s="1"/>
  <c r="N86" i="8" s="1"/>
  <c r="N87" i="8" s="1"/>
  <c r="N88" i="8" s="1"/>
  <c r="N89" i="8" s="1"/>
  <c r="N90" i="8" s="1"/>
  <c r="N91" i="8" s="1"/>
  <c r="N92" i="8" s="1"/>
  <c r="N93" i="8" s="1"/>
  <c r="N94" i="8" s="1"/>
  <c r="N95" i="8" s="1"/>
  <c r="N96" i="8" s="1"/>
  <c r="N97" i="8" s="1"/>
  <c r="N98" i="8" s="1"/>
  <c r="N99" i="8" s="1"/>
  <c r="N100" i="8" s="1"/>
  <c r="N101" i="8" s="1"/>
  <c r="N102" i="8" s="1"/>
  <c r="N103" i="8" s="1"/>
  <c r="N104" i="8" s="1"/>
  <c r="N105" i="8" s="1"/>
  <c r="N106" i="8" s="1"/>
  <c r="N107" i="8" s="1"/>
  <c r="N108" i="8" s="1"/>
  <c r="N109" i="8" s="1"/>
  <c r="N110" i="8" s="1"/>
  <c r="N111" i="8" s="1"/>
  <c r="N112" i="8" s="1"/>
  <c r="N113" i="8" s="1"/>
  <c r="N114" i="8" s="1"/>
  <c r="N115" i="8" s="1"/>
  <c r="N116" i="8" s="1"/>
  <c r="N117" i="8" s="1"/>
  <c r="N118" i="8" s="1"/>
  <c r="N119" i="8" s="1"/>
  <c r="N120" i="8" s="1"/>
  <c r="N121" i="8" s="1"/>
  <c r="N122" i="8" s="1"/>
  <c r="N123" i="8" s="1"/>
  <c r="N124" i="8" s="1"/>
  <c r="N125" i="8" s="1"/>
  <c r="N126" i="8" s="1"/>
  <c r="N127" i="8" s="1"/>
  <c r="N128" i="8" s="1"/>
  <c r="N129" i="8" s="1"/>
  <c r="N130" i="8" s="1"/>
  <c r="N131" i="8" s="1"/>
  <c r="N132" i="8" s="1"/>
  <c r="N133" i="8" s="1"/>
  <c r="N134" i="8" s="1"/>
  <c r="N135" i="8" s="1"/>
  <c r="N136" i="8" s="1"/>
  <c r="N137" i="8" s="1"/>
  <c r="N138" i="8" s="1"/>
  <c r="N139" i="8" s="1"/>
  <c r="N140" i="8" s="1"/>
  <c r="N141" i="8" s="1"/>
  <c r="N142" i="8" s="1"/>
  <c r="N143" i="8" s="1"/>
  <c r="N144" i="8" s="1"/>
  <c r="N145" i="8" s="1"/>
  <c r="N146" i="8" s="1"/>
  <c r="N147" i="8" s="1"/>
  <c r="N148" i="8" s="1"/>
  <c r="N149" i="8" s="1"/>
  <c r="N150" i="8" s="1"/>
  <c r="N151" i="8" s="1"/>
  <c r="N152" i="8" s="1"/>
  <c r="N153" i="8" s="1"/>
  <c r="N154" i="8" s="1"/>
  <c r="N155" i="8" s="1"/>
  <c r="N156" i="8" s="1"/>
  <c r="N157" i="8" s="1"/>
  <c r="N158" i="8" s="1"/>
  <c r="N159" i="8" s="1"/>
  <c r="N160" i="8" s="1"/>
  <c r="N161" i="8" s="1"/>
  <c r="N162" i="8" s="1"/>
  <c r="N163" i="8" s="1"/>
  <c r="N164" i="8" s="1"/>
  <c r="N165" i="8" s="1"/>
  <c r="N166" i="8" s="1"/>
  <c r="N167" i="8" s="1"/>
  <c r="N168" i="8" s="1"/>
  <c r="N169" i="8" s="1"/>
  <c r="N170" i="8" s="1"/>
  <c r="N171" i="8" s="1"/>
  <c r="N172" i="8" s="1"/>
  <c r="N173" i="8" s="1"/>
  <c r="N174" i="8" s="1"/>
  <c r="N175" i="8" s="1"/>
  <c r="N176" i="8" s="1"/>
  <c r="N177" i="8" s="1"/>
  <c r="N178" i="8" s="1"/>
  <c r="N179" i="8" s="1"/>
  <c r="N180" i="8" s="1"/>
  <c r="N181" i="8" s="1"/>
  <c r="N182" i="8" s="1"/>
  <c r="N183" i="8" s="1"/>
  <c r="N184" i="8" s="1"/>
  <c r="N185" i="8" s="1"/>
  <c r="N186" i="8" s="1"/>
  <c r="N187" i="8" s="1"/>
  <c r="N188" i="8" s="1"/>
  <c r="N189" i="8" s="1"/>
  <c r="N190" i="8" s="1"/>
  <c r="N191" i="8" s="1"/>
  <c r="N192" i="8" s="1"/>
  <c r="N193" i="8" s="1"/>
  <c r="N194" i="8" s="1"/>
  <c r="N195" i="8" s="1"/>
  <c r="N196" i="8" s="1"/>
  <c r="N197" i="8" s="1"/>
  <c r="N198" i="8" s="1"/>
  <c r="H114" i="4" l="1"/>
  <c r="B92" i="4"/>
  <c r="A37" i="3" l="1" a="1"/>
  <c r="A37" i="3" s="1"/>
  <c r="B99" i="4"/>
  <c r="D99" i="4" l="1" a="1"/>
  <c r="D99" i="4" s="1"/>
  <c r="C5" i="5" s="1"/>
  <c r="F114" i="4" l="1"/>
  <c r="E107" i="4"/>
  <c r="F107" i="4"/>
  <c r="D114" i="4"/>
  <c r="E114" i="4"/>
  <c r="D107" i="4"/>
  <c r="C107" i="4"/>
  <c r="B2" i="3"/>
  <c r="A115" i="4" l="1"/>
  <c r="A116" i="4" l="1"/>
  <c r="A117" i="4" l="1"/>
  <c r="A118" i="4" l="1"/>
  <c r="A119" i="4" l="1"/>
  <c r="A120" i="4" l="1"/>
  <c r="A121" i="4" l="1"/>
  <c r="A122" i="4" l="1"/>
  <c r="A123" i="4" l="1"/>
  <c r="A124" i="4" l="1"/>
  <c r="A125" i="4" l="1"/>
  <c r="A126" i="4" l="1"/>
  <c r="A127" i="4" l="1"/>
  <c r="B16" i="5" s="1"/>
  <c r="B15" i="5"/>
  <c r="A128" i="4" l="1"/>
  <c r="A129" i="4" l="1"/>
  <c r="A130" i="4" l="1"/>
  <c r="A131" i="4" l="1"/>
  <c r="A132" i="4" l="1"/>
  <c r="A133" i="4" l="1"/>
  <c r="A134" i="4" l="1"/>
  <c r="A135" i="4" l="1"/>
  <c r="A136" i="4" l="1"/>
  <c r="B26" i="5" s="1"/>
  <c r="B28" i="5" l="1"/>
  <c r="B21" i="5"/>
  <c r="B27" i="5"/>
  <c r="B17" i="5"/>
  <c r="B25" i="5"/>
  <c r="B22" i="5"/>
  <c r="B23" i="5"/>
  <c r="B19" i="5"/>
  <c r="B24" i="5"/>
  <c r="B29" i="5"/>
  <c r="B20" i="5"/>
  <c r="B30" i="5"/>
  <c r="B18"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<sst xmlns="http://schemas.openxmlformats.org/spreadsheetml/2006/main" count="3106" uniqueCount="764">
  <si>
    <t>Purpose of the Tool</t>
  </si>
  <si>
    <t>How should the tool be used?</t>
  </si>
  <si>
    <t>How to answer the questions</t>
  </si>
  <si>
    <t>When should the tool be used?</t>
  </si>
  <si>
    <t>Further support and resources</t>
  </si>
  <si>
    <t>A guide for commercial and procurement professionals</t>
  </si>
  <si>
    <t>PPN 009: Guidance on tackling modern slavery in government supply chains</t>
  </si>
  <si>
    <t>ITUC’s Global Rights Index</t>
  </si>
  <si>
    <t>The Responsible Sourcing Tool</t>
  </si>
  <si>
    <t>US Department of Labour</t>
  </si>
  <si>
    <t xml:space="preserve"> </t>
  </si>
  <si>
    <t>https://www.walkfree.org/global-slavery-index/</t>
  </si>
  <si>
    <t>(PA 2023) Procurement specific questionnaire</t>
  </si>
  <si>
    <t>Modern Slavery Assessment Tool</t>
  </si>
  <si>
    <t>Maintaining the tool</t>
  </si>
  <si>
    <t xml:space="preserve">Disclaimer </t>
  </si>
  <si>
    <t>General Guidance</t>
  </si>
  <si>
    <t>Input Guidance</t>
  </si>
  <si>
    <t>Guidance for the Key Details and Stakeholder Names inputs are provided in tooltips which appear when the cell is selected.</t>
  </si>
  <si>
    <r>
      <rPr>
        <b/>
        <sz val="11"/>
        <color rgb="FF000000"/>
        <rFont val="Calibri"/>
        <family val="2"/>
        <scheme val="minor"/>
      </rPr>
      <t>Industry Type:</t>
    </r>
    <r>
      <rPr>
        <sz val="11"/>
        <color rgb="FF000000"/>
        <rFont val="Calibri"/>
        <family val="2"/>
        <scheme val="minor"/>
      </rPr>
      <t xml:space="preserve"> Select the most appropriate description of the industry involved in the project.  The following options can be selected:
- Agriculture
- Car Washes
- Catering Services
- Cleaning Services
- Construction
-</t>
    </r>
    <r>
      <rPr>
        <sz val="11"/>
        <color rgb="FFFF0000"/>
        <rFont val="Calibri"/>
        <family val="2"/>
        <scheme val="minor"/>
      </rPr>
      <t xml:space="preserve"> </t>
    </r>
    <r>
      <rPr>
        <sz val="11"/>
        <color rgb="FF000000"/>
        <rFont val="Calibri"/>
        <family val="2"/>
        <scheme val="minor"/>
      </rPr>
      <t>Electronics &amp; ICT
- Events &amp; Hospitality Services, inc. Hotels/Venues
- Facilities Management
- Fishing and Fisheries
- Food Processing &amp; Production
- Garment/textile/footwear Production 
- Healthcare
- Logging
- Logistics - Transport &amp; Courier
- Logistics - Warehousing
- Manufacturing (where not elsewhere covered)
- Mining
- Nail Bars
- Recycling &amp; Waste
- Security Services 
- Social Care</t>
    </r>
  </si>
  <si>
    <t>This list is based on sectors listed as high risk in Section 2 of the PPN, as well as GLAA Industry Profiles.  Facilities Management has been included as it covers multiple high-risk areas such as Cleaning, Security and Catering, which may not be identified individually where a contract has a broad scope.</t>
  </si>
  <si>
    <r>
      <rPr>
        <b/>
        <sz val="11"/>
        <color theme="1"/>
        <rFont val="Calibri"/>
        <family val="2"/>
        <scheme val="minor"/>
      </rPr>
      <t>Commodity Type:</t>
    </r>
    <r>
      <rPr>
        <sz val="11"/>
        <color theme="1"/>
        <rFont val="Calibri"/>
        <family val="2"/>
        <scheme val="minor"/>
      </rPr>
      <t xml:space="preserve"> Select the most appropriate commodity being purchased or otherwise involved in the project.  The following options can be selected:
- Animals, Animal Feed &amp; Animal Products
- Branded &amp; Marketing Goods
- Cleaning Products
- Clothing, Footwear and Textiles
- Construction/Landscaping/Horticultural Materials, inc. Sand
- Decorations/Toys, inc. Footballs
- Electronics, including Batteries
- Fireworks and Matches
- Food/Drink
- Fuels &amp; Chemicals
- Furniture, Furnishings and Flooring
- Glass
- Health &amp; Beauty Products
- Incense
- Locks
- Medical Instruments and Products
- Minerals, including Metals, Salt and Sand
- Personal Protective Equipment (PPE)
- Plants and Flowers
- Rubber and Rubber Products
- Solar Products
- Timber, Bamboo and Related Products
- Tobacco
- Vehicles</t>
    </r>
  </si>
  <si>
    <r>
      <rPr>
        <b/>
        <sz val="11"/>
        <color theme="1"/>
        <rFont val="Calibri"/>
        <family val="2"/>
        <scheme val="minor"/>
      </rPr>
      <t xml:space="preserve">Nature of the Workforce: </t>
    </r>
    <r>
      <rPr>
        <sz val="11"/>
        <color theme="1"/>
        <rFont val="Calibri"/>
        <family val="2"/>
        <scheme val="minor"/>
      </rPr>
      <t xml:space="preserve"> This focuses on high risk characteristics relating to the workforce, recruitment and working environment.  Select any option which aligns with the nature of the workforce at any point in the supply chain, choosing the most prevalent if more than one issue is identified.  The following options can be selected:
- Dangerous or physically demanding work
- High numbers of vulnerable workers e.g. temporary/seasonal/agency/migrant workers or women/children
- Isolation of workers – due to working in rural locations, being home-based or in unmonitored and unregulated environments
- Reliance upon low-skilled or unskilled labour – typically low-paying/undervalued work often undertaken by vulnerable workers</t>
    </r>
  </si>
  <si>
    <r>
      <rPr>
        <b/>
        <sz val="11"/>
        <color theme="1"/>
        <rFont val="Calibri"/>
        <family val="2"/>
        <scheme val="minor"/>
      </rPr>
      <t xml:space="preserve">Business/Supply Chain Model: </t>
    </r>
    <r>
      <rPr>
        <sz val="11"/>
        <color theme="1"/>
        <rFont val="Calibri"/>
        <family val="2"/>
        <scheme val="minor"/>
      </rPr>
      <t>This focuses on whether the nature of the industry and its supply chain leads to higher risk of Modern Slavery, including where it is more difficult to identify incidences.  Select any of the options that align with the supply chain, choosing the most prevalent if more than one applies.  The following options can be selected:
- Complex employment relationships relying on agency, outsourced or subcontracted workers; high employer/worker separation
- Focus on profit margin: Rapid turnaround times, high production flexibility, low margins for high volumes
- Sub-contracting and complex supply chains - making it harder to know about conditions for workers in their supply chains
- Use of labour recruiters in supply chains - can increase the risk of trafficking and forced labour due to corruption</t>
    </r>
  </si>
  <si>
    <r>
      <rPr>
        <b/>
        <sz val="11"/>
        <color rgb="FF000000"/>
        <rFont val="Calibri"/>
        <family val="2"/>
        <scheme val="minor"/>
      </rPr>
      <t>Context-Dependent Risks:</t>
    </r>
    <r>
      <rPr>
        <sz val="11"/>
        <color rgb="FF000000"/>
        <rFont val="Calibri"/>
        <family val="2"/>
        <scheme val="minor"/>
      </rPr>
      <t xml:space="preserve"> This focuses on specific risks based on the operations of the suppliers within the supply chain.  Select which of the options is the most prevalent within the supply chain.  The following options can be selected:
- A lack of business and/or government accountability
- Absence of effective grievance mechanisms and representative workers’ organisations/collective agreements
- Inadequate labour laws and regulations in the country of origin with little or no enforcement 
- Presence of cheap labour &amp; high numbers of vulnerable workers e.g. women/children/migrants/minorities etc.
- Wars/conflicts
- High levels of poverty and unemployment
- Widespread discrimination against particular groups e.g. women or certain ethnic groups</t>
    </r>
  </si>
  <si>
    <t>Prevalence Highlighting</t>
  </si>
  <si>
    <t>Low Estimated Prevalence</t>
  </si>
  <si>
    <t>High Estimated Prevalence</t>
  </si>
  <si>
    <t>Not in GSI Dataset</t>
  </si>
  <si>
    <t>Procurement Key Details</t>
  </si>
  <si>
    <t>Contract name:</t>
  </si>
  <si>
    <t>Risk Characteristic Icons</t>
  </si>
  <si>
    <t>Contract reference:</t>
  </si>
  <si>
    <r>
      <rPr>
        <sz val="18"/>
        <color theme="1"/>
        <rFont val="Calibri"/>
        <family val="2"/>
        <scheme val="minor"/>
      </rPr>
      <t>▲</t>
    </r>
    <r>
      <rPr>
        <sz val="11"/>
        <color theme="1"/>
        <rFont val="Calibri"/>
        <family val="2"/>
        <scheme val="minor"/>
      </rPr>
      <t xml:space="preserve"> High Risk Characteristic</t>
    </r>
  </si>
  <si>
    <t>For the supply of:</t>
  </si>
  <si>
    <t>Completed by Name:</t>
  </si>
  <si>
    <r>
      <rPr>
        <sz val="22"/>
        <color theme="1"/>
        <rFont val="Calibri"/>
        <family val="2"/>
        <scheme val="minor"/>
      </rPr>
      <t>○</t>
    </r>
    <r>
      <rPr>
        <sz val="11"/>
        <color theme="1"/>
        <rFont val="Calibri"/>
        <family val="2"/>
        <scheme val="minor"/>
      </rPr>
      <t xml:space="preserve"> Low Risk Characteristic</t>
    </r>
  </si>
  <si>
    <t>Contract Value:</t>
  </si>
  <si>
    <r>
      <rPr>
        <sz val="14"/>
        <color rgb="FF000000"/>
        <rFont val="Calibri"/>
        <family val="2"/>
        <scheme val="minor"/>
      </rPr>
      <t>→→</t>
    </r>
    <r>
      <rPr>
        <sz val="11"/>
        <color rgb="FF000000"/>
        <rFont val="Calibri"/>
        <family val="2"/>
        <scheme val="minor"/>
      </rPr>
      <t xml:space="preserve"> Risk dependent on supply chain - see right
(Commodity Type only)</t>
    </r>
  </si>
  <si>
    <t>Please include the names below of stakeholders you have discussed any/all elements of risk with:</t>
  </si>
  <si>
    <t>End User</t>
  </si>
  <si>
    <t>Budget Holder</t>
  </si>
  <si>
    <t>⁇ No Modern Slavery prevalence data for country</t>
  </si>
  <si>
    <t>Contract Manager</t>
  </si>
  <si>
    <t>Project Lead</t>
  </si>
  <si>
    <t>Commercial Lead</t>
  </si>
  <si>
    <t>Suppliers</t>
  </si>
  <si>
    <t>Any other stakeholders (Please State Role)</t>
  </si>
  <si>
    <t>Modern Slavery Risk Characteristics</t>
  </si>
  <si>
    <t>Please select from the drop-down lists in the shaded cells</t>
  </si>
  <si>
    <t>Country/Commodity Sourcing Confirmation - Child/Forced Labour risks based on Commodity input</t>
  </si>
  <si>
    <t>Industry Type</t>
  </si>
  <si>
    <t>Select the most relevant industry to the procurement, or select 'None of the Above' if not listed</t>
  </si>
  <si>
    <t>Please confirm whether there is a risk that you may be procuring a commodity from a country within the list below</t>
  </si>
  <si>
    <t>Manufacturing (where not elsewhere covered)</t>
  </si>
  <si>
    <t>Procurements in this list may take place</t>
  </si>
  <si>
    <t>Provide details here…</t>
  </si>
  <si>
    <t>Commodity Type</t>
  </si>
  <si>
    <t>Select the most relevant commodity to the procurement, or select 'None of the Above' if not listed</t>
  </si>
  <si>
    <t>Please be aware of the below commodities with high risks of child labour or forced labour, which may be within the supply chain:   (ILAB data)</t>
  </si>
  <si>
    <t>Medical Instruments and Products</t>
  </si>
  <si>
    <t>Nature of Workforce</t>
  </si>
  <si>
    <t xml:space="preserve">In the case of more than one risk, select the most prevalent </t>
  </si>
  <si>
    <t>None of the Above</t>
  </si>
  <si>
    <t>Business/Supply Chain Model</t>
  </si>
  <si>
    <t>In the case of more than one risk, select the most prevalent</t>
  </si>
  <si>
    <t>Sub-contracting and complex supply chains - making it harder to know about conditions for workers in their supply chains</t>
  </si>
  <si>
    <t>Context-Dependent Risks</t>
  </si>
  <si>
    <t xml:space="preserve">Inadequate labour laws and regulations in the country of origin with little or no enforcement </t>
  </si>
  <si>
    <t>Typical Supply Chain Location</t>
  </si>
  <si>
    <t>Select countries in the drop-downs below.  You can type to search.</t>
  </si>
  <si>
    <t>Identified countries are highlighted according to their estimated MS prevalence (GSI Data)</t>
  </si>
  <si>
    <t>Malaysia</t>
  </si>
  <si>
    <t>UK</t>
  </si>
  <si>
    <t>Global Slavery Index Data and Final Scoring</t>
  </si>
  <si>
    <t>Data Versions</t>
  </si>
  <si>
    <t>High-Risk Country/Commodity Pairings</t>
  </si>
  <si>
    <t>Country</t>
  </si>
  <si>
    <t>Estimated prevalence of modern slavery per 1,000 population</t>
  </si>
  <si>
    <t>First4Chars</t>
  </si>
  <si>
    <t>Selected?</t>
  </si>
  <si>
    <t>Last Updated</t>
  </si>
  <si>
    <t>GSI Name</t>
  </si>
  <si>
    <t>Country/Area</t>
  </si>
  <si>
    <t>Good</t>
  </si>
  <si>
    <t>ILAB Commodity</t>
  </si>
  <si>
    <t>Afghanistan</t>
  </si>
  <si>
    <t>Global Slavery Index</t>
  </si>
  <si>
    <t>Bricks</t>
  </si>
  <si>
    <t>Countries</t>
  </si>
  <si>
    <t>Bolivia</t>
  </si>
  <si>
    <t>Zinc</t>
  </si>
  <si>
    <t>Indium [South Korea] using Zinc [Bolivia], used in Conductive Glass, Touchscreen Devices, Flatscreen Devices, Televisions, Phones, Tablets, Semiconductors, Solar Panels, Indium-tin Oxide, and LEDs</t>
  </si>
  <si>
    <t>Albania</t>
  </si>
  <si>
    <t>US Labour List</t>
  </si>
  <si>
    <t>Carpets</t>
  </si>
  <si>
    <t>Bovines</t>
  </si>
  <si>
    <t>China</t>
  </si>
  <si>
    <t>Aluminum</t>
  </si>
  <si>
    <t>Auto Parts and Components (Aluminum) [China] using Aluminum [China], used in Automotive Vehicles, Aircrafts, Household Appliances, Healthcare Equipment, Electronics, Food Packaging, Beverage Cans, Construction Supplies and Tools</t>
  </si>
  <si>
    <t>Algeria</t>
  </si>
  <si>
    <t>Coal</t>
  </si>
  <si>
    <t>Cattle</t>
  </si>
  <si>
    <t>Cotton</t>
  </si>
  <si>
    <t>Garments, Textiles, Thread/Yarn (Cotton) [China] using Cotton [China], used in Garments, Textiles, Cotton-Based Products</t>
  </si>
  <si>
    <t>Andorra</t>
  </si>
  <si>
    <t>Poppies</t>
  </si>
  <si>
    <t>Fish</t>
  </si>
  <si>
    <t>Garments (Cotton) [Vietnam] using Cotton [China], used in Garments, Textiles, Cotton-Based Products</t>
  </si>
  <si>
    <t>Angola</t>
  </si>
  <si>
    <t>Salt</t>
  </si>
  <si>
    <t>Goats</t>
  </si>
  <si>
    <t>Polysilicon</t>
  </si>
  <si>
    <t>Photovoltaic Ingots/Wafers, Solar Cells/Modules [China] using Polysilicon [China], used in Silica-Based Products, Solar Products, Semiconductors</t>
  </si>
  <si>
    <t>Antigua and Barbuda</t>
  </si>
  <si>
    <t>Diamonds</t>
  </si>
  <si>
    <t>Hogs</t>
  </si>
  <si>
    <t xml:space="preserve">Côte d’Ivoire </t>
  </si>
  <si>
    <t>Cocoa</t>
  </si>
  <si>
    <t>Chocolate and Cocoa Products [Côte d’Ivoire ] using Cocoa [Côte d’Ivoire ], used in Candy, Baked Goods, Beverages, Ice Cream, Cosmetic Products, Soap</t>
  </si>
  <si>
    <t>Argentina</t>
  </si>
  <si>
    <t>Lobsters</t>
  </si>
  <si>
    <t>Chocolate and Cocoa Products [Netherlands] using Cocoa [Côte d’Ivoire and Ghana], used in Candy, Baked Goods, Beverages, Ice Cream, Cosmetic Products, Soap</t>
  </si>
  <si>
    <t>Armenia</t>
  </si>
  <si>
    <t>Nile Perch (fish)</t>
  </si>
  <si>
    <t>Democratic Republic of the Congo</t>
  </si>
  <si>
    <t>Cobalt Ore (heterogenite)</t>
  </si>
  <si>
    <t>Lithium-Ion Batteries [China] using Cobalt Ore (heterogenite) [Democratic Republic of the Congo], used in Cell Phones, Electric Cars, Laptops, Medical Implants and Prosthetics, Turbine Blades, Vacuums, Aircraft Engines</t>
  </si>
  <si>
    <t>Australia</t>
  </si>
  <si>
    <t>Garlic</t>
  </si>
  <si>
    <t>Sheep</t>
  </si>
  <si>
    <t>Copper Ore</t>
  </si>
  <si>
    <t>Electrolytic Copper Products [China] using Copper Ore [Democratic Republic of the Congo], used in Electric Vehicles, Electrical Equipment, Electrical Wiring, Brass, Steel, Telecommunications Products, Construction Materials</t>
  </si>
  <si>
    <t>Austria</t>
  </si>
  <si>
    <t>Garments</t>
  </si>
  <si>
    <t>Shellfish</t>
  </si>
  <si>
    <t>Lithium-Ion Batteries [China] using Copper Ore [Democratic Republic of the Congo], used in Cell Phones, Electric Cars, Laptops, Medical Implants and Prosthetics, Turbine Blades, Vacuums, Aircraft Engines</t>
  </si>
  <si>
    <t>Azerbaijan</t>
  </si>
  <si>
    <t>Grapes</t>
  </si>
  <si>
    <t>Shrimp</t>
  </si>
  <si>
    <t>Copper Products [Democratic Republic of the Congo] using Copper Ore [Democratic Republic of the Congo], used in Electric Vehicles, Electrical Equipment, Electrical Wiring, Brass, Steel, Telecommunications Products, Construction Materials</t>
  </si>
  <si>
    <t>The Bahamas</t>
  </si>
  <si>
    <t>Olives</t>
  </si>
  <si>
    <t>Squid</t>
  </si>
  <si>
    <t>Dominican Republic</t>
  </si>
  <si>
    <t>Sugarcane</t>
  </si>
  <si>
    <t>Bagasse, Furfural, Sugar Products and Rum [Dominican Republic] using Sugarcane [Dominican Republic], used in Beverages, Alcoholic Beverages, Candy, Baked Goods, Processed Food Products, Animal Feed, Paper, Pulp, Construction Materials, Biofuels, Industrial
Chemicals, Medicines, Medicinal Alcohol</t>
  </si>
  <si>
    <t>Bahrain</t>
  </si>
  <si>
    <t>Strawberries</t>
  </si>
  <si>
    <t>Tilapia (fish)</t>
  </si>
  <si>
    <t>Ghana</t>
  </si>
  <si>
    <t>Chocolate and Cocoa Products [Ghana] using Cocoa [Ghana], used in Candy, Baked Goods, Beverages, Ice Cream, Cosmetic Products, Soap</t>
  </si>
  <si>
    <t>Bangladesh</t>
  </si>
  <si>
    <t>Tobacco</t>
  </si>
  <si>
    <t>Açaí Berries</t>
  </si>
  <si>
    <t>Barbados</t>
  </si>
  <si>
    <t>Tomatoes</t>
  </si>
  <si>
    <t>Baked Goods</t>
  </si>
  <si>
    <t>Indonesia</t>
  </si>
  <si>
    <t>Palm Fruit</t>
  </si>
  <si>
    <t>Palm Oil, Oleochemicals [Indonesia] using Palm Fruit [Indonesia], used in Cooking Oils, Animal Feed, Baked Goods, Biofuels, Beverages, Household and Industrial Products, Infant Formula, Personal Care Products and Cosmetic Products</t>
  </si>
  <si>
    <t>Belarus</t>
  </si>
  <si>
    <t>Yerba Mate (stimulant plant)</t>
  </si>
  <si>
    <t>Bananas</t>
  </si>
  <si>
    <t>Malawi</t>
  </si>
  <si>
    <t>Cigarettes (Tobacco) [Malawi] using Tobacco [Malawi], used in Tobacco Products</t>
  </si>
  <si>
    <t>Belgium</t>
  </si>
  <si>
    <t xml:space="preserve">Beans </t>
  </si>
  <si>
    <t>Cigarettes (Tobacco) [Russia] using Tobacco [Malawi], used in Tobacco Products</t>
  </si>
  <si>
    <t>Belize</t>
  </si>
  <si>
    <t>Bidis (hand-rolled cigarettes)</t>
  </si>
  <si>
    <t>Beans (green beans)</t>
  </si>
  <si>
    <t>Cigarettes (Tobacco)[Ukraine] using Tobacco [Malawi], used in Tobacco Products</t>
  </si>
  <si>
    <t>Benin</t>
  </si>
  <si>
    <t>Beans (green, soy, yellow)</t>
  </si>
  <si>
    <t>Cooking Oil (Palm Oil Blends) [India] using Palm Fruit [Malaysia], used in Animal Feed, Baked Goods, Beverages, Household and Industrial Products, Personal Care Products, Cosmetic Products, Infant Formula, Shortening, Pet Food</t>
  </si>
  <si>
    <t>Bhutan</t>
  </si>
  <si>
    <t>Dried Fish</t>
  </si>
  <si>
    <t>Beef</t>
  </si>
  <si>
    <t>Biofuel, Cooking Oil, Palm Oil, Oleochemicals [Malaysia] using Palm Fruit [Malaysia], used in Animal Feed, Baked Goods, Beverages, Household and Industrial Products, Personal Care Products, Cosmetic Products, Infant Formula, Shortening, Pet Food</t>
  </si>
  <si>
    <t>Footwear</t>
  </si>
  <si>
    <t>Brazil Nuts/Chestnuts</t>
  </si>
  <si>
    <t>Philippines</t>
  </si>
  <si>
    <t>Coconut</t>
  </si>
  <si>
    <t>Coconut Oil, Copra Meal [Philippines] using Coconut [Philippines], used in Animal Feed, Household and Industrial Items, Bakery Items, Personal Care and Cosmetic Products</t>
  </si>
  <si>
    <t>Bosnia and Herzegovina</t>
  </si>
  <si>
    <t>Furniture (steel)</t>
  </si>
  <si>
    <t>Broccoli</t>
  </si>
  <si>
    <t>Thailand</t>
  </si>
  <si>
    <t>Animal Feed, Fish Meal/Oil [Thailand] using Fish [Thailand], used in Shrimp, Poultry, Cosmetics, Supplements, Pet Food</t>
  </si>
  <si>
    <t>Botswana</t>
  </si>
  <si>
    <t>Cabbages</t>
  </si>
  <si>
    <t>Brazil</t>
  </si>
  <si>
    <t>Glass</t>
  </si>
  <si>
    <t>Carrots</t>
  </si>
  <si>
    <t>Brunei</t>
  </si>
  <si>
    <t>Jute (textiles)</t>
  </si>
  <si>
    <t>Cashews</t>
  </si>
  <si>
    <t>Bulgaria</t>
  </si>
  <si>
    <t>Leather</t>
  </si>
  <si>
    <t>Cereal Grains</t>
  </si>
  <si>
    <t>Burkina Faso</t>
  </si>
  <si>
    <t>Matches</t>
  </si>
  <si>
    <t>Chile Peppers</t>
  </si>
  <si>
    <t>Burundi</t>
  </si>
  <si>
    <t>Poultry</t>
  </si>
  <si>
    <t>Citrus Fruits</t>
  </si>
  <si>
    <t>Cambodia</t>
  </si>
  <si>
    <t>Cloves</t>
  </si>
  <si>
    <t>Cameroon</t>
  </si>
  <si>
    <t>Canada</t>
  </si>
  <si>
    <t>Soap</t>
  </si>
  <si>
    <t>Coconuts</t>
  </si>
  <si>
    <t>Cape Verde</t>
  </si>
  <si>
    <t>Textiles</t>
  </si>
  <si>
    <t>Corn</t>
  </si>
  <si>
    <t>Central African Republic</t>
  </si>
  <si>
    <t>Furniture</t>
  </si>
  <si>
    <t>Cucumbers</t>
  </si>
  <si>
    <t>Chad</t>
  </si>
  <si>
    <t>Lumber</t>
  </si>
  <si>
    <t>Cumin</t>
  </si>
  <si>
    <t>Chile</t>
  </si>
  <si>
    <t>Dairy Products</t>
  </si>
  <si>
    <t>Colombia</t>
  </si>
  <si>
    <t>Eggplants</t>
  </si>
  <si>
    <t>Comoros</t>
  </si>
  <si>
    <t xml:space="preserve">Fruits (Pome and Stone) </t>
  </si>
  <si>
    <t>Costa Rica</t>
  </si>
  <si>
    <t>Granite (crushed)</t>
  </si>
  <si>
    <t>Ivory Coast</t>
  </si>
  <si>
    <t>Croatia</t>
  </si>
  <si>
    <t>Hazelnuts</t>
  </si>
  <si>
    <t>Cuba</t>
  </si>
  <si>
    <t>Lettuce</t>
  </si>
  <si>
    <t>Cyprus</t>
  </si>
  <si>
    <t>Coca (stimulant plant)</t>
  </si>
  <si>
    <t>Manioc/Cassava</t>
  </si>
  <si>
    <t>Czechia</t>
  </si>
  <si>
    <t>Meat</t>
  </si>
  <si>
    <t>Gold</t>
  </si>
  <si>
    <t>Melons</t>
  </si>
  <si>
    <t>Denmark</t>
  </si>
  <si>
    <t>Lead</t>
  </si>
  <si>
    <t>Djibouti</t>
  </si>
  <si>
    <t>Peanuts</t>
  </si>
  <si>
    <t>Onions</t>
  </si>
  <si>
    <t>Dominica</t>
  </si>
  <si>
    <t>Silver</t>
  </si>
  <si>
    <t>Ecuador</t>
  </si>
  <si>
    <t>Tin</t>
  </si>
  <si>
    <t>Pepper</t>
  </si>
  <si>
    <t>Egypt</t>
  </si>
  <si>
    <t>Peppers</t>
  </si>
  <si>
    <t>El Salvador</t>
  </si>
  <si>
    <t>Pineapples</t>
  </si>
  <si>
    <t>Equatorial Guinea</t>
  </si>
  <si>
    <t>Potatoes</t>
  </si>
  <si>
    <t>Eritrea</t>
  </si>
  <si>
    <t>Estonia</t>
  </si>
  <si>
    <t>Pulses (legumes)</t>
  </si>
  <si>
    <t>Eswatini</t>
  </si>
  <si>
    <t>Rice</t>
  </si>
  <si>
    <t>Ethiopia</t>
  </si>
  <si>
    <t>Sesame</t>
  </si>
  <si>
    <t>Federated States of Micronesia</t>
  </si>
  <si>
    <t>Ceramics</t>
  </si>
  <si>
    <t>Fiji</t>
  </si>
  <si>
    <t>Charcoal</t>
  </si>
  <si>
    <t>Sugar Beets</t>
  </si>
  <si>
    <t>Finland</t>
  </si>
  <si>
    <t>France</t>
  </si>
  <si>
    <t>Coffee</t>
  </si>
  <si>
    <t>Sweet Potatoes</t>
  </si>
  <si>
    <t>Gabon</t>
  </si>
  <si>
    <t>Tomato Products</t>
  </si>
  <si>
    <t>The Gambia</t>
  </si>
  <si>
    <t>Georgia</t>
  </si>
  <si>
    <t>Vanilla</t>
  </si>
  <si>
    <t>Germany</t>
  </si>
  <si>
    <t>Wheat</t>
  </si>
  <si>
    <t>Alcoholic Beverages</t>
  </si>
  <si>
    <t>Greece</t>
  </si>
  <si>
    <t xml:space="preserve">Grenada </t>
  </si>
  <si>
    <t>Tea</t>
  </si>
  <si>
    <t>Guatemala</t>
  </si>
  <si>
    <t>Guinea</t>
  </si>
  <si>
    <t>Jujubes</t>
  </si>
  <si>
    <t>Guinea-Bissau</t>
  </si>
  <si>
    <t>Khat (stimulant)</t>
  </si>
  <si>
    <t>Guyana</t>
  </si>
  <si>
    <t>Khat/Miraa (stimulant plant)</t>
  </si>
  <si>
    <t>Haiti</t>
  </si>
  <si>
    <t>Sisal</t>
  </si>
  <si>
    <t>Honduras</t>
  </si>
  <si>
    <t>Cottonseed (hybrid)</t>
  </si>
  <si>
    <t>Hong Kong</t>
  </si>
  <si>
    <t>Timber</t>
  </si>
  <si>
    <t>Flowers</t>
  </si>
  <si>
    <t>Hungary</t>
  </si>
  <si>
    <t>Iceland</t>
  </si>
  <si>
    <t>Sunflowers</t>
  </si>
  <si>
    <t>India</t>
  </si>
  <si>
    <t>Granite</t>
  </si>
  <si>
    <t>Iran</t>
  </si>
  <si>
    <t>Burma</t>
  </si>
  <si>
    <t>Bamboo</t>
  </si>
  <si>
    <t>Iraq</t>
  </si>
  <si>
    <t>Ireland</t>
  </si>
  <si>
    <t>Teak</t>
  </si>
  <si>
    <t>Israel</t>
  </si>
  <si>
    <t>Italy</t>
  </si>
  <si>
    <t>Jamaica</t>
  </si>
  <si>
    <t>Jade</t>
  </si>
  <si>
    <t>Japan</t>
  </si>
  <si>
    <t>Palm Thatch</t>
  </si>
  <si>
    <t>Embellished Textiles</t>
  </si>
  <si>
    <t>Jordan</t>
  </si>
  <si>
    <t>Fashion Accessories</t>
  </si>
  <si>
    <t>Kazakhstan</t>
  </si>
  <si>
    <t>Rubber</t>
  </si>
  <si>
    <t>Kenya</t>
  </si>
  <si>
    <t>Rubies</t>
  </si>
  <si>
    <t>Footwear (sandals)</t>
  </si>
  <si>
    <t>Kiribati</t>
  </si>
  <si>
    <t>Kosovo</t>
  </si>
  <si>
    <t>Glass Bangles</t>
  </si>
  <si>
    <t>Kuwait</t>
  </si>
  <si>
    <t>Gloves</t>
  </si>
  <si>
    <t>Kyrgyzstan</t>
  </si>
  <si>
    <t>Laos</t>
  </si>
  <si>
    <t>Latvia</t>
  </si>
  <si>
    <t>Leather Goods/Accessories</t>
  </si>
  <si>
    <t>Lebanon</t>
  </si>
  <si>
    <t>Lesotho</t>
  </si>
  <si>
    <t>Liberia</t>
  </si>
  <si>
    <t>Rubber Gloves</t>
  </si>
  <si>
    <t>Libya</t>
  </si>
  <si>
    <t>Silk Cocoons</t>
  </si>
  <si>
    <t>Liechtenstein</t>
  </si>
  <si>
    <t>Silk Fabric</t>
  </si>
  <si>
    <t>Lithuania</t>
  </si>
  <si>
    <t>Silk Thread</t>
  </si>
  <si>
    <t>Luxembourg</t>
  </si>
  <si>
    <t>Madagascar</t>
  </si>
  <si>
    <t>Textiles (hand-woven)</t>
  </si>
  <si>
    <t>Thread/Yarn</t>
  </si>
  <si>
    <t>Maldives</t>
  </si>
  <si>
    <t>Amber</t>
  </si>
  <si>
    <t>Mali</t>
  </si>
  <si>
    <t>Malta</t>
  </si>
  <si>
    <t>Emeralds</t>
  </si>
  <si>
    <t>Marshall Islands</t>
  </si>
  <si>
    <t>Gems</t>
  </si>
  <si>
    <t>Mauritania</t>
  </si>
  <si>
    <t>Mauritius</t>
  </si>
  <si>
    <t>Mexico</t>
  </si>
  <si>
    <t>Sapphires</t>
  </si>
  <si>
    <t>Moldova</t>
  </si>
  <si>
    <t>Tanzanite (gems)</t>
  </si>
  <si>
    <t>Monaco</t>
  </si>
  <si>
    <t>Artificial Flowers</t>
  </si>
  <si>
    <t>Mongolia</t>
  </si>
  <si>
    <t>Bricks (clay)</t>
  </si>
  <si>
    <t>Montenegro</t>
  </si>
  <si>
    <t>Caustic Soda</t>
  </si>
  <si>
    <t>Cement</t>
  </si>
  <si>
    <t>Morocco</t>
  </si>
  <si>
    <t>Christmas Decorations</t>
  </si>
  <si>
    <t>Mozambique</t>
  </si>
  <si>
    <t>Myanmar</t>
  </si>
  <si>
    <t>Namibia</t>
  </si>
  <si>
    <t>Electronics</t>
  </si>
  <si>
    <t>Nauru</t>
  </si>
  <si>
    <t>Fireworks</t>
  </si>
  <si>
    <t>Nepal</t>
  </si>
  <si>
    <t>Netherlands</t>
  </si>
  <si>
    <t>Gravel (crushed stones)</t>
  </si>
  <si>
    <t>New Zealand</t>
  </si>
  <si>
    <t>Gypsum (mineral)</t>
  </si>
  <si>
    <t>Nicaragua</t>
  </si>
  <si>
    <t>Mica</t>
  </si>
  <si>
    <t>Niger</t>
  </si>
  <si>
    <t>Hair Products</t>
  </si>
  <si>
    <t>Nigeria</t>
  </si>
  <si>
    <t>Sand</t>
  </si>
  <si>
    <t>North Korea</t>
  </si>
  <si>
    <t>Metallurgical Grade Silicon</t>
  </si>
  <si>
    <t>Sandstone</t>
  </si>
  <si>
    <t>North Macedonia</t>
  </si>
  <si>
    <t>Nails</t>
  </si>
  <si>
    <t>Stones</t>
  </si>
  <si>
    <t>Norway</t>
  </si>
  <si>
    <t>Stones (limestone)</t>
  </si>
  <si>
    <t>Oman</t>
  </si>
  <si>
    <t>Polyvinyl Chloride</t>
  </si>
  <si>
    <t>Stones (pumice)</t>
  </si>
  <si>
    <t>Pakistan</t>
  </si>
  <si>
    <t>Trona (mineral)</t>
  </si>
  <si>
    <t>Palau</t>
  </si>
  <si>
    <t>Panama</t>
  </si>
  <si>
    <t>Brassware</t>
  </si>
  <si>
    <t>Papua New Guinea</t>
  </si>
  <si>
    <t>Paraguay</t>
  </si>
  <si>
    <t>Toys</t>
  </si>
  <si>
    <t>Peru</t>
  </si>
  <si>
    <t>Iron</t>
  </si>
  <si>
    <t>Poland</t>
  </si>
  <si>
    <t>Portugal</t>
  </si>
  <si>
    <t>Lithium</t>
  </si>
  <si>
    <t>Qatar</t>
  </si>
  <si>
    <t>Manganese</t>
  </si>
  <si>
    <t>Congo</t>
  </si>
  <si>
    <t>Romania</t>
  </si>
  <si>
    <t>Russia</t>
  </si>
  <si>
    <t>Nickel</t>
  </si>
  <si>
    <t>Rwanda</t>
  </si>
  <si>
    <t>Pornography</t>
  </si>
  <si>
    <t>Samoa</t>
  </si>
  <si>
    <t>Recovered Metals (electronic waste)</t>
  </si>
  <si>
    <t>San Marino</t>
  </si>
  <si>
    <t>Sao Tome and Principe</t>
  </si>
  <si>
    <t>Tantalum Ore (coltan)</t>
  </si>
  <si>
    <t>Saudi Arabia</t>
  </si>
  <si>
    <t>Côte d'Ivoire</t>
  </si>
  <si>
    <t>Senegal</t>
  </si>
  <si>
    <t>Tin Ore (cassiterite)</t>
  </si>
  <si>
    <t>Serbia</t>
  </si>
  <si>
    <t>Tungsten Ore (wolframite)</t>
  </si>
  <si>
    <t>Seychelles</t>
  </si>
  <si>
    <t>Sierra Leone</t>
  </si>
  <si>
    <t>Singapore</t>
  </si>
  <si>
    <t>Slovakia</t>
  </si>
  <si>
    <t>Slovenia</t>
  </si>
  <si>
    <t>Solomon Islands</t>
  </si>
  <si>
    <t>Somalia</t>
  </si>
  <si>
    <t>South Africa</t>
  </si>
  <si>
    <t>South Korea</t>
  </si>
  <si>
    <t>South Sudan</t>
  </si>
  <si>
    <t>Spain</t>
  </si>
  <si>
    <t>Incense (agarbatti)</t>
  </si>
  <si>
    <t>Sri Lanka</t>
  </si>
  <si>
    <t>Locks</t>
  </si>
  <si>
    <t>St Kitts and Nevis</t>
  </si>
  <si>
    <t>St Lucia</t>
  </si>
  <si>
    <t>St Vincent and the Grenadines</t>
  </si>
  <si>
    <t>Pyrotechnics</t>
  </si>
  <si>
    <t>Sudan</t>
  </si>
  <si>
    <t>Soccer Balls</t>
  </si>
  <si>
    <t>Suriname</t>
  </si>
  <si>
    <t>Surgical Instruments</t>
  </si>
  <si>
    <t>Sweden</t>
  </si>
  <si>
    <t>Switzerland</t>
  </si>
  <si>
    <t>Syria</t>
  </si>
  <si>
    <t>Taiwan</t>
  </si>
  <si>
    <t>Tajikistan</t>
  </si>
  <si>
    <t>Tanzania</t>
  </si>
  <si>
    <t>Timor-Leste</t>
  </si>
  <si>
    <t>Togo</t>
  </si>
  <si>
    <t>Tonga</t>
  </si>
  <si>
    <t>Trinidad and Tobago</t>
  </si>
  <si>
    <t>Tunisia</t>
  </si>
  <si>
    <t>Turkey</t>
  </si>
  <si>
    <t>Turkmenistan</t>
  </si>
  <si>
    <t>Tuvalu</t>
  </si>
  <si>
    <t>Uganda</t>
  </si>
  <si>
    <t>Ukraine</t>
  </si>
  <si>
    <t>United Arab Emirates</t>
  </si>
  <si>
    <t>United Kingdom</t>
  </si>
  <si>
    <t>United States of America</t>
  </si>
  <si>
    <t>Uruguay</t>
  </si>
  <si>
    <t>Uzbekistan</t>
  </si>
  <si>
    <t>Vanuatu</t>
  </si>
  <si>
    <t>Vatican City</t>
  </si>
  <si>
    <t>Venezuela</t>
  </si>
  <si>
    <t>Vietnam</t>
  </si>
  <si>
    <t>Yemen</t>
  </si>
  <si>
    <t>Zambia</t>
  </si>
  <si>
    <t>Zimbabwe</t>
  </si>
  <si>
    <t>Other</t>
  </si>
  <si>
    <t>Don't Know</t>
  </si>
  <si>
    <t>Kyrgyz Republic</t>
  </si>
  <si>
    <t>Turkey (Türkiye)</t>
  </si>
  <si>
    <t>INDUSTRY</t>
  </si>
  <si>
    <t>Please identify sourcing geographies where it will deliver services or manufacture goods for the contract where there is a high risk of human rights abuse. Please provide evidence of how products are tracked to source.</t>
  </si>
  <si>
    <t xml:space="preserve">Please confirm whether there will be the use of recruitment agencies to recruit the workers who will deliver the contract. If so, please detail the due diligence undertaken on the agency/ agencies and how you will ensure that workers are treated fairly and paid properly. </t>
  </si>
  <si>
    <t>Please provide your organisational policy clearly stating the minimum age for employment for any workers who will deliver the contract is in line with national law or international minimum standards, whichever is higher.</t>
  </si>
  <si>
    <t>Please provide evidence that workers who will deliver the contract are free to join a Trade Union/collective agreement.</t>
  </si>
  <si>
    <t xml:space="preserve">Please provide confirmation that your organisation is not subject to (or aware of) any ongoing investigations or charges in relation to modern slavery and human rights abuses in respect of the workers and supply chain that will deliver the contract. </t>
  </si>
  <si>
    <t>Please confirm that workers who will deliver the contract are aware of their rights and have employment contracts in place. Examples of evidence may include training materials or induction packs where workers' rights are outlined and example contracts.</t>
  </si>
  <si>
    <t>Please detail how your organisation will commit to fair working practices for workers engaged in the delivery of the contract (including any agency or sub-contracted workers). Examples of evidence may include service-level agreements that are in place with agencies.</t>
  </si>
  <si>
    <t>Please provide evidence that all workers delivering the contract are paid a fair rate of pay, (in line with relevant national context) and that this is not undermined by recruitment fees (e.g. excessive charges for accommodation and transport or personal protective equipment).</t>
  </si>
  <si>
    <t>Please confirm that your organisation has a zero-tolerance policy on violence, exploitation and abuse of children, including but not limited to sexual exploitation, applicable to any workers or supply chain workers who will deliver the contract. Please provide evidence of relevant organisational policies and processes.</t>
  </si>
  <si>
    <t>Please confirm that workers who will deliver the contract are free to leave to find work elsewhere. Examples of evidence may be relevant workers' contractual terms or materials given to workers around their rights.</t>
  </si>
  <si>
    <t>Please provide evidence that passports of the workers’ who will deliver the contract are not retained, such as an organisational policy.</t>
  </si>
  <si>
    <t>Please confirm whether an effective whistleblowing/ grievance mechanism is in place for workers and supply chain workers who will deliver the contract and provide evidence that workers are informed of these mechanisms.</t>
  </si>
  <si>
    <t>Please detail whether workers are charged for items which are necessary for them to perform their role in delivering the contract  e.g. uniforms, Personal Protective Equipment etc. Please give evidence that no worker who will deliver the contract has had or will have to pay for employment.</t>
  </si>
  <si>
    <t>Please outline any actions taken or being planned to tackle modern slavery and human rights abuses within your organisation and the supply chains that will deliver the contract, providing evidence where relevant.</t>
  </si>
  <si>
    <t>Please confirm whether there is a provision of training on modern slavery and human rights abuses for employees and personnel with responsibility for supply chain management in respect of the workers and supply chain that will deliver the contract. Examples of evidence may include excerpts of training materials or metrics detailing how many employees have received training in the past financial/ calendar year.</t>
  </si>
  <si>
    <t>Please disclose your organisation's human rights due diligence processes in respect of the workers and supply chain that will deliver the contract.</t>
  </si>
  <si>
    <t>Confirm what steps are being taken to trace the production of the solar panels in your procurement and to assess, address and mitigate the risk of modern slavery and labour exploitation.</t>
  </si>
  <si>
    <t>Additional Question Space</t>
  </si>
  <si>
    <t>Please complete</t>
  </si>
  <si>
    <t>Agriculture</t>
  </si>
  <si>
    <t>Typed Name</t>
  </si>
  <si>
    <t>MS Prevalence</t>
  </si>
  <si>
    <t>Selected</t>
  </si>
  <si>
    <t>Car Washes</t>
  </si>
  <si>
    <t>Catering Services</t>
  </si>
  <si>
    <t>Türkiye</t>
  </si>
  <si>
    <t>Cleaning Services</t>
  </si>
  <si>
    <t>DRC</t>
  </si>
  <si>
    <t>Construction</t>
  </si>
  <si>
    <t>Republic of the Congo</t>
  </si>
  <si>
    <t>Electronics &amp; ICT</t>
  </si>
  <si>
    <t>East Timor</t>
  </si>
  <si>
    <t>Events &amp; Hospitality Services, inc. Hotels/Venues</t>
  </si>
  <si>
    <t>Facilities Management</t>
  </si>
  <si>
    <t>England</t>
  </si>
  <si>
    <t>Fishing and Fisheries</t>
  </si>
  <si>
    <t>Scotland</t>
  </si>
  <si>
    <t>Food Processing &amp; Production</t>
  </si>
  <si>
    <t>Wales</t>
  </si>
  <si>
    <t xml:space="preserve">Garment/textile/footwear Production </t>
  </si>
  <si>
    <t>USA</t>
  </si>
  <si>
    <t xml:space="preserve">Healthcare </t>
  </si>
  <si>
    <t>US</t>
  </si>
  <si>
    <t>Logging</t>
  </si>
  <si>
    <t>UAE</t>
  </si>
  <si>
    <t>Logistics - Transport &amp; Courier</t>
  </si>
  <si>
    <t/>
  </si>
  <si>
    <t>Logistics - Warehousing</t>
  </si>
  <si>
    <t>Mining</t>
  </si>
  <si>
    <t>Nail Bars</t>
  </si>
  <si>
    <t>Recycling &amp; Waste</t>
  </si>
  <si>
    <t xml:space="preserve">Security Services </t>
  </si>
  <si>
    <t>Social Care</t>
  </si>
  <si>
    <t>Multiple of the Above</t>
  </si>
  <si>
    <t>NATURE OF WORKFORCE</t>
  </si>
  <si>
    <t>Dangerous or physically demanding work.</t>
  </si>
  <si>
    <t>High numbers of vulnerable workers e.g. temporary/seasonal/agency/migrant workers or women/children</t>
  </si>
  <si>
    <t>Isolation of workers – due to working in rural locations, being home-based or in unmonitored and unregulated environments.</t>
  </si>
  <si>
    <t>Reliance upon low-skilled or unskilled labour – typically low-paying/undervalued work often undertaken by vulnerable workers</t>
  </si>
  <si>
    <t>SUPPLIER CONTEXT</t>
  </si>
  <si>
    <t>A lack of business and/or government accountability</t>
  </si>
  <si>
    <t>Absence of effective grievance mechanisms and representative workers’ organisations/collective agreements</t>
  </si>
  <si>
    <t>Presence of cheap labour &amp; high numbers of vulnerable workers e.g. women/children/migrants/minorities etc.</t>
  </si>
  <si>
    <t>Wars/conflicts</t>
  </si>
  <si>
    <t>High levels of poverty and unemployment</t>
  </si>
  <si>
    <t>Widespread discrimination against particular groups e.g. women or certain ethnic groups</t>
  </si>
  <si>
    <t>SUPPLY CHAIN MODEL</t>
  </si>
  <si>
    <t>Complex employment relationships relying on agency, outsourced or subcontracted workers; high employer/worker separation</t>
  </si>
  <si>
    <t>Focus on profit margin: Rapid turnaround times, high production flexibility, low margins for high volumes</t>
  </si>
  <si>
    <t>Use of labour recruiters in supply chains - can increase the risk of trafficking and forced labour due to corruption</t>
  </si>
  <si>
    <t>None of the above</t>
  </si>
  <si>
    <t>COMMODITY</t>
  </si>
  <si>
    <t>Animals, Animal Feed &amp; Animal Products</t>
  </si>
  <si>
    <t>Branded &amp; Marketing Goods</t>
  </si>
  <si>
    <t>Cleaning Products</t>
  </si>
  <si>
    <t>Clothing, Footwear and Textiles</t>
  </si>
  <si>
    <t>Construction/Landscaping/Horticultural Materials, inc. Sand</t>
  </si>
  <si>
    <t>Decorations/Toys, inc. Footballs</t>
  </si>
  <si>
    <t>Electronics, including Batteries</t>
  </si>
  <si>
    <t>Fireworks and Matches</t>
  </si>
  <si>
    <t>Food/Drink</t>
  </si>
  <si>
    <t>Fuels &amp; Chemicals</t>
  </si>
  <si>
    <t>Furniture, Furnishings and Flooring</t>
  </si>
  <si>
    <t>Health &amp; Beauty Products</t>
  </si>
  <si>
    <t>Incense</t>
  </si>
  <si>
    <t>Minerals, including Metals, Salt and Sand</t>
  </si>
  <si>
    <t>Personal Protective Equipment (PPE)</t>
  </si>
  <si>
    <t>Plants and Flowers</t>
  </si>
  <si>
    <t>Rubber and Rubber Products</t>
  </si>
  <si>
    <t>Solar Products</t>
  </si>
  <si>
    <t>Timber, Bamboo and Related Products</t>
  </si>
  <si>
    <t>Vehicles</t>
  </si>
  <si>
    <t>Modern Slavery Prevalence Threshold:</t>
  </si>
  <si>
    <t>Supplier Location</t>
  </si>
  <si>
    <t>Context in which the supplier operates</t>
  </si>
  <si>
    <t>Business Supply Chain Model</t>
  </si>
  <si>
    <t>Commodity Type Confirmation</t>
  </si>
  <si>
    <t>Total Score</t>
  </si>
  <si>
    <t>Thresholds</t>
  </si>
  <si>
    <t>LOW</t>
  </si>
  <si>
    <t>MEDIUM</t>
  </si>
  <si>
    <t>HIGH</t>
  </si>
  <si>
    <t>See specific risks based on the countries detailed below</t>
  </si>
  <si>
    <t>Confirmed NO procurements from this list</t>
  </si>
  <si>
    <t>Missing</t>
  </si>
  <si>
    <t>Commodity Confirmation</t>
  </si>
  <si>
    <t>Inputs</t>
  </si>
  <si>
    <t>Section:</t>
  </si>
  <si>
    <t>Next Steps Title</t>
  </si>
  <si>
    <t>Next Steps Headline</t>
  </si>
  <si>
    <t>Procurement Strategy/Approach</t>
  </si>
  <si>
    <t>Consider opportunities to challenge the need/buy differently to reduce risks and supply chain pressure.  The Good Practice questions may help identify risk-reducing changes to the procurement strategy.
Consider if audits are needed for high-risk contracts and agree approach.
For framework/Dynamic Market call-offs, check if risks have been identified and mitigations actioned.  Explore where you can address the risk through strategy and documentation if needed.
Fill knowledge gaps and check your risk rating via market engagement.  Communicate the importance of Modern Slavery and your approach to it.</t>
  </si>
  <si>
    <t>Consider opportunities to challenge the need/buy differently to reduce risks and supply chain pressure.  The Good Practice questions may help identify risk-reducing changes to the procurement strategy.
For framework/Dynamic Market call-offs, check if risks have been identified and mitigations actioned.  Explore where you can address the risk through strategy and documentation if needed.</t>
  </si>
  <si>
    <t>Specification</t>
  </si>
  <si>
    <t>Include relevant and proportional requirements for any specific needs beyond the standard terms such as those under Good Practice.
Consider including a requirement allowing social audits to be conducted by an independent 3rd party and the approach to be taken. Agree in writing which party will be responsible for the costs.  See Annex B of PPN for further guidance.</t>
  </si>
  <si>
    <t>Consider opportunities to focus Social Value on additional benefits such as education on spotting signs of Modern Slavery in high-risk industries/communities or helping those with lived experience of Modern Slavery to develop new skills or secure employment or work experience.</t>
  </si>
  <si>
    <t>Procurement Specific Questionnaire</t>
  </si>
  <si>
    <t>Invitation To Tender Questions</t>
  </si>
  <si>
    <t>Terms and Conditions/Contractual Clauses</t>
  </si>
  <si>
    <t>Consider including contractual clauses requiring notification of suspected Modern Slavery incidents and usage of the rectification plan in Annex D of the Modern Slavery Guidance.  Model clauses can be found in Annex C of the PPN.</t>
  </si>
  <si>
    <t>Reporting/Key Performance Indicators (KPIs)</t>
  </si>
  <si>
    <t>Include reporting, KPIs and performance requirements in the contract and communicate these to the contract manager and suppliers.  These should be robust, relevant and proportionate. KPI examples can be found in Annex A of the PPN.
Reporting may include the Modern Slavery Assessment Tool (MSAT) which can facilitate a collaborative approach to reducing Modern Slavery.</t>
  </si>
  <si>
    <t>Contract Handover and Contract Management</t>
  </si>
  <si>
    <t>Ensure all parties are aware of the Modern Slavery risk and the related contractual requirements.  Examples include reporting incidents of Modern Slavery &amp; remediation plans, due diligence updates, reporting and continuous improvement.
Collaboration with the supplier should be regular and include identifying any changes in Modern Slavery risk, and monitoring progress against any action plans, e.g. MSAT
Ensure a  process to report incidents and effective actions plans are put in place to remediate workers if modern slavery issues are identified or raised. It is important to have a victim-centred approach, ensuring immediate and serious risks are mitigated first, and take a long-term collaborative approach with suppliers and stakeholders to resolve root causes.</t>
  </si>
  <si>
    <t>Communicate any contractual requirements to the contract manager and supplier.  The contract manager should have regular conversations with the supplier to discuss any changes in risk and mitigation put in place, which should be documented.</t>
  </si>
  <si>
    <t>Inputs Missing</t>
  </si>
  <si>
    <t>Please complete the six key questions on the 'Input' sheet, including selecting at least one country.</t>
  </si>
  <si>
    <t>Please review the country-specific commodity risks at the bottom and confirm whether you are procuring any commodity from the respective country.</t>
  </si>
  <si>
    <t>Additional Next Steps Space</t>
  </si>
  <si>
    <t>Modern Slavery Risk Prioritisation</t>
  </si>
  <si>
    <t>Procurement Modern Slavery Risk:</t>
  </si>
  <si>
    <t>Contract Name:</t>
  </si>
  <si>
    <t>Contract Reference:</t>
  </si>
  <si>
    <t>Completed by:</t>
  </si>
  <si>
    <r>
      <rPr>
        <b/>
        <sz val="16"/>
        <color theme="0"/>
        <rFont val="Calibri"/>
        <family val="2"/>
        <scheme val="minor"/>
      </rPr>
      <t>Next Steps</t>
    </r>
    <r>
      <rPr>
        <b/>
        <sz val="14"/>
        <color theme="0"/>
        <rFont val="Calibri"/>
        <family val="2"/>
        <scheme val="minor"/>
      </rPr>
      <t xml:space="preserve">
</t>
    </r>
    <r>
      <rPr>
        <sz val="14"/>
        <color theme="0"/>
        <rFont val="Calibri"/>
        <family val="2"/>
        <scheme val="minor"/>
      </rPr>
      <t>Please see your next steps below, which are generated from the data you have provided.</t>
    </r>
  </si>
  <si>
    <t>Supplementary Modern Slavery Questions</t>
  </si>
  <si>
    <t>Additional Useful Resources</t>
  </si>
  <si>
    <t>Addressing Modern Slavery in Solar PV Supply Chains: Guidance | Action Sustainability</t>
  </si>
  <si>
    <t>Design For Freedom by Grace Farms</t>
  </si>
  <si>
    <t>Good Practice by Project Stage</t>
  </si>
  <si>
    <t>All Risk Levels</t>
  </si>
  <si>
    <r>
      <t xml:space="preserve">Consider whether risks could be reduced by challenging the need to buy, buying differently and considering the impact of decisions on the supply chain.
</t>
    </r>
    <r>
      <rPr>
        <b/>
        <sz val="11"/>
        <color theme="1"/>
        <rFont val="Calibri"/>
        <family val="2"/>
        <scheme val="minor"/>
      </rPr>
      <t xml:space="preserve">Understand the risk &amp; challenge the need
</t>
    </r>
    <r>
      <rPr>
        <sz val="11"/>
        <color theme="1"/>
        <rFont val="Calibri"/>
        <family val="2"/>
        <scheme val="minor"/>
      </rPr>
      <t>Consider the following questions:
- Is the purchase necessary?  Are there existing underutilised resources that could be used?
- Is unnecessary pressure being put on the supply chain that could increase risks e.g. short lead times, 24 hr service, demand for high flexibility
- Can the outcome be met by buying in a different way e.g. latest technology, lease vs buy?
- Can consumption of resources be reduced?
- Can re-used/recycled resources be used to reduce risks associated with raw material extraction?</t>
    </r>
  </si>
  <si>
    <t>Examples of additional specification focus areas
- Communication of your organisations whistleblowing approach and remediation requirements
- Required training on risk management &amp; spotting the signs of Modern Slavery for those involved in contract delivery
- Required compliance checks on employment rights and terms &amp; conditions
- Independent 3rd party audit approach requirements
- Regular due diligence monitoring and assurance
- Site specific checks
- Requirements for regular discussions on any changes to Modern Slavery risk and performance
- Regular updates on reporting of suspected Modern Slavery incidents and victim centric remediation plans. 
- Initiatives to raise awareness of Modern Slavery and how to report it.
The following examples of approaches in the PPN may be useful
Section 5 - Taking action when victims of Modern Slavery are identified
Annex B - Supplier audit points to consider
Annex D - Remedial action an blueprint: an example template</t>
  </si>
  <si>
    <t>Invitation to Tender Questions</t>
  </si>
  <si>
    <t>When reviewing the tender, buyers should review the following key areas if Modern Slavery has been added in the award criteria:
Supplier's understanding of Modern Slavery risks and issues - The tenderer should include:
- details on the risks they face in the industry / sector
- a detailed overview of how they are identifying issues in their supply chain (e.g. through regular audits / in-person visits, engagement with workers etc.)
They should also give specific examples on how they built knowledge on this topic (e.g. attending training sessions, carrying out independent research, etc.).
Supplier's measures to identify, mitigate and manage Modern Slavery risks - The tenderer should have information on the composition and potential vulnerabilities of specific groups within the workforce (both their own workplace and their business partners).
- Request that the tenderer demonstrate visibility of this information for Tier 1 suppliers and beyond, with details around nationality, gender split, contract types etc. 
Supplier's policies and practices to mitigate and manage Modern Slavery risks - The tenderer should be able to demonstrate how policies and commitments are implemented in practice. 
- Ask for evidence such as contracts with business partners, audit reports, worker interview records, grievance logs etc. 
- Request specific examples/evidence on how they are mitigating the risks effectively –through prevention, capacity building, remediation actions and their impact on workers.  
Ways of working with NGOs, trade unions or other businesses to address Modern Slavery risks - Ideally, the tenderer should be able to demonstrate relationships with NGOs, trade unions, and other businesses, focusing on collaborative actions to improve the welfare of workers and implement improvements and remedy at their workplaces. 
Means of influencing stakeholder with respect to Modern Slavery risks - The tenderer should be implementing awareness trainings internally to build capacity in their team with regards to Modern Slavery risks. 
- Request examples/evidence of capacity building for their business partners to support practices being cascaded down the entire supply chain.</t>
  </si>
  <si>
    <t>Annex B - Supplier audit points to consider</t>
  </si>
  <si>
    <t>Additional No-Data Countries</t>
  </si>
  <si>
    <t>Entries in GSI Dataset to Exclude</t>
  </si>
  <si>
    <t>Name from Dataset</t>
  </si>
  <si>
    <t>Tool Name</t>
  </si>
  <si>
    <t>ID</t>
  </si>
  <si>
    <t>Bahamas</t>
  </si>
  <si>
    <t>Gambia</t>
  </si>
  <si>
    <t>Lao PDR</t>
  </si>
  <si>
    <t>Viet Nam</t>
  </si>
  <si>
    <t>Brunei Darussalam</t>
  </si>
  <si>
    <t>Saint Lucia</t>
  </si>
  <si>
    <t>Saint Vincent and the Grenadines</t>
  </si>
  <si>
    <r>
      <t>Answer the questions to the best of your ability, using knowledge from relevant stakeholders who understand the purchase area and market (e.g. project team, commercial tea</t>
    </r>
    <r>
      <rPr>
        <sz val="11"/>
        <rFont val="Calibri"/>
        <family val="2"/>
      </rPr>
      <t xml:space="preserve">m) and utilising the further support &amp; resources sections below and on the Good Practice tab </t>
    </r>
    <r>
      <rPr>
        <sz val="11"/>
        <color rgb="FF000000"/>
        <rFont val="Calibri"/>
        <family val="2"/>
      </rPr>
      <t>where needed. Conducting your own research and utilising market engagement can be helpful in determining the most appropriate answers.  
It's important to note that only 'high-risk' answers will appear in the drop-down lists. If the drop-down options do not apply to your purchase, you should select 'None of the Above'. 
When determining the 'Typi</t>
    </r>
    <r>
      <rPr>
        <sz val="11"/>
        <rFont val="Calibri"/>
        <family val="2"/>
      </rPr>
      <t xml:space="preserve">cal Supply Chain </t>
    </r>
    <r>
      <rPr>
        <sz val="11"/>
        <color rgb="FF000000"/>
        <rFont val="Calibri"/>
        <family val="2"/>
      </rPr>
      <t>Location', note that the tool looks at the general supply chain and industry of a procurement, rather than the supply chain of a particular supplier.  Users should use their own knowledge of the industry to consider as far into the supply chain as possible.  The risk score for this input will be based on the country you have selected with the highest estimated prevalence of Modern Slavery, according to the Global Slavery Index.
You can add any evidence you have collected or rationale for your answers in the comments section of the inputs</t>
    </r>
    <r>
      <rPr>
        <sz val="11"/>
        <rFont val="Calibri"/>
        <family val="2"/>
      </rPr>
      <t xml:space="preserve"> tab underneath each question. </t>
    </r>
  </si>
  <si>
    <r>
      <rPr>
        <b/>
        <sz val="11"/>
        <rFont val="Calibri"/>
        <family val="2"/>
        <scheme val="minor"/>
      </rPr>
      <t xml:space="preserve">By continuing to use the tool, you confirm you have read the disclaimer and understand the scope and limitations of the tool.
</t>
    </r>
    <r>
      <rPr>
        <sz val="11"/>
        <rFont val="Calibri"/>
        <family val="2"/>
        <scheme val="minor"/>
      </rPr>
      <t xml:space="preserve">
The Anti-slavery Risk Tiering Tool (ARTT) does not constitute legal, commercial or other professional advice. The Cabinet Office acting as part of the Crown is not liable for any loss or damage, whether in contract, tort (including negligence), breach of statutory duty or otherwise, even if foreseeable, arising from the use of the ARTT, its associated documents and any links included within. Contracting authorities should always seek their own independent legal advice where appropriate.</t>
    </r>
  </si>
  <si>
    <r>
      <t xml:space="preserve">Anti-slavery Risk Tiering Tool </t>
    </r>
    <r>
      <rPr>
        <b/>
        <sz val="20"/>
        <color theme="0"/>
        <rFont val="Calibri"/>
        <family val="2"/>
        <scheme val="minor"/>
      </rPr>
      <t>(ARTT)</t>
    </r>
    <r>
      <rPr>
        <b/>
        <sz val="20"/>
        <color rgb="FFFF0000"/>
        <rFont val="Calibri"/>
        <family val="2"/>
        <scheme val="minor"/>
      </rPr>
      <t xml:space="preserve"> </t>
    </r>
    <r>
      <rPr>
        <b/>
        <sz val="20"/>
        <color rgb="FFFFFFFF"/>
        <rFont val="Calibri"/>
        <family val="2"/>
        <scheme val="minor"/>
      </rPr>
      <t>- Procurement</t>
    </r>
  </si>
  <si>
    <t>https://www.responsiblesourcingtool.org/identify/</t>
  </si>
  <si>
    <r>
      <rPr>
        <b/>
        <sz val="11"/>
        <rFont val="Calibri"/>
        <family val="2"/>
        <scheme val="minor"/>
      </rPr>
      <t xml:space="preserve">Modern Slavery Risk Characteristics
</t>
    </r>
    <r>
      <rPr>
        <sz val="11"/>
        <rFont val="Calibri"/>
        <family val="2"/>
        <scheme val="minor"/>
      </rPr>
      <t>Input Questions: Each question assesses if an aspect of the contract is high risk (e.g. Industry Type).  Generally, only high-risk options appear in each drop-down list.  If the relevant option does not appear in the drop-down list, select 'None of the Above'.  If selecting 'None of the Above' for Industry or Commodity, please provide details of the industry or commodity in the cell below the input.
Scoring: A characteristic is considered high risk if a high-risk answer is selected.  In the case of Typical Supply Chain Location, the characteristic is considered high risk if at least one country is selected with a high estimated prevalence of Modern Slavery (according to the Global Slavery Index).
Risk Levels: The total number of high-risk characteristics determine if the contract is low (0-1), medium (2), or high risk (3+).</t>
    </r>
  </si>
  <si>
    <t>Anti-slavery Risk Tiering Tool (ARTT) - Input Guidance</t>
  </si>
  <si>
    <t>Anti-slavery Risk Tiering Tool (ARTT) - Input Sheet</t>
  </si>
  <si>
    <t>Anti-slavery Risk Tiering Tool (ARTT) - Output Sheet</t>
  </si>
  <si>
    <r>
      <rPr>
        <b/>
        <sz val="11"/>
        <rFont val="Calibri"/>
        <family val="2"/>
        <scheme val="minor"/>
      </rPr>
      <t xml:space="preserve">Audits
</t>
    </r>
    <r>
      <rPr>
        <sz val="11"/>
        <rFont val="Calibri"/>
        <family val="2"/>
        <scheme val="minor"/>
      </rPr>
      <t xml:space="preserve">Where 3rd party independent audits may be required, ensure at the earliest point that you consider setting out which party will bear the cost and responsibility and, if necessary, any additional budget is secured.
</t>
    </r>
    <r>
      <rPr>
        <b/>
        <sz val="11"/>
        <rFont val="Calibri"/>
        <family val="2"/>
        <scheme val="minor"/>
      </rPr>
      <t xml:space="preserve">Market Engagement
</t>
    </r>
    <r>
      <rPr>
        <sz val="11"/>
        <rFont val="Calibri"/>
        <family val="2"/>
        <scheme val="minor"/>
      </rPr>
      <t xml:space="preserve">To help understand relevant risks in the market, review information available from trade bodies and Modern Slavery Statements for suppliers in the relevant sector (where available).  Some further resources listed in the 'Additional Resources' section above.
</t>
    </r>
    <r>
      <rPr>
        <b/>
        <sz val="11"/>
        <rFont val="Calibri"/>
        <family val="2"/>
        <scheme val="minor"/>
      </rPr>
      <t>Stakeholder/Supplier Engagement</t>
    </r>
    <r>
      <rPr>
        <sz val="11"/>
        <rFont val="Calibri"/>
        <family val="2"/>
        <scheme val="minor"/>
      </rPr>
      <t xml:space="preserve"> 
Hospitality  &amp; events is a high-risk industry - consider if appropriate due diligence checks have been undertaken with any venues to be used for events, in addition to the procurement deliverables.  Check the risk rating with stakeholders/suppliers and communicate the importance of addressing Modern Slavery risks and approach e.g. will a MSAT be required, will it be a key evaluation criteria? </t>
    </r>
  </si>
  <si>
    <t>Exclude</t>
  </si>
  <si>
    <t>Don't Know option, for addition to the end of the list</t>
  </si>
  <si>
    <t>Categorisation of high-risk commodities</t>
  </si>
  <si>
    <t>ILAB Downstream Goods</t>
  </si>
  <si>
    <t>Combined Country List</t>
  </si>
  <si>
    <t>Alternative Country Names</t>
  </si>
  <si>
    <t>TYPICAL SUPPLY CHAIN LOCATIONS</t>
  </si>
  <si>
    <t>Include appropriate Modern Slavery clauses in the contract.  Model clauses can be found in Annex C of the PPN, and the Good Practice tab also contains examples.
If you are calling off against a framework, check the existing terms included and whether additional clauses are required.</t>
  </si>
  <si>
    <t>Next Steps</t>
  </si>
  <si>
    <t>Policy</t>
  </si>
  <si>
    <t>Industry Profiles - Gangmasters and Labour Abuse Authority (GLAA)</t>
  </si>
  <si>
    <t>Social Value Model PPN</t>
  </si>
  <si>
    <t>Please see the Good Practice tab for links to additional resources</t>
  </si>
  <si>
    <r>
      <rPr>
        <b/>
        <sz val="11"/>
        <color rgb="FF000000"/>
        <rFont val="Calibri"/>
        <family val="2"/>
        <scheme val="minor"/>
      </rPr>
      <t>(A) Modern Slavery Procurement Policy Note: PPN 009</t>
    </r>
    <r>
      <rPr>
        <sz val="11"/>
        <color theme="1"/>
        <rFont val="Calibri"/>
        <family val="2"/>
        <scheme val="minor"/>
      </rPr>
      <t xml:space="preserve">
Sets out the PPN scope and requirements - all instances of the abbreviation PPN refer to PPN 009: Guidance on tackling modern slavery in government supply chains</t>
    </r>
  </si>
  <si>
    <r>
      <rPr>
        <b/>
        <sz val="11"/>
        <color theme="1"/>
        <rFont val="Calibri"/>
        <family val="2"/>
        <scheme val="minor"/>
      </rPr>
      <t>(B) Modern Slavery PPN Guidance</t>
    </r>
    <r>
      <rPr>
        <sz val="11"/>
        <color theme="1"/>
        <rFont val="Calibri"/>
        <family val="2"/>
        <scheme val="minor"/>
      </rPr>
      <t xml:space="preserve">
Used to support inputs and outputs.  Provides guidance on key actions to be taken across the commercial life cycle and good practice examples.</t>
    </r>
  </si>
  <si>
    <r>
      <rPr>
        <b/>
        <sz val="11"/>
        <color theme="1"/>
        <rFont val="Calibri"/>
        <family val="2"/>
        <scheme val="minor"/>
      </rPr>
      <t>(D) Social Value Model PPN</t>
    </r>
    <r>
      <rPr>
        <sz val="11"/>
        <color theme="1"/>
        <rFont val="Calibri"/>
        <family val="2"/>
        <scheme val="minor"/>
      </rPr>
      <t xml:space="preserve">
Sets out the PPN scope and requirements.  Includes a Modern Slavery evaluation question and criteria.</t>
    </r>
  </si>
  <si>
    <r>
      <rPr>
        <b/>
        <sz val="11"/>
        <color theme="1"/>
        <rFont val="Calibri"/>
        <family val="2"/>
        <scheme val="minor"/>
      </rPr>
      <t>(E) Social Value Model PPN Guidance</t>
    </r>
    <r>
      <rPr>
        <sz val="11"/>
        <color theme="1"/>
        <rFont val="Calibri"/>
        <family val="2"/>
        <scheme val="minor"/>
      </rPr>
      <t xml:space="preserve">
Provides guidance on key actions to address Social Value across the commercial life cycle.</t>
    </r>
  </si>
  <si>
    <r>
      <rPr>
        <b/>
        <sz val="11"/>
        <rFont val="Calibri"/>
        <family val="2"/>
        <scheme val="minor"/>
      </rPr>
      <t>(F) Procurement Specific Questionnaire (PSQ)</t>
    </r>
    <r>
      <rPr>
        <sz val="11"/>
        <rFont val="Calibri"/>
        <family val="2"/>
        <scheme val="minor"/>
      </rPr>
      <t xml:space="preserve">
A standard questionnaire used by contracting authorities in early procurement stages to assess supplier suitability in areas like financial stability and legal compliance. </t>
    </r>
  </si>
  <si>
    <r>
      <rPr>
        <b/>
        <sz val="11"/>
        <color theme="1"/>
        <rFont val="Calibri"/>
        <family val="2"/>
        <scheme val="minor"/>
      </rPr>
      <t>(A) Global Slavery Index</t>
    </r>
    <r>
      <rPr>
        <sz val="11"/>
        <color theme="1"/>
        <rFont val="Calibri"/>
        <family val="2"/>
        <scheme val="minor"/>
      </rPr>
      <t xml:space="preserve">
Used to support commodities inputs.  The report provides country specific modern slavery risk information, including at risk commodities.</t>
    </r>
  </si>
  <si>
    <r>
      <rPr>
        <b/>
        <sz val="11"/>
        <rFont val="Calibri"/>
        <family val="2"/>
        <scheme val="minor"/>
      </rPr>
      <t>(B) List of Goods Produced by Child Labor and Forced Labor</t>
    </r>
    <r>
      <rPr>
        <sz val="11"/>
        <rFont val="Calibri"/>
        <family val="2"/>
        <scheme val="minor"/>
      </rPr>
      <t xml:space="preserve">
Used to support commodities inputs.  Storyboards provided with further information on Aluminium, Cocoa, Lithium-Ion Batteries, Palm Oil Products &amp; Solar Products.</t>
    </r>
  </si>
  <si>
    <r>
      <rPr>
        <b/>
        <sz val="11"/>
        <rFont val="Calibri"/>
        <family val="2"/>
        <scheme val="minor"/>
      </rPr>
      <t>(C) Gangmasters and Labour Abuse Authority (GLAA)</t>
    </r>
    <r>
      <rPr>
        <sz val="11"/>
        <rFont val="Calibri"/>
        <family val="2"/>
        <scheme val="minor"/>
      </rPr>
      <t xml:space="preserve">
Used to support industry inputs.  Provides information on sector specific findings in the UK.</t>
    </r>
  </si>
  <si>
    <r>
      <rPr>
        <b/>
        <sz val="11"/>
        <color theme="1"/>
        <rFont val="Calibri"/>
        <family val="2"/>
        <scheme val="minor"/>
      </rPr>
      <t>(D) The Responsible Sourcing Tool</t>
    </r>
    <r>
      <rPr>
        <sz val="11"/>
        <color theme="1"/>
        <rFont val="Calibri"/>
        <family val="2"/>
        <scheme val="minor"/>
      </rPr>
      <t xml:space="preserve">
A global risk map and reports that can provide further information on country, industry and commodity risks.</t>
    </r>
  </si>
  <si>
    <r>
      <rPr>
        <b/>
        <sz val="11"/>
        <color theme="1"/>
        <rFont val="Calibri"/>
        <family val="2"/>
        <scheme val="minor"/>
      </rPr>
      <t>(E) See also: suppliers' Modern Slavery statements; industry and trade body reports; the Modern Slavery Assessment Tool</t>
    </r>
    <r>
      <rPr>
        <sz val="11"/>
        <color theme="1"/>
        <rFont val="Calibri"/>
        <family val="2"/>
        <scheme val="minor"/>
      </rPr>
      <t xml:space="preserve">
These resources can provide useful information about the risks identified by the market and suppliers.</t>
    </r>
  </si>
  <si>
    <r>
      <rPr>
        <b/>
        <sz val="11"/>
        <color theme="1"/>
        <rFont val="Calibri"/>
        <family val="2"/>
        <scheme val="minor"/>
      </rPr>
      <t>(C) National Procurement Policy Statement</t>
    </r>
    <r>
      <rPr>
        <sz val="11"/>
        <color theme="1"/>
        <rFont val="Calibri"/>
        <family val="2"/>
        <scheme val="minor"/>
      </rPr>
      <t xml:space="preserve">
Sets out the Government’s missions and priorities relating to Procurement.</t>
    </r>
  </si>
  <si>
    <t xml:space="preserve">Please see the Further Support &amp; Resources section in the Overview tab for information that can support the response to inputs and to signpost to relevant datasets and PPNs.  Some further resources are detailed below.
</t>
  </si>
  <si>
    <t>National Procurement Policy Statement</t>
  </si>
  <si>
    <t>PPN 002 Guide to using the social value model (HTML) - GOV.UK</t>
  </si>
  <si>
    <t>The PSQ must be used for any contract that includes a selection stage and has an estimated value above the financial thresholds listed in Schedule 1 of the Procurement Act 2023."
For open procedures, where no selection stage exists, contracting authorities may still chose to assess the same selection criteria by incorporating PSQ content directly into the tender documents
Specify how far into the supply chain supplier details and exclusion information are required, e.g. for associated persons, subcontractors and supply chain members.
Specify how this information and accompanying self-declarations will be verified.
Contracting authorities can supplement conditions of participations with additional questions for medium/high-risk contracts.</t>
  </si>
  <si>
    <t>The PSQ must be used for any contract that includes a selection stage and has an estimated value above the financial thresholds listed in Schedule 1 of the Procurement Act 2023."
For open procedures, where no selection stage exists, contracting authorities may still chose to assess the same selection criteria by incorporating PSQ content directly into the tender documents
Specify how far into the supply chain supplier details and exclusion information are required, e.g. for associated persons, subcontractors and supply chain members.
Specify how this information and accompanying self-declarations will be verified.</t>
  </si>
  <si>
    <t>Anti-slavery Risk Tiering Tool (ARTT) - Good Practice</t>
  </si>
  <si>
    <t>High/
Medium</t>
  </si>
  <si>
    <t>ARTT Survey</t>
  </si>
  <si>
    <r>
      <rPr>
        <b/>
        <sz val="11"/>
        <color rgb="FF000000"/>
        <rFont val="Calibri"/>
        <family val="2"/>
        <scheme val="minor"/>
      </rPr>
      <t xml:space="preserve">Supply Chain Considerations and Reasonable Assumptions
</t>
    </r>
    <r>
      <rPr>
        <sz val="11"/>
        <color rgb="FF000000"/>
        <rFont val="Calibri"/>
        <family val="2"/>
        <scheme val="minor"/>
      </rPr>
      <t>Consider the entire supply chain, not just the likely lead supplier’s headquarters.
Make reasonable assumptions about the supply chain. For example, if a UK-based supplier provides ICT hardware, they may rely on manufacturing in East/Southeast Asia, so your answers should take this into account.
If you can’t make a reasonable assumption or don’t know the answer, select ‘Don’t Know’. This will flag the characteristic as high risk as you will be unable to mitigate any unidentified risks. Market research can help gather more information about typical risks and supply chain countries.  Please see Good Practice tab for resources that can aid research.
Where commodities are used in the procurement, the information on the Input tab (which may appear to the right of the Commodity question depending on the commodity selected) may help to inform likely countries in the supply chain.</t>
    </r>
  </si>
  <si>
    <t>Where a commodity area may involve particular additional risks of forced or child labour, these will appear to the right of the Commodity input.  This data comes from the ILAB List and displays individual goods which may form part of the supply chain, paired with the countries where there are identified incidences of forced labour or child labour.  You should always have regard to this information when it appears, to identify specific risks.
The additional information may also include risks identified further down in the supply chain.  For example, indium is flagged where electronics or related commodities are selected as it is involved in the production of zinc, which is used in those commodities.
If a commodity is not a high-risk commodity itself, but these incidences of forced or child labour have been identified, an additional input will appear above this data.  This input is to confirm whether the flagged commodities from the flagged countries may be involved in the supply chain.  You should only choose the confirmation that there are no procurements in the flagged areas if you are certain that this is the case.  If the commodity is high risk regardless of any incidences of child or forced labour, no confirmation input will be shown or required, but the ILAB information will still be shown as noted above.</t>
  </si>
  <si>
    <t>Below are tips and examples which may be appropriate for your project.  If you have a risk rating provided by this assessment, this cell and the appropriate areas below will be highlighted in green.</t>
  </si>
  <si>
    <t>This ARTT assessment helps identify contracts with a higher risk of Modern Slavery and outlines steps to mitigate, manage and reduce this risk. This includes deciding if suppliers should be required to complete the Modern Slavery Assessment Tool (MSAT).  The ARTT will provide one of the following output ratings:
- High
- Medium
- Low
This rating is determined by the answers provided in the Input sheet.  The calculations, as well as both inputs and outputs, may be customised by individual organisations.</t>
  </si>
  <si>
    <t>This list is based on commodities identified within the PPN guidance at risk of Modern Slavery, including the UK's five most valuable imports which have an associated risk of forced or compulsory labour, plus commodities identified within the United States Bureau of International Labor Affairs (ILAB) List of Goods Produced by Child Labor or Forced Labor.  The latter comprises 204 goods from 82 countries and areas.  Where possible, individual goods have been included in the list under broader categories for easier identification and useability. It should be noted that although pornography is included within the US labour list, it has not been included in the ARTT as organisations should not be buying this.</t>
  </si>
  <si>
    <r>
      <t xml:space="preserve">Addressing Modern Slavery is a strategic priority of the National Procurement Policy Statement. Contracting authorities must have due regard to this statement under Section 13 of the Procurement Act 2023.
This tool has been designed to support government departments to undertake high-level Modern Slavery risk assessments for their procurements and contracts.  It considers and is in compliance with PPN 009 Tackling Modern Slavery in Government Supply Chains, consolidating the risk data and highlighting key next steps.
It will help organisations address Modern Slavery risk throughout the commercial lifecycle stages.
This assessment does not explore risks outside of the PPN 009 guidance.  Organisations may customise the tool, for example to add any additional known Modern Slavery risks related to their business or Department-specific next steps.
</t>
    </r>
    <r>
      <rPr>
        <sz val="11"/>
        <rFont val="Calibri"/>
        <family val="2"/>
      </rPr>
      <t>This tool is different to and separate from the Modern Slavery Assessment Tool (MSAT) which is a risk identification and management tool that high or medium risk suppliers may be required to complete and helps suppliers work in partnership with public sector organisations.</t>
    </r>
  </si>
  <si>
    <r>
      <t xml:space="preserve">To start, fill in the Procurement Key Details and names of stakeholders in the </t>
    </r>
    <r>
      <rPr>
        <b/>
        <sz val="11"/>
        <color rgb="FF00B050"/>
        <rFont val="Calibri"/>
        <family val="2"/>
      </rPr>
      <t>green</t>
    </r>
    <r>
      <rPr>
        <sz val="11"/>
        <color rgb="FF000000"/>
        <rFont val="Calibri"/>
        <family val="2"/>
      </rPr>
      <t xml:space="preserve"> boxes at the top of the 'Input' sheet.  
Under Modern Slavery Risk Characteristics, use the drop-down lists in the </t>
    </r>
    <r>
      <rPr>
        <b/>
        <sz val="11"/>
        <color rgb="FFCC79FF"/>
        <rFont val="Calibri"/>
        <family val="2"/>
      </rPr>
      <t>lilac</t>
    </r>
    <r>
      <rPr>
        <sz val="11"/>
        <color rgb="FF000000"/>
        <rFont val="Calibri"/>
        <family val="2"/>
      </rPr>
      <t xml:space="preserve"> boxes to select answers for each of the six questions.  These are the shaded cells by default marked 'Please complete', plus th</t>
    </r>
    <r>
      <rPr>
        <sz val="11"/>
        <rFont val="Calibri"/>
        <family val="2"/>
      </rPr>
      <t>e Supply Chain</t>
    </r>
    <r>
      <rPr>
        <sz val="11"/>
        <color rgb="FF000000"/>
        <rFont val="Calibri"/>
        <family val="2"/>
      </rPr>
      <t xml:space="preserve"> Location section which requires the relevant countries to be selected. The risk characteristic titles will change colour depending on the risk level and icons showing the risk level will also be displayed (for example, high-risk answers will turn red and a warning triangle icon will appear).
</t>
    </r>
    <r>
      <rPr>
        <sz val="11"/>
        <rFont val="Calibri"/>
        <family val="2"/>
      </rPr>
      <t>Using your inputs the tool will then rank the overall procurement as HIGH, MEDIUM or LOW risk in the 'Output' sheet.  Based on this rating, the 'Output' sheet will detail relevant next steps aligned to PPN guidance which can</t>
    </r>
    <r>
      <rPr>
        <sz val="11"/>
        <color rgb="FF000000"/>
        <rFont val="Calibri"/>
        <family val="2"/>
      </rPr>
      <t xml:space="preserve"> be taken, from revisiting the business need to specification </t>
    </r>
    <r>
      <rPr>
        <sz val="11"/>
        <rFont val="Calibri"/>
        <family val="2"/>
      </rPr>
      <t xml:space="preserve">design and setting the award criteria through to contract management.  The recommendations should be reviewed to ensure they are relevant, proportionate, achievable and do not create any unnecessary barriers for the supply chain.  </t>
    </r>
    <r>
      <rPr>
        <sz val="11"/>
        <color rgb="FFFF0000"/>
        <rFont val="Calibri"/>
        <family val="2"/>
      </rPr>
      <t xml:space="preserve">
</t>
    </r>
    <r>
      <rPr>
        <sz val="11"/>
        <color rgb="FF000000"/>
        <rFont val="Calibri"/>
        <family val="2"/>
      </rPr>
      <t xml:space="preserve">
N.B. The 'Output' sheet will not provide a rating until all relevant inputs have been completed.  If a low-risk commodity is chosen which has country-specific forced and child labour risks, you will be directed to confirm whether the supply chain could involve any of the flagged risks.  Where this confirmation will affect the final risk rating, the rating will not appear until confirmation has been given.</t>
    </r>
  </si>
  <si>
    <r>
      <t xml:space="preserve">The tool should be used to help identify the risk of Modern Slavery at the earliest opportunity.  It can support category strategies and pre-sourcing activity such as helping to inform business cases, procurement strategies </t>
    </r>
    <r>
      <rPr>
        <sz val="11"/>
        <rFont val="Calibri"/>
        <family val="2"/>
      </rPr>
      <t>and market engagement.  The tool can also be used to assess the risk of existing contracts e.g. after conducting a contract review and to help apply strengthened contract management measures to manage risks, working with suppliers to progressively improve.</t>
    </r>
    <r>
      <rPr>
        <sz val="11"/>
        <color rgb="FF000000"/>
        <rFont val="Calibri"/>
        <family val="2"/>
      </rPr>
      <t xml:space="preserve"> </t>
    </r>
    <r>
      <rPr>
        <sz val="11"/>
        <rFont val="Calibri"/>
        <family val="2"/>
      </rPr>
      <t xml:space="preserve"> It might also be used where there is a change in supply chain which may have an impact on the level of modern slavery risk.  It can also be useful for informing other commercial activities (e.g. grants).
The tool has been designed to provide specific outputs that will help you mitigate and manage Modern Slavery risks throughout the commercial lifecycle.  The good practice tab provides further mitigation actions that could be taken by departments dependent on the level of risks.</t>
    </r>
  </si>
  <si>
    <r>
      <rPr>
        <b/>
        <sz val="11"/>
        <rFont val="Calibri"/>
        <family val="2"/>
        <scheme val="minor"/>
      </rPr>
      <t xml:space="preserve">Typical Supply Chain Locations: </t>
    </r>
    <r>
      <rPr>
        <sz val="11"/>
        <rFont val="Calibri"/>
        <family val="2"/>
        <scheme val="minor"/>
      </rPr>
      <t xml:space="preserve">Select the countries where the supply chain is located, to the best of your knowledge, either by scrolling through the drop-down list or by typing to narrow down the options and selecting from that shortened list.  The list includes some preset alternative names (e.g. UK for United Kingdom) as well as the standard set of countries.
Identified countries are highlighted according to the estimated prevalence of Modern Slavery using the Global Slavery Index dataset - see examples to the right.  The Global Slavery Index contains national estimates, calculated by the Walk Free Foundation, on the basis of a predictive model that accounts for individual and country-level risk factors.  The Global Slavery Index includes countries at risk of any type of Modern Slavery.  Countries either have High prevalence, Low prevalence, or are not within the Global Slavery Index dataset.  Where a country is not within the dataset, this does not automatically flag up as a high risk, however the country is individually highlighted to flag its absence from the dataset, to indicate where further research may be appropriate.
When assessing modern slavery risk for a product,  you should focus on the whole supply chain (including raw materials &amp; manufacture) rather than only the headquarters address of the supplier. 
Here's why:
•	Production Practices: The risk of modern slavery is more directly related to the conditions under which the product is manufactured. This includes the labour practices, working conditions, and local regulations at the manufacturing site.
•	Supply Chain Transparency: Understanding where the product is made or where the raw materials comes from,  helps identify potential risk points within the supply chain. Manufacturers in regions with weaker labour laws or higher incidences of forced labour are more likely to pose a risk. 
</t>
    </r>
  </si>
  <si>
    <t>The Responsible Sourcing Tool risk map can be used to help develop an understanding of forced labour in the country, industry and commodity areas.
Where the commercial activity involves high-risk commodities, the country/commodity information can be used to further inform typical supply chain locations.</t>
  </si>
  <si>
    <t>Consider including modern slavery award criteria to assess suppliers on their approach to managing the contract risks.  The Social Value Model sets out an example that can be used where relevant and proportionate to do so.  Relevant supplementary questions which can be included are shown below the Next Steps.
Also consider opportunities to focus Social Value on additional benefits such as education to spot signs of modern slavery in high-risk industries/communities, supporting employment and skills development of people with lived experience of modern slavery</t>
  </si>
  <si>
    <t>US Department for Labor List of Forced &amp; Child Labor and Storyboards covering Aluminium, Cocoa, Lithium-Ion Batteries, Palm Oil Products, Solar Products</t>
  </si>
  <si>
    <r>
      <t xml:space="preserve">Supply chain mapping in the context of Modern Slavery can be a crucial aspect of business or sustainability strategies and legal compliance. Here’s a general approach to how far down the supply chain you should go.  
</t>
    </r>
    <r>
      <rPr>
        <b/>
        <sz val="11"/>
        <color theme="1"/>
        <rFont val="Calibri"/>
        <family val="2"/>
        <scheme val="minor"/>
      </rPr>
      <t>Map the Supply Chain:</t>
    </r>
    <r>
      <rPr>
        <sz val="11"/>
        <color theme="1"/>
        <rFont val="Calibri"/>
        <family val="2"/>
        <scheme val="minor"/>
      </rPr>
      <t xml:space="preserve"> Map your supply chain to understand who your suppliers are and where they are located. This includes direct suppliers (first tier) and indirect suppliers (second-tier and beyond). The depth of the mapping can depend on the complexity of the supply chain and the level of risk.
</t>
    </r>
    <r>
      <rPr>
        <b/>
        <sz val="11"/>
        <color theme="1"/>
        <rFont val="Calibri"/>
        <family val="2"/>
        <scheme val="minor"/>
      </rPr>
      <t>Identify High-Risk Areas:</t>
    </r>
    <r>
      <rPr>
        <sz val="11"/>
        <color theme="1"/>
        <rFont val="Calibri"/>
        <family val="2"/>
        <scheme val="minor"/>
      </rPr>
      <t xml:space="preserve"> Start by identifying areas of your supply chain that are high risk. This could be certain countries, industries, or types of products.
</t>
    </r>
    <r>
      <rPr>
        <b/>
        <sz val="11"/>
        <color theme="1"/>
        <rFont val="Calibri"/>
        <family val="2"/>
        <scheme val="minor"/>
      </rPr>
      <t>Assess and Mitigate Risks:</t>
    </r>
    <r>
      <rPr>
        <sz val="11"/>
        <color theme="1"/>
        <rFont val="Calibri"/>
        <family val="2"/>
        <scheme val="minor"/>
      </rPr>
      <t xml:space="preserve"> Once you’ve mapped your supply chain, assess the risks at each level. Work with suppliers to mitigate these risks through strengthened contract management.
Continuous Monitoring: Regularly review and update your supply chain map. Monitor suppliers for changes that might affect their risk level.
The following examples of approaches in the PPN guidance may also be useful during contract management:
Section 5 - Taking action when victims of Modern Slavery are identified
Annex D - Remedial action plan blueprint: an example template</t>
    </r>
  </si>
  <si>
    <t>Brief examples of clauses appropriate at high or medium risk are as follows:
- shall carry out due diligence to ensure workers in its business and its supply chains are not paying illegal or exploitative recruitment fees to secure employment, and where these fees are uncovered shall ensure that workers are remedied;
- shall, if it or the Authority identifies any occurrence of Modern Slavery connected to this contract, comply with any request of the Authority to follow the Rectification Plan Process to submit a remedial action plan which follows the form set out in Annex D of the Tackling Modern Slavery in Government Supply Chains guidance;
- shall allow the Authority or an independent third party to carry out an unannounced or semi-announced inspection of any site and speak directly to any of its employees in a confidential manner and in the native language of said employee in respect of workforce conditions, working or employment practices.</t>
  </si>
  <si>
    <t>See Annex C of the PPN for a full list of example Modern Slavery Clauses. The clause examples below are provided as a guide only.  You should take your own legal advice on the use and suitability of these example clauses and those in Annex C of the PPN. An example of a clause used by an organisation with any level of risk is below and can be built upon for higher risk procurements:
The Supplier:
- must ensure its staff and the staff of its sub-contractors and their supply chain comply with the provisions of the Modern Slavery Act 2015 (the Act) including section 54 of the Act which requires certain organisations to publish annual Modern Slavery statements throughout the Term;
- must report the discovery or suspicion of any slavery, trafficking, forced labour, child labour, involuntary prison labour or labour rights abuses by it or its subcontractors (and their supply chain) to the Authority, the Modern Slavery Helpline and the relevant national or local law enforcement agencies;
- shall prohibit the use of slave, forced, bonded, child or involuntary prison labour throughout operations and supply chains and implement appropriate due diligence procedures to ensure there is no Modern Slavery in any part of its supply chain;
- shall forbid any of its staff or the staff of its subcontractors (and their supply chain) from lodging deposits or identity papers with their employer and ensure that they are free to leave their employer after reasonable notice.</t>
  </si>
  <si>
    <r>
      <rPr>
        <sz val="11"/>
        <color rgb="FF000000"/>
        <rFont val="Calibri"/>
        <family val="2"/>
        <scheme val="minor"/>
      </rPr>
      <t xml:space="preserve">This is the October 2025 iteration of the Anti-slavery Risk Tiering Tool (ARTT) that has been developed by a UK cross-government volunteer group (including UK Parliament, Department for Environment, Food and Rural Affairs, Ministry of Housing, Communities and Local Government, Department for Transport, and Integrated Corporate Service - Commercial, working closely with the Home Office, Cabinet Office and Foreign, Commonwealth and Development Office). As it is an early version, it will be updated incrementally, based on user testing and feedback.
The tool is owned by Cabinet Office.  UK Parliament have committed to updating the tool annually where Modern Slavery datasets supporting the tool have been updated.
</t>
    </r>
    <r>
      <rPr>
        <sz val="11"/>
        <rFont val="Calibri"/>
        <family val="2"/>
        <scheme val="minor"/>
      </rPr>
      <t>For improvement suggestions or tool queries please use the survey link below.</t>
    </r>
  </si>
  <si>
    <t>Cambodia, Ecuador, Eswatini, Ghana, Pakistan</t>
  </si>
  <si>
    <t>Bolivia, Brazil, Chad, Costa Rica, El Salvador, Ethiopia, Kenya, Lesotho, Mauritania, Mexico, Niger, Paraguay, South Sudan, Tanzania, Uganda, Zambia</t>
  </si>
  <si>
    <t>Brazil, Myanmar, Cambodia, China, Ghana, Indonesia, Kenya, Paraguay, Peru, Philippines, Taiwan, Thailand, Uganda, Vietnam, Yemen</t>
  </si>
  <si>
    <t>Mauritania, Paraguay</t>
  </si>
  <si>
    <t>Brazil, Ecuador, Paraguay, Philippines</t>
  </si>
  <si>
    <t>Brazil, Paraguay</t>
  </si>
  <si>
    <t>El Salvador, Nicaragua</t>
  </si>
  <si>
    <t>Bangladesh, Myanmar, Cambodia, India, Thailand</t>
  </si>
  <si>
    <t>Dominican Republic, El Salvador, Pakistan</t>
  </si>
  <si>
    <t>Belize, Brazil, Ecuador, Nicaragua, Philippines</t>
  </si>
  <si>
    <t>Bolivia, Peru</t>
  </si>
  <si>
    <t>Brazil, Guinea, Vietnam</t>
  </si>
  <si>
    <t>Belize, Turkey</t>
  </si>
  <si>
    <t>Brazil, Cameroon, Ivory Coast, Ghana, Guinea, Nigeria, Sierra Leone</t>
  </si>
  <si>
    <t>Bolivia, Brazil, Guatemala, Paraguay, Philippines</t>
  </si>
  <si>
    <t>Argentina, Colombia</t>
  </si>
  <si>
    <t>Brazil, Cambodia, Nigeria, Paraguay</t>
  </si>
  <si>
    <t>Honduras, Mexico, Panama, Paraguay</t>
  </si>
  <si>
    <t>Mexico, Paraguay</t>
  </si>
  <si>
    <t>Indonesia, Malaysia, Sierra Leone</t>
  </si>
  <si>
    <t>Bolivia, Paraguay, Turkey</t>
  </si>
  <si>
    <t>Bangladesh, Brazil, Ecuador, Paraguay</t>
  </si>
  <si>
    <t>Brazil, Myanmar, Dominican Republic, Ecuador, Ghana, India, Kenya, Mali, Pakistan, Philippines, Tanzania, Uganda, Vietnam</t>
  </si>
  <si>
    <t>Myanmar, Paraguay</t>
  </si>
  <si>
    <t>Belize, Bolivia, Brazil, Myanmar, Cambodia, Colombia, Dominican Republic, El Salvador, Guatemala, India, Kenya, Mexico, Pakistan, Paraguay, Philippines, Thailand, Uganda, Vietnam, Zimbabwe</t>
  </si>
  <si>
    <t>Argentina, Dominican Republic, Mexico, Paraguay</t>
  </si>
  <si>
    <t>Madagascar, Uganda</t>
  </si>
  <si>
    <t>Brazil, Colombia, Costa Rica, Ivory Coast, Dominican Republic, El Salvador, Guatemala, Guinea, Honduras, Kenya, Mexico, Nicaragua, Panama, Sierra Leone, Tanzania, Uganda, Vietnam</t>
  </si>
  <si>
    <t>India, Kenya, Malawi, Rwanda, Tanzania, Uganda, Vietnam</t>
  </si>
  <si>
    <t>Bolivia, Colombia, Peru</t>
  </si>
  <si>
    <t>Argentina, Paraguay</t>
  </si>
  <si>
    <t>Afghanistan, Mexico</t>
  </si>
  <si>
    <t>Bangladesh, India</t>
  </si>
  <si>
    <t>Argentina, Brazil, Cambodia, Indonesia, Kenya, Kyrgyzstan, Lebanon, Malawi, Mexico, Mozambique, Nicaragua, Philippines, Tanzania, Uganda, Vietnam, Zambia, Zimbabwe</t>
  </si>
  <si>
    <t>Brazil, Cambodia, North Korea, Peru, Russia, Vietnam</t>
  </si>
  <si>
    <t>Afghanistan, India, Iran, Nepal, Pakistan</t>
  </si>
  <si>
    <t>Argentina, Azerbaijan, Benin, Brazil, Burkina Faso, China, Egypt, India, Kazakhstan, Kyrgyzstan, Mali, Pakistan, Tajikistan, Turkey, Turkmenistan, Zambia</t>
  </si>
  <si>
    <t>India, Nepal</t>
  </si>
  <si>
    <t>Bangladesh, Brazil, China, India, Turkey, Vietnam</t>
  </si>
  <si>
    <t>Argentina, Bangladesh, Brazil, Myanmar, China, India, Malaysia, Mauritius, Mexico, Pakistan, Thailand, Turkey, Vietnam</t>
  </si>
  <si>
    <t>India, Pakistan</t>
  </si>
  <si>
    <t>Bangladesh, Pakistan, Vietnam</t>
  </si>
  <si>
    <t>India, Mexico</t>
  </si>
  <si>
    <t>Myanmar, Cambodia, Indonesia, Liberia, Philippines, Vietnam</t>
  </si>
  <si>
    <t>Brazil, Kenya, Tanzania</t>
  </si>
  <si>
    <t>Bangladesh, Cambodia, China, Ghana, North Korea, Pakistan, Vietnam</t>
  </si>
  <si>
    <t>China, India</t>
  </si>
  <si>
    <t>Angola, Central African Republic, Democratic Republic of the Congo, Guinea, Liberia, Sierra Leone</t>
  </si>
  <si>
    <t>India, Zambia</t>
  </si>
  <si>
    <t>Afghanistan, Argentina, Bangladesh, Bolivia, Brazil, Myanmar, Cambodia, China, Ecuador, Egypt, India, Iran, Nepal, North Korea, Pakistan, Paraguay, Peru, Russia, Uganda, Vietnam</t>
  </si>
  <si>
    <t>Brazil, Uganda</t>
  </si>
  <si>
    <t>Afghanistan, China, Colombia, Mongolia, North Korea, Pakistan, Ukraine</t>
  </si>
  <si>
    <t>Burkina Faso, Nigeria, Sierra Leone</t>
  </si>
  <si>
    <t>Guatemala, Nicaragua, Nigeria</t>
  </si>
  <si>
    <t>India, Madagascar</t>
  </si>
  <si>
    <t>Afghanistan, Bangladesh, Niger</t>
  </si>
  <si>
    <t>Kenya, Nigeria, Uganda</t>
  </si>
  <si>
    <t>India, Kenya, Madagascar, Nepal, Tanzania, Uganda, Zambia</t>
  </si>
  <si>
    <t>Egypt, Paraguay</t>
  </si>
  <si>
    <t>Democratic Republic of the Congo, Zambia</t>
  </si>
  <si>
    <t>Bolivia, Burkina Faso, Cameroon, Central African Republic, Chad, Colombia, Democratic Republic of the Congo, Ecuador, Ethiopia, Ghana, Guinea, Indonesia, Kenya, Mali, Mongolia, Nicaragua, Niger, Nigeria, North Korea, Peru, Philippines, Senegal, Sudan, Suriname, Tanzania, Uganda, Venezuela, Zimbabwe</t>
  </si>
  <si>
    <t>Bolivia, Indonesia</t>
  </si>
  <si>
    <t>China, Malaysia, Pakistan</t>
  </si>
  <si>
    <t>China, El Salvador, Guatemala, India, Peru</t>
  </si>
  <si>
    <t>Belarus, Pakistan, Turkey, Vietnam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</si>
</sst>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quot;£&quot;#,##0.00"/>
  </numFmts>
  <fonts count="55" x14ac:knownFonts="1">
    <font>
      <sz val="11"/>
      <color theme="1"/>
      <name val="Calibri"/>
      <family val="2"/>
      <scheme val="minor"/>
    </font>
    <font>
      <sz val="11"/>
      <color theme="1"/>
      <name val="Calibri"/>
      <family val="2"/>
      <scheme val="minor"/>
    </font>
    <font>
      <u/>
      <sz val="11"/>
      <color theme="10"/>
      <name val="Calibri"/>
      <family val="2"/>
      <scheme val="minor"/>
    </font>
    <font>
      <b/>
      <sz val="11"/>
      <color theme="1"/>
      <name val="Calibri"/>
      <family val="2"/>
      <scheme val="minor"/>
    </font>
    <font>
      <b/>
      <sz val="12"/>
      <name val="Calibri"/>
      <family val="2"/>
    </font>
    <font>
      <sz val="12"/>
      <name val="Calibri"/>
      <family val="2"/>
    </font>
    <font>
      <b/>
      <sz val="12"/>
      <color rgb="FF595959"/>
      <name val="Calibri"/>
      <family val="2"/>
    </font>
    <font>
      <sz val="12"/>
      <color rgb="FF000000"/>
      <name val="Calibri"/>
      <family val="2"/>
    </font>
    <font>
      <b/>
      <sz val="12"/>
      <color rgb="FFFFFFFF"/>
      <name val="Calibri"/>
      <family val="2"/>
    </font>
    <font>
      <b/>
      <sz val="12"/>
      <color rgb="FF000000"/>
      <name val="Calibri"/>
      <family val="2"/>
    </font>
    <font>
      <sz val="8"/>
      <color theme="1"/>
      <name val="Calibri"/>
      <family val="2"/>
      <scheme val="minor"/>
    </font>
    <font>
      <b/>
      <sz val="11"/>
      <color rgb="FF000000"/>
      <name val="Calibri"/>
      <family val="2"/>
    </font>
    <font>
      <sz val="11"/>
      <color rgb="FF000000"/>
      <name val="Calibri"/>
      <family val="2"/>
    </font>
    <font>
      <b/>
      <sz val="10"/>
      <color theme="1"/>
      <name val="Arial"/>
      <family val="2"/>
    </font>
    <font>
      <sz val="10"/>
      <color theme="1"/>
      <name val="Arial"/>
      <family val="2"/>
    </font>
    <font>
      <sz val="8"/>
      <name val="Calibri"/>
      <family val="2"/>
      <scheme val="minor"/>
    </font>
    <font>
      <b/>
      <sz val="14"/>
      <color theme="1"/>
      <name val="Calibri"/>
      <family val="2"/>
      <scheme val="minor"/>
    </font>
    <font>
      <b/>
      <sz val="14"/>
      <color rgb="FF000000"/>
      <name val="Calibri"/>
      <family val="2"/>
    </font>
    <font>
      <b/>
      <sz val="20"/>
      <color rgb="FFFFFFFF"/>
      <name val="Calibri"/>
      <family val="2"/>
      <scheme val="minor"/>
    </font>
    <font>
      <i/>
      <sz val="11"/>
      <color theme="1"/>
      <name val="Calibri"/>
      <family val="2"/>
      <scheme val="minor"/>
    </font>
    <font>
      <sz val="12"/>
      <color rgb="FFFF0000"/>
      <name val="Calibri"/>
      <family val="2"/>
    </font>
    <font>
      <b/>
      <sz val="10"/>
      <name val="Calibri"/>
      <family val="2"/>
    </font>
    <font>
      <sz val="10"/>
      <name val="Calibri"/>
      <family val="2"/>
    </font>
    <font>
      <b/>
      <sz val="11"/>
      <color rgb="FFFF0000"/>
      <name val="Calibri"/>
      <family val="2"/>
      <scheme val="minor"/>
    </font>
    <font>
      <b/>
      <sz val="11"/>
      <color theme="0"/>
      <name val="Calibri"/>
      <family val="2"/>
      <scheme val="minor"/>
    </font>
    <font>
      <b/>
      <sz val="14"/>
      <color rgb="FFFFFFFF"/>
      <name val="Calibri"/>
      <family val="2"/>
      <scheme val="minor"/>
    </font>
    <font>
      <b/>
      <sz val="14"/>
      <color theme="0"/>
      <name val="Calibri"/>
      <family val="2"/>
      <scheme val="minor"/>
    </font>
    <font>
      <b/>
      <i/>
      <sz val="11"/>
      <color rgb="FFFFFFFF"/>
      <name val="Calibri"/>
      <family val="2"/>
    </font>
    <font>
      <b/>
      <sz val="12"/>
      <color theme="0"/>
      <name val="Calibri"/>
      <family val="2"/>
      <scheme val="minor"/>
    </font>
    <font>
      <sz val="14"/>
      <color theme="0"/>
      <name val="Calibri"/>
      <family val="2"/>
      <scheme val="minor"/>
    </font>
    <font>
      <b/>
      <sz val="16"/>
      <color theme="0"/>
      <name val="Calibri"/>
      <family val="2"/>
      <scheme val="minor"/>
    </font>
    <font>
      <sz val="11"/>
      <color theme="1"/>
      <name val="Times New Roman"/>
      <family val="1"/>
    </font>
    <font>
      <sz val="26"/>
      <color theme="1"/>
      <name val="Calibri"/>
      <family val="2"/>
      <scheme val="minor"/>
    </font>
    <font>
      <i/>
      <sz val="11"/>
      <color theme="0"/>
      <name val="Calibri"/>
      <family val="2"/>
      <scheme val="minor"/>
    </font>
    <font>
      <b/>
      <sz val="13"/>
      <name val="Calibri"/>
      <family val="2"/>
      <scheme val="minor"/>
    </font>
    <font>
      <sz val="10"/>
      <color theme="1" tint="0.249977111117893"/>
      <name val="Calibri"/>
      <family val="2"/>
      <scheme val="minor"/>
    </font>
    <font>
      <sz val="18"/>
      <color theme="1"/>
      <name val="Calibri"/>
      <family val="2"/>
      <scheme val="minor"/>
    </font>
    <font>
      <sz val="22"/>
      <color theme="1"/>
      <name val="Calibri"/>
      <family val="2"/>
      <scheme val="minor"/>
    </font>
    <font>
      <sz val="12"/>
      <name val="Calibri"/>
      <family val="2"/>
      <scheme val="minor"/>
    </font>
    <font>
      <b/>
      <u val="double"/>
      <sz val="11"/>
      <color theme="1"/>
      <name val="Calibri"/>
      <family val="2"/>
      <scheme val="minor"/>
    </font>
    <font>
      <b/>
      <sz val="18"/>
      <color theme="1"/>
      <name val="Calibri"/>
      <family val="2"/>
      <scheme val="minor"/>
    </font>
    <font>
      <sz val="11"/>
      <color rgb="FFFF0000"/>
      <name val="Calibri"/>
      <family val="2"/>
      <scheme val="minor"/>
    </font>
    <font>
      <b/>
      <sz val="11"/>
      <color rgb="FF000000"/>
      <name val="Calibri"/>
      <family val="2"/>
      <scheme val="minor"/>
    </font>
    <font>
      <sz val="11"/>
      <color rgb="FF000000"/>
      <name val="Calibri"/>
      <family val="2"/>
      <scheme val="minor"/>
    </font>
    <font>
      <sz val="11"/>
      <color rgb="FFFF0000"/>
      <name val="Calibri"/>
      <family val="2"/>
    </font>
    <font>
      <sz val="14"/>
      <color rgb="FF000000"/>
      <name val="Calibri"/>
      <family val="2"/>
      <scheme val="minor"/>
    </font>
    <font>
      <b/>
      <sz val="11"/>
      <color rgb="FF00B050"/>
      <name val="Calibri"/>
      <family val="2"/>
    </font>
    <font>
      <b/>
      <sz val="11"/>
      <color rgb="FFCC79FF"/>
      <name val="Calibri"/>
      <family val="2"/>
    </font>
    <font>
      <u/>
      <sz val="11"/>
      <color rgb="FF0070C0"/>
      <name val="Calibri"/>
      <family val="2"/>
      <scheme val="minor"/>
    </font>
    <font>
      <b/>
      <sz val="20"/>
      <color rgb="FFFF0000"/>
      <name val="Calibri"/>
      <family val="2"/>
      <scheme val="minor"/>
    </font>
    <font>
      <sz val="11"/>
      <color rgb="FF000000"/>
      <name val="Calibri"/>
      <family val="2"/>
      <scheme val="minor"/>
    </font>
    <font>
      <sz val="11"/>
      <name val="Calibri"/>
      <family val="2"/>
    </font>
    <font>
      <sz val="11"/>
      <name val="Calibri"/>
      <family val="2"/>
      <scheme val="minor"/>
    </font>
    <font>
      <b/>
      <sz val="11"/>
      <name val="Calibri"/>
      <family val="2"/>
      <scheme val="minor"/>
    </font>
    <font>
      <b/>
      <sz val="20"/>
      <color theme="0"/>
      <name val="Calibri"/>
      <family val="2"/>
      <scheme val="minor"/>
    </font>
  </fonts>
  <fills count="22">
    <fill>
      <patternFill patternType="none"/>
    </fill>
    <fill>
      <patternFill patternType="gray125"/>
    </fill>
    <fill>
      <patternFill patternType="solid">
        <fgColor rgb="FF1F497D"/>
        <bgColor rgb="FF1F497D"/>
      </patternFill>
    </fill>
    <fill>
      <patternFill patternType="solid">
        <fgColor rgb="FFC0C0C0"/>
        <bgColor indexed="64"/>
      </patternFill>
    </fill>
    <fill>
      <patternFill patternType="solid">
        <fgColor rgb="FF1F497D"/>
        <bgColor indexed="64"/>
      </patternFill>
    </fill>
    <fill>
      <patternFill patternType="solid">
        <fgColor rgb="FFBFBFBF"/>
        <bgColor indexed="64"/>
      </patternFill>
    </fill>
    <fill>
      <patternFill patternType="solid">
        <fgColor rgb="FFFFFF00"/>
        <bgColor indexed="64"/>
      </patternFill>
    </fill>
    <fill>
      <patternFill patternType="solid">
        <fgColor rgb="FFC6E0B4"/>
        <bgColor indexed="64"/>
      </patternFill>
    </fill>
    <fill>
      <patternFill patternType="solid">
        <fgColor theme="2"/>
        <bgColor indexed="64"/>
      </patternFill>
    </fill>
    <fill>
      <patternFill patternType="solid">
        <fgColor theme="8" tint="0.79998168889431442"/>
        <bgColor indexed="64"/>
      </patternFill>
    </fill>
    <fill>
      <patternFill patternType="solid">
        <fgColor theme="0"/>
        <bgColor indexed="64"/>
      </patternFill>
    </fill>
    <fill>
      <patternFill patternType="solid">
        <fgColor theme="0" tint="-0.34998626667073579"/>
        <bgColor indexed="64"/>
      </patternFill>
    </fill>
    <fill>
      <patternFill patternType="solid">
        <fgColor rgb="FFEAC9FF"/>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FF7C80"/>
        <bgColor indexed="64"/>
      </patternFill>
    </fill>
    <fill>
      <patternFill patternType="solid">
        <fgColor theme="9" tint="0.79998168889431442"/>
        <bgColor indexed="64"/>
      </patternFill>
    </fill>
    <fill>
      <patternFill patternType="solid">
        <fgColor theme="0" tint="-0.249977111117893"/>
        <bgColor rgb="FFFFFFFF"/>
      </patternFill>
    </fill>
    <fill>
      <patternFill patternType="solid">
        <fgColor theme="0" tint="-0.249977111117893"/>
        <bgColor rgb="FF1F497D"/>
      </patternFill>
    </fill>
    <fill>
      <patternFill patternType="solid">
        <fgColor theme="4"/>
        <bgColor theme="4"/>
      </patternFill>
    </fill>
    <fill>
      <patternFill patternType="solid">
        <fgColor theme="4" tint="0.79998168889431442"/>
        <bgColor theme="4" tint="0.79998168889431442"/>
      </patternFill>
    </fill>
    <fill>
      <patternFill patternType="solid">
        <fgColor theme="0" tint="-0.14999847407452621"/>
        <bgColor indexed="64"/>
      </patternFill>
    </fill>
  </fills>
  <borders count="73">
    <border>
      <left/>
      <right/>
      <top/>
      <bottom/>
      <diagonal/>
    </border>
    <border>
      <left/>
      <right style="medium">
        <color rgb="FF000000"/>
      </right>
      <top style="medium">
        <color rgb="FF000000"/>
      </top>
      <bottom/>
      <diagonal/>
    </border>
    <border>
      <left/>
      <right style="medium">
        <color rgb="FF000000"/>
      </right>
      <top/>
      <bottom/>
      <diagonal/>
    </border>
    <border>
      <left/>
      <right/>
      <top/>
      <bottom style="medium">
        <color rgb="FF000000"/>
      </bottom>
      <diagonal/>
    </border>
    <border>
      <left/>
      <right style="medium">
        <color rgb="FF000000"/>
      </right>
      <top/>
      <bottom style="medium">
        <color rgb="FF000000"/>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rgb="FF000000"/>
      </left>
      <right/>
      <top style="medium">
        <color rgb="FF000000"/>
      </top>
      <bottom/>
      <diagonal/>
    </border>
    <border>
      <left style="thick">
        <color rgb="FF000000"/>
      </left>
      <right/>
      <top/>
      <bottom style="thick">
        <color rgb="FF000000"/>
      </bottom>
      <diagonal/>
    </border>
    <border>
      <left style="thick">
        <color rgb="FF000000"/>
      </left>
      <right/>
      <top style="thick">
        <color rgb="FF000000"/>
      </top>
      <bottom style="thin">
        <color indexed="64"/>
      </bottom>
      <diagonal/>
    </border>
    <border>
      <left/>
      <right style="thick">
        <color rgb="FF000000"/>
      </right>
      <top style="thick">
        <color rgb="FF000000"/>
      </top>
      <bottom style="thin">
        <color indexed="64"/>
      </bottom>
      <diagonal/>
    </border>
    <border>
      <left style="thin">
        <color indexed="64"/>
      </left>
      <right style="thick">
        <color rgb="FF000000"/>
      </right>
      <top style="thin">
        <color indexed="64"/>
      </top>
      <bottom style="thick">
        <color rgb="FF000000"/>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rgb="FF000000"/>
      </left>
      <right/>
      <top style="thin">
        <color rgb="FF000000"/>
      </top>
      <bottom style="thin">
        <color rgb="FF000000"/>
      </bottom>
      <diagonal/>
    </border>
    <border>
      <left style="medium">
        <color indexed="64"/>
      </left>
      <right style="medium">
        <color indexed="64"/>
      </right>
      <top/>
      <bottom style="thin">
        <color rgb="FF000000"/>
      </bottom>
      <diagonal/>
    </border>
    <border>
      <left/>
      <right/>
      <top style="thin">
        <color indexed="64"/>
      </top>
      <bottom style="thin">
        <color indexed="64"/>
      </bottom>
      <diagonal/>
    </border>
    <border>
      <left style="medium">
        <color rgb="FF000000"/>
      </left>
      <right style="medium">
        <color indexed="64"/>
      </right>
      <top style="medium">
        <color rgb="FF000000"/>
      </top>
      <bottom/>
      <diagonal/>
    </border>
    <border>
      <left style="medium">
        <color rgb="FF000000"/>
      </left>
      <right/>
      <top style="thin">
        <color indexed="64"/>
      </top>
      <bottom style="thin">
        <color indexed="64"/>
      </bottom>
      <diagonal/>
    </border>
    <border>
      <left style="medium">
        <color rgb="FF000000"/>
      </left>
      <right/>
      <top style="thin">
        <color indexed="64"/>
      </top>
      <bottom style="medium">
        <color indexed="64"/>
      </bottom>
      <diagonal/>
    </border>
    <border>
      <left style="medium">
        <color rgb="FF000000"/>
      </left>
      <right style="medium">
        <color indexed="64"/>
      </right>
      <top/>
      <bottom style="thin">
        <color rgb="FF000000"/>
      </bottom>
      <diagonal/>
    </border>
    <border>
      <left style="medium">
        <color rgb="FF000000"/>
      </left>
      <right style="medium">
        <color indexed="64"/>
      </right>
      <top style="medium">
        <color rgb="FF000000"/>
      </top>
      <bottom style="thin">
        <color rgb="FF000000"/>
      </bottom>
      <diagonal/>
    </border>
    <border>
      <left style="medium">
        <color rgb="FF000000"/>
      </left>
      <right/>
      <top style="thin">
        <color indexed="64"/>
      </top>
      <bottom style="medium">
        <color rgb="FF000000"/>
      </bottom>
      <diagonal/>
    </border>
    <border>
      <left style="medium">
        <color rgb="FF000000"/>
      </left>
      <right style="medium">
        <color rgb="FF000000"/>
      </right>
      <top style="medium">
        <color rgb="FF000000"/>
      </top>
      <bottom/>
      <diagonal/>
    </border>
    <border>
      <left/>
      <right style="medium">
        <color rgb="FF000000"/>
      </right>
      <top/>
      <bottom style="medium">
        <color indexed="64"/>
      </bottom>
      <diagonal/>
    </border>
    <border>
      <left/>
      <right style="medium">
        <color rgb="FF000000"/>
      </right>
      <top style="thin">
        <color indexed="64"/>
      </top>
      <bottom style="thin">
        <color indexed="64"/>
      </bottom>
      <diagonal/>
    </border>
    <border>
      <left/>
      <right style="medium">
        <color rgb="FF000000"/>
      </right>
      <top style="thin">
        <color indexed="64"/>
      </top>
      <bottom style="medium">
        <color indexed="64"/>
      </bottom>
      <diagonal/>
    </border>
    <border>
      <left/>
      <right style="medium">
        <color rgb="FF000000"/>
      </right>
      <top style="thin">
        <color indexed="64"/>
      </top>
      <bottom style="medium">
        <color rgb="FF000000"/>
      </bottom>
      <diagonal/>
    </border>
    <border>
      <left/>
      <right/>
      <top/>
      <bottom style="thin">
        <color indexed="64"/>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thick">
        <color indexed="64"/>
      </top>
      <bottom/>
      <diagonal/>
    </border>
    <border>
      <left style="thick">
        <color indexed="64"/>
      </left>
      <right style="thick">
        <color indexed="64"/>
      </right>
      <top/>
      <bottom style="thick">
        <color indexed="64"/>
      </bottom>
      <diagonal/>
    </border>
    <border>
      <left style="thick">
        <color indexed="64"/>
      </left>
      <right style="thick">
        <color indexed="64"/>
      </right>
      <top/>
      <bottom/>
      <diagonal/>
    </border>
    <border>
      <left style="medium">
        <color indexed="64"/>
      </left>
      <right style="medium">
        <color rgb="FF000000"/>
      </right>
      <top style="medium">
        <color rgb="FF000000"/>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rgb="FF000000"/>
      </left>
      <right/>
      <top/>
      <bottom style="medium">
        <color rgb="FF00000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rgb="FF000000"/>
      </left>
      <right/>
      <top/>
      <bottom style="thin">
        <color indexed="64"/>
      </bottom>
      <diagonal/>
    </border>
    <border>
      <left/>
      <right style="medium">
        <color rgb="FF000000"/>
      </right>
      <top/>
      <bottom style="thin">
        <color indexed="64"/>
      </bottom>
      <diagonal/>
    </border>
    <border>
      <left style="medium">
        <color rgb="FF000000"/>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right style="medium">
        <color indexed="64"/>
      </right>
      <top/>
      <bottom style="thin">
        <color indexed="64"/>
      </bottom>
      <diagonal/>
    </border>
    <border>
      <left/>
      <right/>
      <top style="medium">
        <color indexed="64"/>
      </top>
      <bottom style="medium">
        <color indexed="64"/>
      </bottom>
      <diagonal/>
    </border>
    <border>
      <left style="medium">
        <color rgb="FF000000"/>
      </left>
      <right style="medium">
        <color rgb="FF000000"/>
      </right>
      <top/>
      <bottom style="medium">
        <color rgb="FF000000"/>
      </bottom>
      <diagonal/>
    </border>
    <border>
      <left/>
      <right/>
      <top style="thin">
        <color theme="4" tint="0.39997558519241921"/>
      </top>
      <bottom style="thin">
        <color theme="4" tint="0.39997558519241921"/>
      </bottom>
      <diagonal/>
    </border>
    <border>
      <left/>
      <right/>
      <top/>
      <bottom style="thin">
        <color theme="4" tint="0.39997558519241921"/>
      </bottom>
      <diagonal/>
    </border>
    <border>
      <left style="thick">
        <color indexed="64"/>
      </left>
      <right style="thick">
        <color indexed="64"/>
      </right>
      <top style="thin">
        <color indexed="64"/>
      </top>
      <bottom style="thin">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right/>
      <top style="thin">
        <color theme="4" tint="0.39997558519241921"/>
      </top>
      <bottom/>
      <diagonal/>
    </border>
  </borders>
  <cellStyleXfs count="2">
    <xf numFmtId="0" fontId="0" fillId="0" borderId="0"/>
    <xf numFmtId="0" fontId="2" fillId="0" borderId="0" applyNumberFormat="0" applyFill="0" applyBorder="0" applyAlignment="0" applyProtection="0"/>
  </cellStyleXfs>
  <cellXfs count="205">
    <xf numFmtId="0" fontId="0" fillId="0" borderId="0" xfId="0"/>
    <xf numFmtId="0" fontId="0" fillId="0" borderId="0" xfId="0" applyAlignment="1">
      <alignment wrapText="1"/>
    </xf>
    <xf numFmtId="0" fontId="4" fillId="0" borderId="11" xfId="0" applyFont="1" applyBorder="1" applyAlignment="1">
      <alignment horizontal="left" vertical="center" wrapText="1"/>
    </xf>
    <xf numFmtId="0" fontId="7" fillId="0" borderId="6" xfId="0" applyFont="1" applyBorder="1" applyAlignment="1">
      <alignment vertical="center" wrapText="1"/>
    </xf>
    <xf numFmtId="0" fontId="0" fillId="0" borderId="0" xfId="0" applyAlignment="1">
      <alignment vertical="center" wrapText="1"/>
    </xf>
    <xf numFmtId="0" fontId="3" fillId="0" borderId="0" xfId="0" applyFont="1" applyAlignment="1">
      <alignment wrapText="1"/>
    </xf>
    <xf numFmtId="0" fontId="12" fillId="0" borderId="0" xfId="0" applyFont="1"/>
    <xf numFmtId="0" fontId="3" fillId="0" borderId="0" xfId="0" applyFont="1"/>
    <xf numFmtId="0" fontId="0" fillId="0" borderId="10" xfId="0" applyBorder="1"/>
    <xf numFmtId="0" fontId="13" fillId="3" borderId="5" xfId="0" applyFont="1" applyFill="1" applyBorder="1" applyAlignment="1">
      <alignment horizontal="center" vertical="center"/>
    </xf>
    <xf numFmtId="0" fontId="13" fillId="3" borderId="7" xfId="0" applyFont="1" applyFill="1" applyBorder="1" applyAlignment="1">
      <alignment horizontal="center" vertical="center"/>
    </xf>
    <xf numFmtId="0" fontId="14" fillId="0" borderId="15" xfId="0" applyFont="1" applyBorder="1" applyAlignment="1">
      <alignment vertical="center"/>
    </xf>
    <xf numFmtId="0" fontId="14" fillId="0" borderId="15" xfId="0" applyFont="1" applyBorder="1"/>
    <xf numFmtId="0" fontId="0" fillId="0" borderId="0" xfId="0" quotePrefix="1"/>
    <xf numFmtId="0" fontId="2" fillId="0" borderId="0" xfId="1"/>
    <xf numFmtId="0" fontId="2" fillId="0" borderId="2" xfId="1" applyBorder="1"/>
    <xf numFmtId="0" fontId="20" fillId="0" borderId="22" xfId="0" applyFont="1" applyBorder="1" applyAlignment="1">
      <alignment vertical="center" wrapText="1"/>
    </xf>
    <xf numFmtId="0" fontId="4" fillId="0" borderId="24" xfId="0" applyFont="1" applyBorder="1" applyAlignment="1">
      <alignment horizontal="left" vertical="center" wrapText="1"/>
    </xf>
    <xf numFmtId="0" fontId="4" fillId="0" borderId="16" xfId="0" applyFont="1" applyBorder="1" applyAlignment="1">
      <alignment horizontal="left" vertical="center" wrapText="1"/>
    </xf>
    <xf numFmtId="0" fontId="21" fillId="0" borderId="0" xfId="0" applyFont="1" applyAlignment="1">
      <alignment wrapText="1"/>
    </xf>
    <xf numFmtId="0" fontId="22" fillId="0" borderId="0" xfId="0" applyFont="1"/>
    <xf numFmtId="0" fontId="21" fillId="8" borderId="0" xfId="0" applyFont="1" applyFill="1" applyAlignment="1">
      <alignment wrapText="1"/>
    </xf>
    <xf numFmtId="164" fontId="22" fillId="8" borderId="0" xfId="0" applyNumberFormat="1" applyFont="1" applyFill="1"/>
    <xf numFmtId="0" fontId="11" fillId="0" borderId="0" xfId="0" applyFont="1"/>
    <xf numFmtId="0" fontId="23" fillId="0" borderId="0" xfId="0" applyFont="1"/>
    <xf numFmtId="0" fontId="0" fillId="0" borderId="9" xfId="0" applyBorder="1" applyAlignment="1">
      <alignment wrapText="1"/>
    </xf>
    <xf numFmtId="0" fontId="0" fillId="0" borderId="23" xfId="0" applyBorder="1"/>
    <xf numFmtId="0" fontId="0" fillId="0" borderId="26" xfId="0" applyBorder="1" applyAlignment="1">
      <alignment wrapText="1"/>
    </xf>
    <xf numFmtId="0" fontId="0" fillId="0" borderId="25" xfId="0" applyBorder="1" applyAlignment="1">
      <alignment wrapText="1"/>
    </xf>
    <xf numFmtId="0" fontId="11" fillId="0" borderId="0" xfId="0" applyFont="1" applyAlignment="1">
      <alignment horizontal="right"/>
    </xf>
    <xf numFmtId="0" fontId="0" fillId="0" borderId="28" xfId="0" applyBorder="1"/>
    <xf numFmtId="0" fontId="0" fillId="9" borderId="15" xfId="0" applyFill="1" applyBorder="1" applyProtection="1">
      <protection locked="0"/>
    </xf>
    <xf numFmtId="0" fontId="0" fillId="9" borderId="27" xfId="0" applyFill="1" applyBorder="1" applyProtection="1">
      <protection locked="0"/>
    </xf>
    <xf numFmtId="0" fontId="0" fillId="9" borderId="14" xfId="0" applyFill="1" applyBorder="1" applyProtection="1">
      <protection locked="0"/>
    </xf>
    <xf numFmtId="0" fontId="2" fillId="9" borderId="15" xfId="1" applyFill="1" applyBorder="1" applyAlignment="1" applyProtection="1">
      <alignment wrapText="1"/>
      <protection locked="0"/>
    </xf>
    <xf numFmtId="0" fontId="0" fillId="0" borderId="30" xfId="0" applyBorder="1"/>
    <xf numFmtId="0" fontId="8" fillId="2" borderId="37" xfId="0" applyFont="1" applyFill="1" applyBorder="1" applyAlignment="1">
      <alignment horizontal="center" vertical="center"/>
    </xf>
    <xf numFmtId="0" fontId="27" fillId="2" borderId="17" xfId="0" applyFont="1" applyFill="1" applyBorder="1" applyAlignment="1">
      <alignment horizontal="center" vertical="center" wrapText="1"/>
    </xf>
    <xf numFmtId="0" fontId="0" fillId="0" borderId="0" xfId="0" applyAlignment="1">
      <alignment horizontal="left" vertical="center"/>
    </xf>
    <xf numFmtId="0" fontId="19" fillId="0" borderId="0" xfId="0" applyFont="1"/>
    <xf numFmtId="0" fontId="31" fillId="0" borderId="0" xfId="0" applyFont="1"/>
    <xf numFmtId="0" fontId="0" fillId="0" borderId="0" xfId="0" applyAlignment="1">
      <alignment textRotation="90" wrapText="1"/>
    </xf>
    <xf numFmtId="0" fontId="0" fillId="13" borderId="0" xfId="0" applyFill="1"/>
    <xf numFmtId="0" fontId="0" fillId="13" borderId="0" xfId="0" applyFill="1" applyAlignment="1">
      <alignment wrapText="1"/>
    </xf>
    <xf numFmtId="0" fontId="0" fillId="14" borderId="0" xfId="0" applyFill="1"/>
    <xf numFmtId="0" fontId="0" fillId="9" borderId="15" xfId="0" applyFill="1" applyBorder="1"/>
    <xf numFmtId="0" fontId="35" fillId="0" borderId="1" xfId="0" applyFont="1" applyBorder="1"/>
    <xf numFmtId="0" fontId="0" fillId="0" borderId="0" xfId="0" applyAlignment="1">
      <alignment horizontal="right"/>
    </xf>
    <xf numFmtId="0" fontId="0" fillId="9" borderId="15" xfId="0" applyFill="1" applyBorder="1" applyAlignment="1">
      <alignment wrapText="1"/>
    </xf>
    <xf numFmtId="0" fontId="0" fillId="9" borderId="15" xfId="0" applyFill="1" applyBorder="1" applyAlignment="1" applyProtection="1">
      <alignment wrapText="1"/>
      <protection locked="0"/>
    </xf>
    <xf numFmtId="0" fontId="10" fillId="9" borderId="15" xfId="0" applyFont="1" applyFill="1" applyBorder="1" applyAlignment="1" applyProtection="1">
      <alignment textRotation="90" wrapText="1"/>
      <protection locked="0"/>
    </xf>
    <xf numFmtId="0" fontId="15" fillId="9" borderId="15" xfId="0" applyFont="1" applyFill="1" applyBorder="1" applyAlignment="1" applyProtection="1">
      <alignment textRotation="90" wrapText="1"/>
      <protection locked="0"/>
    </xf>
    <xf numFmtId="14" fontId="0" fillId="0" borderId="0" xfId="0" applyNumberFormat="1"/>
    <xf numFmtId="0" fontId="3" fillId="0" borderId="0" xfId="0" applyFont="1" applyAlignment="1">
      <alignment textRotation="90"/>
    </xf>
    <xf numFmtId="0" fontId="24" fillId="4" borderId="43" xfId="0" applyFont="1" applyFill="1" applyBorder="1" applyAlignment="1">
      <alignment horizontal="center"/>
    </xf>
    <xf numFmtId="0" fontId="35" fillId="0" borderId="47" xfId="0" applyFont="1" applyBorder="1"/>
    <xf numFmtId="0" fontId="12" fillId="0" borderId="0" xfId="0" applyFont="1" applyAlignment="1">
      <alignment wrapText="1"/>
    </xf>
    <xf numFmtId="0" fontId="3" fillId="0" borderId="51" xfId="0" applyFont="1" applyBorder="1" applyAlignment="1">
      <alignment horizontal="center"/>
    </xf>
    <xf numFmtId="0" fontId="16" fillId="0" borderId="0" xfId="0" applyFont="1"/>
    <xf numFmtId="0" fontId="12" fillId="0" borderId="52" xfId="0" applyFont="1" applyBorder="1" applyAlignment="1">
      <alignment wrapText="1"/>
    </xf>
    <xf numFmtId="0" fontId="0" fillId="0" borderId="52" xfId="0" applyBorder="1" applyAlignment="1">
      <alignment wrapText="1"/>
    </xf>
    <xf numFmtId="0" fontId="0" fillId="0" borderId="52" xfId="0" applyBorder="1"/>
    <xf numFmtId="0" fontId="16" fillId="11" borderId="18" xfId="0" applyFont="1" applyFill="1" applyBorder="1" applyAlignment="1">
      <alignment vertical="center"/>
    </xf>
    <xf numFmtId="0" fontId="40" fillId="6" borderId="21" xfId="0" applyFont="1" applyFill="1" applyBorder="1" applyAlignment="1">
      <alignment horizontal="center" vertical="center"/>
    </xf>
    <xf numFmtId="0" fontId="26" fillId="4" borderId="51" xfId="0" applyFont="1" applyFill="1" applyBorder="1"/>
    <xf numFmtId="0" fontId="0" fillId="0" borderId="13" xfId="0" applyBorder="1" applyAlignment="1">
      <alignment wrapText="1"/>
    </xf>
    <xf numFmtId="0" fontId="0" fillId="0" borderId="54" xfId="0" applyBorder="1" applyAlignment="1">
      <alignment wrapText="1"/>
    </xf>
    <xf numFmtId="0" fontId="0" fillId="0" borderId="24" xfId="0" applyBorder="1" applyAlignment="1">
      <alignment vertical="center" wrapText="1"/>
    </xf>
    <xf numFmtId="0" fontId="0" fillId="0" borderId="10" xfId="0" applyBorder="1" applyAlignment="1">
      <alignment vertical="center" wrapText="1"/>
    </xf>
    <xf numFmtId="0" fontId="0" fillId="0" borderId="11" xfId="0" applyBorder="1" applyAlignment="1">
      <alignment vertical="center" wrapText="1"/>
    </xf>
    <xf numFmtId="0" fontId="9" fillId="17" borderId="31" xfId="0" applyFont="1" applyFill="1" applyBorder="1" applyAlignment="1">
      <alignment horizontal="left" vertical="center" wrapText="1"/>
    </xf>
    <xf numFmtId="0" fontId="9" fillId="17" borderId="34" xfId="0" applyFont="1" applyFill="1" applyBorder="1" applyAlignment="1">
      <alignment horizontal="left" vertical="center" wrapText="1"/>
    </xf>
    <xf numFmtId="0" fontId="9" fillId="17" borderId="35" xfId="0" applyFont="1" applyFill="1" applyBorder="1" applyAlignment="1">
      <alignment horizontal="left" vertical="center" wrapText="1"/>
    </xf>
    <xf numFmtId="0" fontId="9" fillId="17" borderId="29" xfId="0" applyFont="1" applyFill="1" applyBorder="1" applyAlignment="1">
      <alignment horizontal="left" vertical="center" wrapText="1"/>
    </xf>
    <xf numFmtId="0" fontId="0" fillId="0" borderId="55" xfId="0" applyBorder="1" applyAlignment="1">
      <alignment wrapText="1"/>
    </xf>
    <xf numFmtId="0" fontId="0" fillId="16" borderId="55" xfId="0" applyFill="1" applyBorder="1" applyAlignment="1">
      <alignment horizontal="center" vertical="center" wrapText="1"/>
    </xf>
    <xf numFmtId="0" fontId="39" fillId="15" borderId="55" xfId="0" applyFont="1" applyFill="1" applyBorder="1" applyAlignment="1">
      <alignment horizontal="center" vertical="center" wrapText="1"/>
    </xf>
    <xf numFmtId="0" fontId="3" fillId="6" borderId="56" xfId="0" applyFont="1" applyFill="1" applyBorder="1" applyAlignment="1">
      <alignment horizontal="center" vertical="center" wrapText="1"/>
    </xf>
    <xf numFmtId="0" fontId="18" fillId="4" borderId="0" xfId="0" applyFont="1" applyFill="1" applyAlignment="1">
      <alignment horizontal="center"/>
    </xf>
    <xf numFmtId="0" fontId="0" fillId="9" borderId="15" xfId="0" quotePrefix="1" applyFill="1" applyBorder="1" applyProtection="1">
      <protection locked="0"/>
    </xf>
    <xf numFmtId="0" fontId="0" fillId="10" borderId="0" xfId="0" applyFill="1"/>
    <xf numFmtId="0" fontId="35" fillId="0" borderId="39" xfId="0" applyFont="1" applyBorder="1"/>
    <xf numFmtId="0" fontId="35" fillId="0" borderId="60" xfId="0" applyFont="1" applyBorder="1"/>
    <xf numFmtId="0" fontId="5" fillId="7" borderId="61" xfId="0" applyFont="1" applyFill="1" applyBorder="1" applyAlignment="1" applyProtection="1">
      <alignment vertical="center" wrapText="1"/>
      <protection locked="0"/>
    </xf>
    <xf numFmtId="0" fontId="5" fillId="7" borderId="62" xfId="0" applyFont="1" applyFill="1" applyBorder="1" applyAlignment="1" applyProtection="1">
      <alignment vertical="center" wrapText="1"/>
      <protection locked="0"/>
    </xf>
    <xf numFmtId="165" fontId="5" fillId="7" borderId="63" xfId="0" applyNumberFormat="1" applyFont="1" applyFill="1" applyBorder="1" applyAlignment="1" applyProtection="1">
      <alignment horizontal="left" vertical="center" wrapText="1"/>
      <protection locked="0"/>
    </xf>
    <xf numFmtId="0" fontId="3" fillId="0" borderId="0" xfId="0" applyFont="1" applyAlignment="1">
      <alignment horizontal="right"/>
    </xf>
    <xf numFmtId="0" fontId="0" fillId="0" borderId="0" xfId="0" applyAlignment="1">
      <alignment horizontal="left"/>
    </xf>
    <xf numFmtId="165" fontId="0" fillId="0" borderId="0" xfId="0" applyNumberFormat="1" applyAlignment="1">
      <alignment horizontal="left"/>
    </xf>
    <xf numFmtId="0" fontId="0" fillId="0" borderId="64" xfId="0" applyBorder="1" applyAlignment="1">
      <alignment wrapText="1"/>
    </xf>
    <xf numFmtId="0" fontId="2" fillId="0" borderId="0" xfId="1" applyBorder="1" applyAlignment="1">
      <alignment wrapText="1"/>
    </xf>
    <xf numFmtId="0" fontId="0" fillId="0" borderId="65" xfId="0" applyBorder="1"/>
    <xf numFmtId="0" fontId="50" fillId="0" borderId="55" xfId="0" applyFont="1" applyBorder="1" applyAlignment="1">
      <alignment wrapText="1"/>
    </xf>
    <xf numFmtId="0" fontId="43" fillId="0" borderId="0" xfId="0" applyFont="1" applyAlignment="1">
      <alignment wrapText="1"/>
    </xf>
    <xf numFmtId="0" fontId="0" fillId="0" borderId="48" xfId="0" applyBorder="1" applyAlignment="1">
      <alignment vertical="center" wrapText="1"/>
    </xf>
    <xf numFmtId="0" fontId="1" fillId="0" borderId="55" xfId="0" applyFont="1" applyBorder="1" applyAlignment="1">
      <alignment wrapText="1"/>
    </xf>
    <xf numFmtId="0" fontId="0" fillId="0" borderId="8" xfId="0" applyBorder="1" applyAlignment="1">
      <alignment wrapText="1"/>
    </xf>
    <xf numFmtId="0" fontId="52" fillId="0" borderId="8" xfId="0" applyFont="1" applyBorder="1" applyAlignment="1">
      <alignment vertical="top" wrapText="1"/>
    </xf>
    <xf numFmtId="0" fontId="2" fillId="0" borderId="66" xfId="1" applyBorder="1" applyAlignment="1">
      <alignment wrapText="1"/>
    </xf>
    <xf numFmtId="0" fontId="52" fillId="0" borderId="37" xfId="0" applyFont="1" applyBorder="1" applyAlignment="1">
      <alignment wrapText="1"/>
    </xf>
    <xf numFmtId="0" fontId="52" fillId="0" borderId="52" xfId="0" applyFont="1" applyBorder="1" applyAlignment="1">
      <alignment wrapText="1"/>
    </xf>
    <xf numFmtId="0" fontId="52" fillId="0" borderId="13" xfId="0" applyFont="1" applyBorder="1" applyAlignment="1">
      <alignment wrapText="1"/>
    </xf>
    <xf numFmtId="0" fontId="52" fillId="0" borderId="54" xfId="0" applyFont="1" applyBorder="1" applyAlignment="1">
      <alignment wrapText="1"/>
    </xf>
    <xf numFmtId="164" fontId="22" fillId="8" borderId="67" xfId="0" applyNumberFormat="1" applyFont="1" applyFill="1" applyBorder="1"/>
    <xf numFmtId="0" fontId="12" fillId="20" borderId="67" xfId="0" applyFont="1" applyFill="1" applyBorder="1"/>
    <xf numFmtId="0" fontId="22" fillId="20" borderId="67" xfId="0" applyFont="1" applyFill="1" applyBorder="1"/>
    <xf numFmtId="0" fontId="21" fillId="19" borderId="68" xfId="0" applyFont="1" applyFill="1" applyBorder="1" applyAlignment="1">
      <alignment wrapText="1"/>
    </xf>
    <xf numFmtId="0" fontId="21" fillId="8" borderId="68" xfId="0" applyFont="1" applyFill="1" applyBorder="1" applyAlignment="1">
      <alignment wrapText="1"/>
    </xf>
    <xf numFmtId="0" fontId="24" fillId="19" borderId="68" xfId="0" applyFont="1" applyFill="1" applyBorder="1"/>
    <xf numFmtId="0" fontId="53" fillId="0" borderId="0" xfId="0" applyFont="1" applyAlignment="1">
      <alignment wrapText="1"/>
    </xf>
    <xf numFmtId="0" fontId="52" fillId="9" borderId="15" xfId="0" applyFont="1" applyFill="1" applyBorder="1" applyAlignment="1" applyProtection="1">
      <alignment wrapText="1"/>
      <protection locked="0"/>
    </xf>
    <xf numFmtId="0" fontId="7" fillId="7" borderId="5" xfId="0" applyFont="1" applyFill="1" applyBorder="1" applyAlignment="1" applyProtection="1">
      <alignment horizontal="left" wrapText="1"/>
      <protection locked="0"/>
    </xf>
    <xf numFmtId="0" fontId="52" fillId="0" borderId="8" xfId="0" applyFont="1" applyBorder="1" applyAlignment="1">
      <alignment wrapText="1"/>
    </xf>
    <xf numFmtId="0" fontId="0" fillId="0" borderId="8" xfId="0" applyBorder="1" applyAlignment="1">
      <alignment vertical="top" wrapText="1"/>
    </xf>
    <xf numFmtId="0" fontId="0" fillId="0" borderId="14" xfId="0" applyBorder="1" applyAlignment="1">
      <alignment vertical="top"/>
    </xf>
    <xf numFmtId="0" fontId="43" fillId="0" borderId="53" xfId="0" applyFont="1" applyBorder="1" applyAlignment="1">
      <alignment wrapText="1"/>
    </xf>
    <xf numFmtId="0" fontId="22" fillId="20" borderId="72" xfId="0" applyFont="1" applyFill="1" applyBorder="1"/>
    <xf numFmtId="164" fontId="22" fillId="8" borderId="72" xfId="0" applyNumberFormat="1" applyFont="1" applyFill="1" applyBorder="1"/>
    <xf numFmtId="0" fontId="12" fillId="20" borderId="72" xfId="0" applyFont="1" applyFill="1" applyBorder="1"/>
    <xf numFmtId="164" fontId="0" fillId="0" borderId="0" xfId="0" applyNumberFormat="1"/>
    <xf numFmtId="0" fontId="0" fillId="21" borderId="0" xfId="0" applyFill="1"/>
    <xf numFmtId="0" fontId="18" fillId="4" borderId="0" xfId="0" applyFont="1" applyFill="1" applyAlignment="1">
      <alignment horizontal="center"/>
    </xf>
    <xf numFmtId="0" fontId="0" fillId="0" borderId="3" xfId="0" applyBorder="1" applyAlignment="1">
      <alignment horizontal="center"/>
    </xf>
    <xf numFmtId="0" fontId="16" fillId="5" borderId="17" xfId="0" applyFont="1" applyFill="1" applyBorder="1"/>
    <xf numFmtId="0" fontId="16" fillId="5" borderId="1" xfId="0" applyFont="1" applyFill="1" applyBorder="1"/>
    <xf numFmtId="0" fontId="12" fillId="0" borderId="50" xfId="0" applyFont="1" applyBorder="1" applyAlignment="1">
      <alignment vertical="center" wrapText="1"/>
    </xf>
    <xf numFmtId="0" fontId="12" fillId="0" borderId="4" xfId="0" applyFont="1" applyBorder="1" applyAlignment="1">
      <alignment vertical="center" wrapText="1"/>
    </xf>
    <xf numFmtId="0" fontId="17" fillId="5" borderId="17" xfId="0" applyFont="1" applyFill="1" applyBorder="1" applyAlignment="1">
      <alignment wrapText="1"/>
    </xf>
    <xf numFmtId="0" fontId="17" fillId="5" borderId="1" xfId="0" applyFont="1" applyFill="1" applyBorder="1" applyAlignment="1">
      <alignment wrapText="1"/>
    </xf>
    <xf numFmtId="0" fontId="12" fillId="0" borderId="50" xfId="0" applyFont="1" applyBorder="1" applyAlignment="1">
      <alignment wrapText="1"/>
    </xf>
    <xf numFmtId="0" fontId="12" fillId="0" borderId="4" xfId="0" applyFont="1" applyBorder="1" applyAlignment="1">
      <alignment wrapText="1"/>
    </xf>
    <xf numFmtId="0" fontId="53" fillId="0" borderId="8" xfId="0" applyFont="1" applyBorder="1" applyAlignment="1">
      <alignment horizontal="left" vertical="top" wrapText="1"/>
    </xf>
    <xf numFmtId="0" fontId="53" fillId="0" borderId="2" xfId="0" applyFont="1" applyBorder="1" applyAlignment="1">
      <alignment horizontal="left" vertical="top" wrapText="1"/>
    </xf>
    <xf numFmtId="0" fontId="52" fillId="0" borderId="11" xfId="0" applyFont="1" applyBorder="1" applyAlignment="1">
      <alignment horizontal="left" vertical="center" wrapText="1"/>
    </xf>
    <xf numFmtId="0" fontId="52" fillId="0" borderId="14" xfId="0" applyFont="1" applyBorder="1" applyAlignment="1">
      <alignment horizontal="left" vertical="center" wrapText="1"/>
    </xf>
    <xf numFmtId="0" fontId="0" fillId="0" borderId="10" xfId="0" applyBorder="1" applyAlignment="1">
      <alignment horizontal="left" vertical="center" wrapText="1"/>
    </xf>
    <xf numFmtId="0" fontId="0" fillId="0" borderId="13" xfId="0" applyBorder="1" applyAlignment="1">
      <alignment horizontal="left" vertical="center" wrapText="1"/>
    </xf>
    <xf numFmtId="0" fontId="2" fillId="0" borderId="70" xfId="1" applyBorder="1" applyAlignment="1">
      <alignment horizontal="left" vertical="center" wrapText="1"/>
    </xf>
    <xf numFmtId="0" fontId="2" fillId="0" borderId="71" xfId="1" applyBorder="1" applyAlignment="1">
      <alignment horizontal="left" vertical="center" wrapText="1"/>
    </xf>
    <xf numFmtId="0" fontId="52" fillId="0" borderId="55" xfId="0" applyFont="1" applyBorder="1" applyAlignment="1">
      <alignment wrapText="1"/>
    </xf>
    <xf numFmtId="0" fontId="52" fillId="0" borderId="52" xfId="0" applyFont="1" applyBorder="1" applyAlignment="1">
      <alignment wrapText="1"/>
    </xf>
    <xf numFmtId="0" fontId="0" fillId="12" borderId="32" xfId="0" applyFill="1" applyBorder="1" applyProtection="1">
      <protection locked="0"/>
    </xf>
    <xf numFmtId="0" fontId="0" fillId="12" borderId="39" xfId="0" applyFill="1" applyBorder="1" applyProtection="1">
      <protection locked="0"/>
    </xf>
    <xf numFmtId="0" fontId="0" fillId="0" borderId="33" xfId="0" applyBorder="1" applyProtection="1">
      <protection locked="0"/>
    </xf>
    <xf numFmtId="0" fontId="0" fillId="0" borderId="40" xfId="0" applyBorder="1" applyProtection="1">
      <protection locked="0"/>
    </xf>
    <xf numFmtId="0" fontId="32" fillId="0" borderId="2" xfId="0" applyFont="1" applyBorder="1" applyAlignment="1">
      <alignment horizontal="center" vertical="center"/>
    </xf>
    <xf numFmtId="0" fontId="0" fillId="0" borderId="0" xfId="0" applyAlignment="1">
      <alignment horizontal="center"/>
    </xf>
    <xf numFmtId="0" fontId="0" fillId="0" borderId="36" xfId="0" applyBorder="1" applyProtection="1">
      <protection locked="0"/>
    </xf>
    <xf numFmtId="0" fontId="0" fillId="0" borderId="41" xfId="0" applyBorder="1" applyProtection="1">
      <protection locked="0"/>
    </xf>
    <xf numFmtId="0" fontId="33" fillId="0" borderId="0" xfId="0" applyFont="1" applyAlignment="1">
      <alignment horizontal="center"/>
    </xf>
    <xf numFmtId="0" fontId="0" fillId="0" borderId="0" xfId="0" applyAlignment="1" applyProtection="1">
      <alignment horizontal="center"/>
      <protection locked="0"/>
    </xf>
    <xf numFmtId="0" fontId="24" fillId="0" borderId="0" xfId="0" applyFont="1" applyAlignment="1">
      <alignment horizontal="center"/>
    </xf>
    <xf numFmtId="0" fontId="6" fillId="0" borderId="12" xfId="0" applyFont="1" applyBorder="1" applyAlignment="1">
      <alignment horizontal="center" vertical="center" wrapText="1"/>
    </xf>
    <xf numFmtId="0" fontId="6" fillId="0" borderId="0" xfId="0" applyFont="1" applyAlignment="1">
      <alignment horizontal="center" vertical="center" wrapText="1"/>
    </xf>
    <xf numFmtId="0" fontId="0" fillId="0" borderId="44" xfId="0" applyBorder="1" applyAlignment="1">
      <alignment horizontal="center" vertical="center"/>
    </xf>
    <xf numFmtId="0" fontId="0" fillId="0" borderId="46" xfId="0" applyBorder="1" applyAlignment="1">
      <alignment horizontal="center" vertical="center"/>
    </xf>
    <xf numFmtId="0" fontId="0" fillId="0" borderId="69" xfId="0" applyBorder="1" applyAlignment="1">
      <alignment horizontal="center" vertical="center"/>
    </xf>
    <xf numFmtId="0" fontId="0" fillId="0" borderId="0" xfId="0"/>
    <xf numFmtId="0" fontId="0" fillId="0" borderId="69" xfId="0" applyBorder="1" applyAlignment="1">
      <alignment horizontal="center" vertical="center" wrapText="1"/>
    </xf>
    <xf numFmtId="0" fontId="0" fillId="0" borderId="46" xfId="0" applyBorder="1" applyAlignment="1">
      <alignment horizontal="center" vertical="center" wrapText="1"/>
    </xf>
    <xf numFmtId="0" fontId="0" fillId="0" borderId="45" xfId="0" applyBorder="1" applyAlignment="1">
      <alignment horizontal="center" vertical="center" wrapText="1"/>
    </xf>
    <xf numFmtId="0" fontId="28" fillId="0" borderId="0" xfId="0" applyFont="1"/>
    <xf numFmtId="0" fontId="0" fillId="12" borderId="57" xfId="0" applyFill="1" applyBorder="1" applyProtection="1">
      <protection locked="0"/>
    </xf>
    <xf numFmtId="0" fontId="0" fillId="12" borderId="58" xfId="0" applyFill="1" applyBorder="1" applyProtection="1">
      <protection locked="0"/>
    </xf>
    <xf numFmtId="0" fontId="0" fillId="12" borderId="59" xfId="0" applyFill="1" applyBorder="1" applyProtection="1">
      <protection locked="0"/>
    </xf>
    <xf numFmtId="0" fontId="0" fillId="12" borderId="38" xfId="0" applyFill="1" applyBorder="1" applyProtection="1">
      <protection locked="0"/>
    </xf>
    <xf numFmtId="0" fontId="0" fillId="16" borderId="0" xfId="0" applyFill="1" applyAlignment="1">
      <alignment horizontal="center"/>
    </xf>
    <xf numFmtId="0" fontId="0" fillId="0" borderId="0" xfId="0" applyAlignment="1">
      <alignment horizontal="right" wrapText="1"/>
    </xf>
    <xf numFmtId="0" fontId="0" fillId="0" borderId="42" xfId="0" applyBorder="1" applyAlignment="1">
      <alignment horizontal="center"/>
    </xf>
    <xf numFmtId="0" fontId="0" fillId="0" borderId="11" xfId="0" applyBorder="1" applyAlignment="1">
      <alignment vertical="top" wrapText="1"/>
    </xf>
    <xf numFmtId="0" fontId="0" fillId="0" borderId="14" xfId="0" applyBorder="1" applyAlignment="1">
      <alignment vertical="top" wrapText="1"/>
    </xf>
    <xf numFmtId="0" fontId="34" fillId="0" borderId="48" xfId="1" applyNumberFormat="1" applyFont="1" applyBorder="1" applyAlignment="1">
      <alignment wrapText="1"/>
    </xf>
    <xf numFmtId="0" fontId="34" fillId="0" borderId="49" xfId="1" applyNumberFormat="1" applyFont="1" applyBorder="1" applyAlignment="1">
      <alignment wrapText="1"/>
    </xf>
    <xf numFmtId="0" fontId="38" fillId="0" borderId="11" xfId="1" applyNumberFormat="1" applyFont="1" applyBorder="1" applyAlignment="1">
      <alignment vertical="top" wrapText="1"/>
    </xf>
    <xf numFmtId="0" fontId="38" fillId="0" borderId="14" xfId="1" applyNumberFormat="1" applyFont="1" applyBorder="1" applyAlignment="1">
      <alignment vertical="top" wrapText="1"/>
    </xf>
    <xf numFmtId="0" fontId="0" fillId="0" borderId="10" xfId="0" applyBorder="1" applyAlignment="1">
      <alignment vertical="top" wrapText="1"/>
    </xf>
    <xf numFmtId="0" fontId="0" fillId="0" borderId="13" xfId="0" applyBorder="1" applyAlignment="1">
      <alignment vertical="top" wrapText="1"/>
    </xf>
    <xf numFmtId="0" fontId="26" fillId="4" borderId="9" xfId="0" applyFont="1" applyFill="1" applyBorder="1" applyAlignment="1">
      <alignment horizontal="center"/>
    </xf>
    <xf numFmtId="0" fontId="26" fillId="4" borderId="23" xfId="0" applyFont="1" applyFill="1" applyBorder="1" applyAlignment="1">
      <alignment horizontal="center"/>
    </xf>
    <xf numFmtId="0" fontId="38" fillId="0" borderId="10" xfId="1" applyNumberFormat="1" applyFont="1" applyBorder="1" applyAlignment="1">
      <alignment vertical="top" wrapText="1"/>
    </xf>
    <xf numFmtId="0" fontId="38" fillId="0" borderId="13" xfId="1" applyNumberFormat="1" applyFont="1" applyBorder="1" applyAlignment="1">
      <alignment vertical="top" wrapText="1"/>
    </xf>
    <xf numFmtId="0" fontId="34" fillId="0" borderId="10" xfId="1" applyNumberFormat="1" applyFont="1" applyBorder="1" applyAlignment="1">
      <alignment wrapText="1"/>
    </xf>
    <xf numFmtId="0" fontId="34" fillId="0" borderId="13" xfId="1" applyNumberFormat="1" applyFont="1" applyBorder="1" applyAlignment="1">
      <alignment wrapText="1"/>
    </xf>
    <xf numFmtId="0" fontId="25" fillId="4" borderId="19" xfId="0" applyFont="1" applyFill="1" applyBorder="1" applyAlignment="1">
      <alignment horizontal="center"/>
    </xf>
    <xf numFmtId="0" fontId="25" fillId="4" borderId="20" xfId="0" applyFont="1" applyFill="1" applyBorder="1" applyAlignment="1">
      <alignment horizontal="center"/>
    </xf>
    <xf numFmtId="0" fontId="26" fillId="4" borderId="9" xfId="0" applyFont="1" applyFill="1" applyBorder="1" applyAlignment="1">
      <alignment horizontal="center" vertical="center" wrapText="1"/>
    </xf>
    <xf numFmtId="0" fontId="26" fillId="4" borderId="23" xfId="0" applyFont="1" applyFill="1" applyBorder="1" applyAlignment="1">
      <alignment horizontal="center" vertical="center" wrapText="1"/>
    </xf>
    <xf numFmtId="0" fontId="26" fillId="4" borderId="10" xfId="0" applyFont="1" applyFill="1" applyBorder="1" applyAlignment="1">
      <alignment horizontal="center" vertical="center" wrapText="1"/>
    </xf>
    <xf numFmtId="0" fontId="26" fillId="4" borderId="13" xfId="0" applyFont="1" applyFill="1" applyBorder="1" applyAlignment="1">
      <alignment horizontal="center" vertical="center" wrapText="1"/>
    </xf>
    <xf numFmtId="0" fontId="26" fillId="4" borderId="9" xfId="0" applyFont="1" applyFill="1" applyBorder="1"/>
    <xf numFmtId="0" fontId="26" fillId="4" borderId="23" xfId="0" applyFont="1" applyFill="1" applyBorder="1"/>
    <xf numFmtId="0" fontId="0" fillId="0" borderId="10" xfId="0" applyBorder="1"/>
    <xf numFmtId="0" fontId="0" fillId="0" borderId="13" xfId="0" applyBorder="1"/>
    <xf numFmtId="0" fontId="50" fillId="0" borderId="52" xfId="1" applyFont="1" applyBorder="1" applyAlignment="1">
      <alignment vertical="top" wrapText="1"/>
    </xf>
    <xf numFmtId="0" fontId="50" fillId="0" borderId="13" xfId="1" applyFont="1" applyBorder="1" applyAlignment="1">
      <alignment vertical="top" wrapText="1"/>
    </xf>
    <xf numFmtId="0" fontId="48" fillId="0" borderId="10" xfId="1" applyFont="1" applyBorder="1" applyAlignment="1">
      <alignment wrapText="1"/>
    </xf>
    <xf numFmtId="0" fontId="48" fillId="0" borderId="13" xfId="1" applyFont="1" applyBorder="1" applyAlignment="1">
      <alignment wrapText="1"/>
    </xf>
    <xf numFmtId="0" fontId="2" fillId="0" borderId="10" xfId="1" applyBorder="1" applyAlignment="1">
      <alignment horizontal="left" wrapText="1"/>
    </xf>
    <xf numFmtId="0" fontId="2" fillId="0" borderId="13" xfId="1" applyBorder="1" applyAlignment="1">
      <alignment horizontal="left" wrapText="1"/>
    </xf>
    <xf numFmtId="0" fontId="4" fillId="18" borderId="6" xfId="0" applyFont="1" applyFill="1" applyBorder="1" applyAlignment="1">
      <alignment horizontal="center" vertical="center"/>
    </xf>
    <xf numFmtId="0" fontId="4" fillId="18" borderId="7" xfId="0" applyFont="1" applyFill="1" applyBorder="1" applyAlignment="1">
      <alignment horizontal="center" vertical="center"/>
    </xf>
    <xf numFmtId="0" fontId="2" fillId="0" borderId="50" xfId="1" applyBorder="1" applyAlignment="1">
      <alignment wrapText="1"/>
    </xf>
    <xf numFmtId="0" fontId="2" fillId="0" borderId="4" xfId="1" applyBorder="1" applyAlignment="1">
      <alignment wrapText="1"/>
    </xf>
    <xf numFmtId="0" fontId="2" fillId="0" borderId="8" xfId="1" applyBorder="1" applyAlignment="1">
      <alignment wrapText="1"/>
    </xf>
    <xf numFmtId="0" fontId="2" fillId="0" borderId="2" xfId="1" applyBorder="1" applyAlignment="1">
      <alignment wrapText="1"/>
    </xf>
  </cellXfs>
  <cellStyles count="2">
    <cellStyle name="Hyperlink" xfId="1" builtinId="8"/>
    <cellStyle name="Normal" xfId="0" builtinId="0"/>
  </cellStyles>
  <dxfs count="53">
    <dxf>
      <fill>
        <patternFill>
          <bgColor theme="9" tint="0.59996337778862885"/>
        </patternFill>
      </fill>
    </dxf>
    <dxf>
      <fill>
        <patternFill>
          <bgColor theme="9" tint="0.59996337778862885"/>
        </patternFill>
      </fill>
    </dxf>
    <dxf>
      <font>
        <b/>
        <i val="0"/>
        <color theme="0"/>
      </font>
      <fill>
        <patternFill>
          <bgColor rgb="FFC00000"/>
        </patternFill>
      </fill>
    </dxf>
    <dxf>
      <fill>
        <patternFill>
          <bgColor rgb="FF92D050"/>
        </patternFill>
      </fill>
    </dxf>
    <dxf>
      <fill>
        <patternFill patternType="none">
          <bgColor auto="1"/>
        </patternFill>
      </fill>
      <border>
        <left/>
        <right style="thin">
          <color auto="1"/>
        </right>
        <bottom/>
      </border>
    </dxf>
    <dxf>
      <fill>
        <patternFill patternType="none">
          <bgColor auto="1"/>
        </patternFill>
      </fill>
      <border>
        <left/>
        <right style="thin">
          <color auto="1"/>
        </right>
        <bottom style="thin">
          <color auto="1"/>
        </bottom>
      </border>
    </dxf>
    <dxf>
      <fill>
        <patternFill>
          <bgColor rgb="FFEAC9FF"/>
        </patternFill>
      </fill>
    </dxf>
    <dxf>
      <font>
        <b val="0"/>
        <i/>
        <color theme="1"/>
      </font>
    </dxf>
    <dxf>
      <font>
        <b/>
        <i val="0"/>
        <color theme="0"/>
      </font>
      <fill>
        <patternFill>
          <bgColor rgb="FF1F497D"/>
        </patternFill>
      </fill>
    </dxf>
    <dxf>
      <fill>
        <patternFill patternType="none">
          <bgColor auto="1"/>
        </patternFill>
      </fill>
      <border>
        <left style="thin">
          <color auto="1"/>
        </left>
      </border>
    </dxf>
    <dxf>
      <fill>
        <patternFill patternType="none">
          <bgColor auto="1"/>
        </patternFill>
      </fill>
      <border>
        <left style="thin">
          <color auto="1"/>
        </left>
        <bottom style="thin">
          <color auto="1"/>
        </bottom>
      </border>
    </dxf>
    <dxf>
      <font>
        <b/>
        <i val="0"/>
        <color theme="0"/>
      </font>
      <fill>
        <patternFill>
          <bgColor rgb="FF1F497D"/>
        </patternFill>
      </fill>
    </dxf>
    <dxf>
      <font>
        <b/>
        <i val="0"/>
      </font>
      <fill>
        <patternFill>
          <bgColor rgb="FF00B0F0"/>
        </patternFill>
      </fill>
    </dxf>
    <dxf>
      <fill>
        <patternFill>
          <bgColor theme="9" tint="0.59996337778862885"/>
        </patternFill>
      </fill>
    </dxf>
    <dxf>
      <font>
        <b/>
        <i val="0"/>
        <u val="double"/>
      </font>
      <fill>
        <patternFill>
          <bgColor rgb="FFFF8181"/>
        </patternFill>
      </fill>
    </dxf>
    <dxf>
      <font>
        <b/>
        <i val="0"/>
        <u val="none"/>
      </font>
      <fill>
        <patternFill>
          <bgColor rgb="FFFFFF00"/>
        </patternFill>
      </fill>
    </dxf>
    <dxf>
      <fill>
        <patternFill>
          <bgColor rgb="FF92D050"/>
        </patternFill>
      </fill>
    </dxf>
    <dxf>
      <fill>
        <patternFill>
          <bgColor rgb="FFFF8181"/>
        </patternFill>
      </fill>
    </dxf>
    <dxf>
      <fill>
        <patternFill>
          <bgColor rgb="FFFF8181"/>
        </patternFill>
      </fill>
    </dxf>
    <dxf>
      <fill>
        <patternFill>
          <bgColor rgb="FF92D050"/>
        </patternFill>
      </fill>
    </dxf>
    <dxf>
      <fill>
        <patternFill>
          <bgColor rgb="FF92D050"/>
        </patternFill>
      </fill>
    </dxf>
    <dxf>
      <fill>
        <patternFill>
          <bgColor rgb="FFFF8181"/>
        </patternFill>
      </fill>
    </dxf>
    <dxf>
      <fill>
        <patternFill>
          <bgColor rgb="FF92D050"/>
        </patternFill>
      </fill>
    </dxf>
    <dxf>
      <fill>
        <patternFill>
          <bgColor rgb="FFFF8181"/>
        </patternFill>
      </fill>
    </dxf>
    <dxf>
      <fill>
        <patternFill>
          <bgColor rgb="FF92D050"/>
        </patternFill>
      </fill>
    </dxf>
    <dxf>
      <fill>
        <patternFill>
          <bgColor rgb="FFFF8181"/>
        </patternFill>
      </fill>
    </dxf>
    <dxf>
      <fill>
        <patternFill>
          <bgColor theme="7" tint="0.59996337778862885"/>
        </patternFill>
      </fill>
    </dxf>
    <dxf>
      <fill>
        <patternFill>
          <bgColor rgb="FF92D050"/>
        </patternFill>
      </fill>
    </dxf>
    <dxf>
      <fill>
        <patternFill>
          <bgColor rgb="FFFF8181"/>
        </patternFill>
      </fill>
    </dxf>
    <dxf>
      <numFmt numFmtId="0" formatCode="General"/>
    </dxf>
    <dxf>
      <numFmt numFmtId="0" formatCode="General"/>
    </dxf>
    <dxf>
      <numFmt numFmtId="0" formatCode="General"/>
    </dxf>
    <dxf>
      <font>
        <b val="0"/>
        <i val="0"/>
        <strike val="0"/>
        <condense val="0"/>
        <extend val="0"/>
        <outline val="0"/>
        <shadow val="0"/>
        <u val="none"/>
        <vertAlign val="baseline"/>
        <sz val="10"/>
        <color auto="1"/>
        <name val="Calibri"/>
        <family val="2"/>
        <scheme val="none"/>
      </font>
      <numFmt numFmtId="164" formatCode="0.0"/>
      <fill>
        <patternFill patternType="solid">
          <fgColor indexed="64"/>
          <bgColor theme="2"/>
        </patternFill>
      </fill>
    </dxf>
    <dxf>
      <font>
        <b val="0"/>
        <i val="0"/>
        <strike val="0"/>
        <condense val="0"/>
        <extend val="0"/>
        <outline val="0"/>
        <shadow val="0"/>
        <u val="none"/>
        <vertAlign val="baseline"/>
        <sz val="10"/>
        <color auto="1"/>
        <name val="Calibri"/>
        <family val="2"/>
        <scheme val="none"/>
      </font>
    </dxf>
    <dxf>
      <numFmt numFmtId="0" formatCode="General"/>
      <fill>
        <patternFill patternType="solid">
          <fgColor indexed="64"/>
          <bgColor theme="0"/>
        </patternFill>
      </fill>
    </dxf>
    <dxf>
      <numFmt numFmtId="0" formatCode="General"/>
      <fill>
        <patternFill patternType="solid">
          <fgColor indexed="64"/>
          <bgColor theme="0"/>
        </patternFill>
      </fill>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theme="0"/>
        </patternFill>
      </fill>
    </dxf>
    <dxf>
      <font>
        <b val="0"/>
        <i val="0"/>
        <strike val="0"/>
        <condense val="0"/>
        <extend val="0"/>
        <outline val="0"/>
        <shadow val="0"/>
        <u val="none"/>
        <vertAlign val="baseline"/>
        <sz val="11"/>
        <color rgb="FF000000"/>
        <name val="Calibri"/>
        <family val="2"/>
        <scheme val="none"/>
      </font>
      <numFmt numFmtId="0" formatCode="General"/>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Calibri"/>
        <family val="2"/>
        <scheme val="none"/>
      </font>
      <numFmt numFmtId="0" formatCode="General"/>
    </dxf>
    <dxf>
      <font>
        <b val="0"/>
        <i val="0"/>
        <strike val="0"/>
        <condense val="0"/>
        <extend val="0"/>
        <outline val="0"/>
        <shadow val="0"/>
        <u val="none"/>
        <vertAlign val="baseline"/>
        <sz val="11"/>
        <color rgb="FF000000"/>
        <name val="Calibri"/>
        <family val="2"/>
        <scheme val="none"/>
      </font>
      <numFmt numFmtId="0" formatCode="General"/>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0"/>
        <color auto="1"/>
        <name val="Calibri"/>
        <family val="2"/>
        <scheme val="none"/>
      </font>
      <numFmt numFmtId="164" formatCode="0.0"/>
      <fill>
        <patternFill patternType="solid">
          <fgColor indexed="64"/>
          <bgColor theme="2"/>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0"/>
        <color auto="1"/>
        <name val="Calibri"/>
        <family val="2"/>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right style="thin">
          <color theme="4" tint="0.39997558519241921"/>
        </right>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font>
        <b val="0"/>
        <i val="0"/>
        <strike val="0"/>
        <condense val="0"/>
        <extend val="0"/>
        <outline val="0"/>
        <shadow val="0"/>
        <u val="none"/>
        <vertAlign val="baseline"/>
        <sz val="11"/>
        <color rgb="FF000000"/>
        <name val="Calibri"/>
        <scheme val="none"/>
      </font>
      <numFmt numFmtId="0" formatCode="General"/>
    </dxf>
    <dxf>
      <font>
        <b val="0"/>
        <i val="0"/>
        <strike val="0"/>
        <condense val="0"/>
        <extend val="0"/>
        <outline val="0"/>
        <shadow val="0"/>
        <u val="none"/>
        <vertAlign val="baseline"/>
        <sz val="11"/>
        <color rgb="FF000000"/>
        <name val="Calibri"/>
        <scheme val="none"/>
      </font>
      <numFmt numFmtId="0" formatCode="General"/>
    </dxf>
    <dxf>
      <font>
        <b val="0"/>
        <i val="0"/>
        <strike val="0"/>
        <condense val="0"/>
        <extend val="0"/>
        <outline val="0"/>
        <shadow val="0"/>
        <u val="none"/>
        <vertAlign val="baseline"/>
        <sz val="11"/>
        <color rgb="FF000000"/>
        <name val="Calibri"/>
        <scheme val="none"/>
      </font>
      <numFmt numFmtId="0" formatCode="General"/>
    </dxf>
    <dxf>
      <font>
        <b val="0"/>
        <i val="0"/>
        <strike val="0"/>
        <condense val="0"/>
        <extend val="0"/>
        <outline val="0"/>
        <shadow val="0"/>
        <u val="none"/>
        <vertAlign val="baseline"/>
        <sz val="10"/>
        <color auto="1"/>
        <name val="Calibri"/>
        <family val="2"/>
        <scheme val="none"/>
      </font>
      <numFmt numFmtId="164" formatCode="0.0"/>
      <fill>
        <patternFill patternType="solid">
          <fgColor indexed="64"/>
          <bgColor theme="2"/>
        </patternFill>
      </fill>
    </dxf>
    <dxf>
      <font>
        <b val="0"/>
        <i val="0"/>
        <strike val="0"/>
        <condense val="0"/>
        <extend val="0"/>
        <outline val="0"/>
        <shadow val="0"/>
        <u val="none"/>
        <vertAlign val="baseline"/>
        <sz val="10"/>
        <color auto="1"/>
        <name val="Calibri"/>
        <family val="2"/>
        <scheme val="none"/>
      </font>
    </dxf>
    <dxf>
      <font>
        <b val="0"/>
        <i val="0"/>
        <strike val="0"/>
        <condense val="0"/>
        <extend val="0"/>
        <outline val="0"/>
        <shadow val="0"/>
        <u val="none"/>
        <vertAlign val="baseline"/>
        <sz val="11"/>
        <color rgb="FF000000"/>
        <name val="Calibri"/>
        <scheme val="none"/>
      </font>
    </dxf>
  </dxfs>
  <tableStyles count="0" defaultTableStyle="TableStyleMedium2" defaultPivotStyle="PivotStyleLight16"/>
  <colors>
    <mruColors>
      <color rgb="FFFD4DCB"/>
      <color rgb="FFEAC9FF"/>
      <color rgb="FFFF8181"/>
      <color rgb="FFCC79FF"/>
      <color rgb="FFA6A6A6"/>
      <color rgb="FF1F497D"/>
      <color rgb="FFFF7C80"/>
      <color rgb="FFCC99FF"/>
      <color rgb="FFF5F5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A842F4C-1682-40B7-B46D-AED6303A737A}" name="Table2" displayName="Table2" ref="D2:H199" totalsRowShown="0" dataDxfId="52">
  <autoFilter ref="D2:H199" xr:uid="{8A842F4C-1682-40B7-B46D-AED6303A737A}"/>
  <sortState xmlns:xlrd2="http://schemas.microsoft.com/office/spreadsheetml/2017/richdata2" ref="D3:H199">
    <sortCondition ref="D2:D199"/>
  </sortState>
  <tableColumns count="5">
    <tableColumn id="1" xr3:uid="{D95004CF-3B3A-46E2-93DD-E1ED2E9DCEF5}" name="Country" dataDxfId="51"/>
    <tableColumn id="2" xr3:uid="{8207EF2F-356F-41AD-AE40-96EB1E4AD2EC}" name="Estimated prevalence of modern slavery per 1,000 population" dataDxfId="50">
      <calculatedColumnFormula>IFERROR(VLOOKUP(Table2[[#This Row],[Country]],Table6[[Tool Name]:[MS Prevalence]],2,FALSE),999)</calculatedColumnFormula>
    </tableColumn>
    <tableColumn id="8" xr3:uid="{3EA4A048-6592-4256-9E2C-C60CEFF5DFE4}" name="First4Chars" dataDxfId="49">
      <calculatedColumnFormula>LEFT(Table2[[#This Row],[Country]],4)</calculatedColumnFormula>
    </tableColumn>
    <tableColumn id="9" xr3:uid="{54D444FC-C9CF-4055-B4BF-E2783E8D459B}" name="Selected?" dataDxfId="48">
      <calculatedColumnFormula array="1">SUMPRODUCT(--(Table2[[#This Row],[Country]]=Input!$B$39:$C$58))+SUMPRODUCT(--(Table2[[#This Row],[Country]]=Table3[Tool Name]),--(Table3[Selected]&gt;0))</calculatedColumnFormula>
    </tableColumn>
    <tableColumn id="3" xr3:uid="{70FEE9D4-1E79-4588-AD83-670634A4B121}" name="Exclude" dataDxfId="47">
      <calculatedColumnFormula>IFERROR(MATCH(Table2[[#This Row],[Country]],GSI!F:F,0)&gt;0,FALSE)</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7DF6957-2EE9-4447-B03D-C9FDD4D22084}" name="Table4" displayName="Table4" ref="D211:H213" totalsRowShown="0" headerRowDxfId="46" headerRowBorderDxfId="45" tableBorderDxfId="44">
  <autoFilter ref="D211:H213" xr:uid="{57DF6957-2EE9-4447-B03D-C9FDD4D22084}"/>
  <tableColumns count="5">
    <tableColumn id="1" xr3:uid="{812F54DC-E2D0-47A6-8269-5E2658601C33}" name="Country" dataDxfId="43"/>
    <tableColumn id="2" xr3:uid="{2DD81FB4-B8A1-480C-A6F3-CE70448B4FF5}" name="Estimated prevalence of modern slavery per 1,000 population" dataDxfId="42">
      <calculatedColumnFormula>IFERROR(VLOOKUP(Table2[[#This Row],[Country]],Table6[[Tool Name]:[MS Prevalence]],2,FALSE),999)</calculatedColumnFormula>
    </tableColumn>
    <tableColumn id="3" xr3:uid="{3E37FD84-13AC-4FC2-9BE2-7427ED8AD85B}" name="First4Chars" dataDxfId="41">
      <calculatedColumnFormula>LEFT(Table4[[#This Row],[Country]],4)</calculatedColumnFormula>
    </tableColumn>
    <tableColumn id="4" xr3:uid="{7D9A2A84-6369-4774-90F1-1EFA4FB35E4B}" name="Selected?" dataDxfId="40">
      <calculatedColumnFormula array="1">SUMPRODUCT(--(Table4[[#This Row],[Country]]=Input!$B$39:$C$58))+SUMPRODUCT(--(Table4[[#This Row],[Country]]=Table3[Tool Name]),--(Table3[Selected]&gt;0))</calculatedColumnFormula>
    </tableColumn>
    <tableColumn id="5" xr3:uid="{D6B1983F-7DE0-4152-ABD4-5E84692563E8}" name="Exclude" dataDxfId="39"/>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23F747D-960B-4228-B1A8-A83FFE28DB31}" name="Table3" displayName="Table3" ref="X4:AA34" totalsRowShown="0" dataDxfId="38">
  <autoFilter ref="X4:AA34" xr:uid="{A23F747D-960B-4228-B1A8-A83FFE28DB31}"/>
  <tableColumns count="4">
    <tableColumn id="1" xr3:uid="{D593AF0E-0A0D-43DF-8305-3C92754BD279}" name="Typed Name" dataDxfId="37"/>
    <tableColumn id="2" xr3:uid="{DECB9EC8-A348-4C0B-8FE5-344B4806D0AF}" name="Tool Name" dataDxfId="36"/>
    <tableColumn id="5" xr3:uid="{510E505F-1FCE-4B0A-BA7C-D761E8C24948}" name="MS Prevalence" dataDxfId="35">
      <calculatedColumnFormula>IFERROR(VLOOKUP(Table3[[#This Row],[Tool Name]],Table6[[Tool Name]:[MS Prevalence]],2,FALSE),"")</calculatedColumnFormula>
    </tableColumn>
    <tableColumn id="4" xr3:uid="{91D0C7FA-7F99-4889-8F20-0F1209982321}" name="Selected" dataDxfId="34">
      <calculatedColumnFormula array="1">SUMPRODUCT(--(Table3[[#This Row],[Typed Name]]=Input!$B$39:$B$58))</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5B3CA6A-4FFB-414C-ABB2-6F2B617E5C0F}" name="Table1" displayName="Table1" ref="A1:B181" totalsRowShown="0">
  <autoFilter ref="A1:B181" xr:uid="{55B3CA6A-4FFB-414C-ABB2-6F2B617E5C0F}"/>
  <sortState xmlns:xlrd2="http://schemas.microsoft.com/office/spreadsheetml/2017/richdata2" ref="A2:B181">
    <sortCondition descending="1" ref="B1:B181"/>
  </sortState>
  <tableColumns count="2">
    <tableColumn id="1" xr3:uid="{E4798DD3-1915-40A7-9C0A-086CB3EAA531}" name="Country" dataDxfId="33"/>
    <tableColumn id="2" xr3:uid="{BE6A64F3-9200-4D29-9796-DA06927C9C6A}" name="Estimated prevalence of modern slavery per 1,000 population" dataDxfId="32"/>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EEC10F6-AFD0-43EB-AA66-9C51DAAE2BB2}" name="Table6" displayName="Table6" ref="K1:N198" totalsRowShown="0">
  <autoFilter ref="K1:N198" xr:uid="{3EEC10F6-AFD0-43EB-AA66-9C51DAAE2BB2}"/>
  <sortState xmlns:xlrd2="http://schemas.microsoft.com/office/spreadsheetml/2017/richdata2" ref="K2:N198">
    <sortCondition ref="L1:L198"/>
  </sortState>
  <tableColumns count="4">
    <tableColumn id="1" xr3:uid="{7D431055-0B77-4413-9114-1674DF1CD0DE}" name="Country"/>
    <tableColumn id="2" xr3:uid="{BC563B17-AAE2-40AC-857A-E847FC81738E}" name="Tool Name" dataDxfId="31">
      <calculatedColumnFormula>IFERROR(VLOOKUP(Table6[[#This Row],[Country]],Table7[],2,FALSE),Table6[[#This Row],[Country]])</calculatedColumnFormula>
    </tableColumn>
    <tableColumn id="3" xr3:uid="{9490A6BD-234C-46C0-A4EB-44090FE201E4}" name="MS Prevalence" dataDxfId="30">
      <calculatedColumnFormula>IFERROR(VLOOKUP(Table6[[#This Row],[Country]],Table1[],2,FALSE),0)</calculatedColumnFormula>
    </tableColumn>
    <tableColumn id="4" xr3:uid="{5799D0E1-C0A0-49A5-84D0-299B204B237D}" name="ID" dataDxfId="29">
      <calculatedColumnFormula>IF(ROW(Table6[[#This Row],[ID]])=2,1,IFERROR(N1*SIGN(MATCH(Table6[[#This Row],[Country]],F:F,0)),N1+1))</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C4E0EE5-C42D-42B7-AF5E-FC4E2D6E5B20}" name="Table7" displayName="Table7" ref="H1:I11" totalsRowShown="0">
  <autoFilter ref="H1:I11" xr:uid="{AC4E0EE5-C42D-42B7-AF5E-FC4E2D6E5B20}"/>
  <tableColumns count="2">
    <tableColumn id="1" xr3:uid="{999F67C8-4EA2-419A-9C94-D6E1AFE66CCE}" name="Name from Dataset"/>
    <tableColumn id="2" xr3:uid="{17D92A57-7B2E-41CA-9E3F-0D39B2EA9056}" name="Tool Name"/>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assets.publishing.service.gov.uk/media/67ab330e1a116437c7ed88da/E03274856_National_Procurement_Policy_Statement_Elay.pdf" TargetMode="External"/><Relationship Id="rId3" Type="http://schemas.openxmlformats.org/officeDocument/2006/relationships/hyperlink" Target="https://www.responsiblesourcingtool.org/" TargetMode="External"/><Relationship Id="rId7" Type="http://schemas.openxmlformats.org/officeDocument/2006/relationships/hyperlink" Target="https://www.gla.gov.uk/who-we-are/modern-slavery/industry-profiles/" TargetMode="External"/><Relationship Id="rId12" Type="http://schemas.openxmlformats.org/officeDocument/2006/relationships/printerSettings" Target="../printerSettings/printerSettings1.bin"/><Relationship Id="rId2" Type="http://schemas.openxmlformats.org/officeDocument/2006/relationships/hyperlink" Target="https://www.walkfree.org/global-slavery-index/" TargetMode="External"/><Relationship Id="rId1" Type="http://schemas.openxmlformats.org/officeDocument/2006/relationships/hyperlink" Target="https://www.dol.gov/agencies/ilab/reports/child-labor/list-of-goods" TargetMode="External"/><Relationship Id="rId6" Type="http://schemas.openxmlformats.org/officeDocument/2006/relationships/hyperlink" Target="https://assets.publishing.service.gov.uk/media/67fe34f9ed87b816085466c6/2025-04-11_PPN_009_Tackling_Modern_Slavery_in_Supply_Chains_.pdf" TargetMode="External"/><Relationship Id="rId11" Type="http://schemas.openxmlformats.org/officeDocument/2006/relationships/hyperlink" Target="https://www.homeofficesurveys.homeoffice.gov.uk/s/N7N1YM/" TargetMode="External"/><Relationship Id="rId5" Type="http://schemas.openxmlformats.org/officeDocument/2006/relationships/hyperlink" Target="https://defra.sharepoint.com/:x:/r/teams/Team2808/SustainabilityCoE/07%20Secure%20External%20Sharing/SP-%20Modern%20Slavery%20Risk%20Tool/1.%20MS%20Tool/MS%20Risk%20Assessment%20Tool%20Apr25%20SuppSrch.xlsx?d=w13adae0202394920987d866a6ff9932c&amp;csf=1&amp;web=1&amp;e=3Q58KE" TargetMode="External"/><Relationship Id="rId10" Type="http://schemas.openxmlformats.org/officeDocument/2006/relationships/hyperlink" Target="https://www.gov.uk/government/publications/ppn-002-taking-account-of-social-value-in-the-award-of-contracts/ppn-002-guide-to-using-the-social-value-model-html" TargetMode="External"/><Relationship Id="rId4" Type="http://schemas.openxmlformats.org/officeDocument/2006/relationships/hyperlink" Target="https://assets.publishing.service.gov.uk/media/67fe409e393a986ec5cf8d53/2025-04-11_PPN_009_Guidance_on_tackling_modern_slavery.pdf" TargetMode="External"/><Relationship Id="rId9" Type="http://schemas.openxmlformats.org/officeDocument/2006/relationships/hyperlink" Target="https://assets.publishing.service.gov.uk/media/67b4bf7b3e77ca8b737d385b/2025-02-08_PPN_002_Taking_account_of_social_value_in__the_award_of_central_government_contracts.docx__1.pdf"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s://www.responsiblesourcingtool.org/identify/"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dol.gov/agencies/ilab/reports/child-labor/list-of-goods" TargetMode="External"/><Relationship Id="rId2" Type="http://schemas.openxmlformats.org/officeDocument/2006/relationships/hyperlink" Target="https://landing.actionsustainability.com/solar-panel-guidance/solar-panel.html?utm_source=press_release&amp;utm_medium=PR&amp;utm_campaign=solar_panel_2023" TargetMode="External"/><Relationship Id="rId1" Type="http://schemas.openxmlformats.org/officeDocument/2006/relationships/hyperlink" Target="https://supplierregistration.cabinetoffice.gov.uk/msat" TargetMode="External"/><Relationship Id="rId5" Type="http://schemas.openxmlformats.org/officeDocument/2006/relationships/hyperlink" Target="https://www.ituc-csi.org/global-rights-index" TargetMode="External"/><Relationship Id="rId4" Type="http://schemas.openxmlformats.org/officeDocument/2006/relationships/hyperlink" Target="https://www.designforfreedom.org/get-the-facts/?gad_source=1&amp;gclid=EAIaIQobChMI9qeYh9_AiwMVnppQBh02BA69EAAYASAAEgIP5vD_BwE" TargetMode="External"/></Relationships>
</file>

<file path=xl/worksheets/_rels/sheet8.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41B1A-86D7-47F8-B169-22BC43F9691E}">
  <sheetPr>
    <tabColor rgb="FFEAC9FF"/>
  </sheetPr>
  <dimension ref="B1:D29"/>
  <sheetViews>
    <sheetView showGridLines="0" tabSelected="1" zoomScaleNormal="100" workbookViewId="0"/>
  </sheetViews>
  <sheetFormatPr defaultRowHeight="14.5" x14ac:dyDescent="0.35"/>
  <cols>
    <col min="1" max="1" width="4.26953125" customWidth="1"/>
    <col min="2" max="2" width="150" customWidth="1"/>
    <col min="3" max="3" width="67.1796875" customWidth="1"/>
    <col min="4" max="4" width="4.26953125" customWidth="1"/>
  </cols>
  <sheetData>
    <row r="1" spans="2:4" ht="26" x14ac:dyDescent="0.6">
      <c r="B1" s="121" t="s">
        <v>644</v>
      </c>
      <c r="C1" s="121"/>
    </row>
    <row r="2" spans="2:4" ht="15" thickBot="1" x14ac:dyDescent="0.4">
      <c r="B2" s="122"/>
      <c r="C2" s="122"/>
    </row>
    <row r="3" spans="2:4" ht="18.5" x14ac:dyDescent="0.45">
      <c r="B3" s="127" t="s">
        <v>0</v>
      </c>
      <c r="C3" s="128"/>
    </row>
    <row r="4" spans="2:4" ht="157.5" customHeight="1" thickBot="1" x14ac:dyDescent="0.4">
      <c r="B4" s="129" t="s">
        <v>688</v>
      </c>
      <c r="C4" s="130"/>
    </row>
    <row r="5" spans="2:4" ht="18.5" x14ac:dyDescent="0.45">
      <c r="B5" s="127" t="s">
        <v>1</v>
      </c>
      <c r="C5" s="128"/>
    </row>
    <row r="6" spans="2:4" ht="183.75" customHeight="1" thickBot="1" x14ac:dyDescent="0.4">
      <c r="B6" s="129" t="s">
        <v>689</v>
      </c>
      <c r="C6" s="130"/>
      <c r="D6" s="39"/>
    </row>
    <row r="7" spans="2:4" ht="21.75" customHeight="1" x14ac:dyDescent="0.45">
      <c r="B7" s="123" t="s">
        <v>2</v>
      </c>
      <c r="C7" s="124"/>
    </row>
    <row r="8" spans="2:4" ht="144" customHeight="1" thickBot="1" x14ac:dyDescent="0.4">
      <c r="B8" s="129" t="s">
        <v>642</v>
      </c>
      <c r="C8" s="130"/>
    </row>
    <row r="9" spans="2:4" ht="19.5" customHeight="1" x14ac:dyDescent="0.45">
      <c r="B9" s="123" t="s">
        <v>3</v>
      </c>
      <c r="C9" s="124"/>
    </row>
    <row r="10" spans="2:4" ht="101.25" customHeight="1" x14ac:dyDescent="0.35">
      <c r="B10" s="125" t="s">
        <v>690</v>
      </c>
      <c r="C10" s="126"/>
    </row>
    <row r="11" spans="2:4" ht="22.5" customHeight="1" x14ac:dyDescent="0.45">
      <c r="B11" s="123" t="s">
        <v>4</v>
      </c>
      <c r="C11" s="124"/>
    </row>
    <row r="12" spans="2:4" ht="29" x14ac:dyDescent="0.35">
      <c r="B12" s="96" t="s">
        <v>669</v>
      </c>
      <c r="C12" s="15" t="s">
        <v>11</v>
      </c>
    </row>
    <row r="13" spans="2:4" ht="29" x14ac:dyDescent="0.35">
      <c r="B13" s="112" t="s">
        <v>670</v>
      </c>
      <c r="C13" s="15" t="s">
        <v>9</v>
      </c>
    </row>
    <row r="14" spans="2:4" ht="29" x14ac:dyDescent="0.35">
      <c r="B14" s="112" t="s">
        <v>671</v>
      </c>
      <c r="C14" s="15" t="s">
        <v>661</v>
      </c>
    </row>
    <row r="15" spans="2:4" ht="29" x14ac:dyDescent="0.35">
      <c r="B15" s="96" t="s">
        <v>672</v>
      </c>
      <c r="C15" s="15" t="s">
        <v>8</v>
      </c>
    </row>
    <row r="16" spans="2:4" ht="29.5" thickBot="1" x14ac:dyDescent="0.4">
      <c r="B16" s="113" t="s">
        <v>673</v>
      </c>
      <c r="C16" s="15"/>
    </row>
    <row r="17" spans="2:3" ht="18.5" x14ac:dyDescent="0.45">
      <c r="B17" s="123" t="s">
        <v>660</v>
      </c>
      <c r="C17" s="124"/>
    </row>
    <row r="18" spans="2:3" ht="29" x14ac:dyDescent="0.35">
      <c r="B18" s="96" t="s">
        <v>664</v>
      </c>
      <c r="C18" s="15" t="s">
        <v>6</v>
      </c>
    </row>
    <row r="19" spans="2:3" ht="29" x14ac:dyDescent="0.35">
      <c r="B19" s="96" t="s">
        <v>665</v>
      </c>
      <c r="C19" s="15" t="s">
        <v>5</v>
      </c>
    </row>
    <row r="20" spans="2:3" ht="29" x14ac:dyDescent="0.35">
      <c r="B20" s="96" t="s">
        <v>674</v>
      </c>
      <c r="C20" s="15" t="s">
        <v>676</v>
      </c>
    </row>
    <row r="21" spans="2:3" ht="29" x14ac:dyDescent="0.35">
      <c r="B21" s="96" t="s">
        <v>666</v>
      </c>
      <c r="C21" s="15" t="s">
        <v>662</v>
      </c>
    </row>
    <row r="22" spans="2:3" ht="29" x14ac:dyDescent="0.35">
      <c r="B22" s="96" t="s">
        <v>667</v>
      </c>
      <c r="C22" s="15" t="s">
        <v>677</v>
      </c>
    </row>
    <row r="23" spans="2:3" ht="29" x14ac:dyDescent="0.35">
      <c r="B23" s="97" t="s">
        <v>668</v>
      </c>
      <c r="C23" s="15" t="s">
        <v>12</v>
      </c>
    </row>
    <row r="24" spans="2:3" ht="15" thickBot="1" x14ac:dyDescent="0.4">
      <c r="B24" s="131" t="s">
        <v>663</v>
      </c>
      <c r="C24" s="132"/>
    </row>
    <row r="25" spans="2:3" ht="23.15" customHeight="1" x14ac:dyDescent="0.45">
      <c r="B25" s="123" t="s">
        <v>14</v>
      </c>
      <c r="C25" s="124"/>
    </row>
    <row r="26" spans="2:3" s="38" customFormat="1" ht="114" customHeight="1" x14ac:dyDescent="0.35">
      <c r="B26" s="135" t="s">
        <v>698</v>
      </c>
      <c r="C26" s="136"/>
    </row>
    <row r="27" spans="2:3" s="38" customFormat="1" ht="18.75" customHeight="1" thickBot="1" x14ac:dyDescent="0.4">
      <c r="B27" s="137" t="s">
        <v>682</v>
      </c>
      <c r="C27" s="138"/>
    </row>
    <row r="28" spans="2:3" ht="18.5" x14ac:dyDescent="0.45">
      <c r="B28" s="123" t="s">
        <v>15</v>
      </c>
      <c r="C28" s="124"/>
    </row>
    <row r="29" spans="2:3" ht="75" customHeight="1" thickBot="1" x14ac:dyDescent="0.4">
      <c r="B29" s="133" t="s">
        <v>643</v>
      </c>
      <c r="C29" s="134"/>
    </row>
  </sheetData>
  <mergeCells count="18">
    <mergeCell ref="B17:C17"/>
    <mergeCell ref="B24:C24"/>
    <mergeCell ref="B28:C28"/>
    <mergeCell ref="B29:C29"/>
    <mergeCell ref="B6:C6"/>
    <mergeCell ref="B25:C25"/>
    <mergeCell ref="B26:C26"/>
    <mergeCell ref="B11:C11"/>
    <mergeCell ref="B27:C27"/>
    <mergeCell ref="B1:C1"/>
    <mergeCell ref="B2:C2"/>
    <mergeCell ref="B9:C9"/>
    <mergeCell ref="B10:C10"/>
    <mergeCell ref="B5:C5"/>
    <mergeCell ref="B3:C3"/>
    <mergeCell ref="B4:C4"/>
    <mergeCell ref="B7:C7"/>
    <mergeCell ref="B8:C8"/>
  </mergeCells>
  <hyperlinks>
    <hyperlink ref="C13" r:id="rId1" xr:uid="{9CD98F6C-3E56-4960-B168-125FF76DD260}"/>
    <hyperlink ref="C12" r:id="rId2" xr:uid="{D5D108A7-0C9C-4B83-B075-1E7DA72C3E9C}"/>
    <hyperlink ref="C15" r:id="rId3" xr:uid="{428010F2-E727-46B0-80DC-726AC075494F}"/>
    <hyperlink ref="C19" r:id="rId4" xr:uid="{6BC7AF1C-C422-490F-B576-EE096CF65500}"/>
    <hyperlink ref="C23" r:id="rId5" xr:uid="{61F7E074-F215-4679-A884-A5AE0994A0B1}"/>
    <hyperlink ref="C18" r:id="rId6" xr:uid="{41029F8A-FC58-42C3-B496-5322376688FC}"/>
    <hyperlink ref="C14" r:id="rId7" display="https://www.gla.gov.uk/who-we-are/modern-slavery/industry-profiles/" xr:uid="{AE1CDC78-8946-4EA2-919A-CF98AD5EF537}"/>
    <hyperlink ref="C20" r:id="rId8" display="https://assets.publishing.service.gov.uk/media/67ab330e1a116437c7ed88da/E03274856_National_Procurement_Policy_Statement_Elay.pdf" xr:uid="{FAB53FEE-1B3F-46B6-A693-D0FBFB5DE847}"/>
    <hyperlink ref="C21" r:id="rId9" xr:uid="{C192DBC0-B78B-474F-8D57-30F82C5EEF59}"/>
    <hyperlink ref="C22" r:id="rId10" display="https://www.gov.uk/government/publications/ppn-002-taking-account-of-social-value-in-the-award-of-contracts/ppn-002-guide-to-using-the-social-value-model-html" xr:uid="{F752DAAF-580B-47FA-B2AD-F4F1B0FF1621}"/>
    <hyperlink ref="B27:C27" r:id="rId11" display="ARTT Survey" xr:uid="{F6616695-2941-4E10-92AE-23807559C943}"/>
  </hyperlinks>
  <pageMargins left="0.7" right="0.7" top="0.75" bottom="0.75" header="0.3" footer="0.3"/>
  <pageSetup paperSize="9" orientation="portrait" verticalDpi="200" r:id="rId12"/>
  <headerFooter>
    <oddHeader>&amp;C&amp;"Calibri"&amp;10&amp;K000000 OFFICIAL-SENSITIVE&amp;1#_x000D_</oddHeader>
    <oddFooter>&amp;C_x000D_&amp;1#&amp;"Calibri"&amp;10&amp;K000000 OFFICIAL-SENSITIVE</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5245B5-A8B1-4BD3-8989-E5270D2A9CF2}">
  <sheetPr>
    <tabColor rgb="FFEAC9FF"/>
  </sheetPr>
  <dimension ref="B1:D23"/>
  <sheetViews>
    <sheetView showGridLines="0" workbookViewId="0"/>
  </sheetViews>
  <sheetFormatPr defaultRowHeight="14.5" x14ac:dyDescent="0.35"/>
  <cols>
    <col min="1" max="1" width="4.26953125" customWidth="1"/>
    <col min="2" max="2" width="217.1796875" customWidth="1"/>
    <col min="3" max="3" width="4.26953125" customWidth="1"/>
    <col min="4" max="4" width="22.7265625" customWidth="1"/>
  </cols>
  <sheetData>
    <row r="1" spans="2:3" ht="26" x14ac:dyDescent="0.6">
      <c r="B1" s="78" t="s">
        <v>647</v>
      </c>
    </row>
    <row r="2" spans="2:3" ht="15" thickBot="1" x14ac:dyDescent="0.4"/>
    <row r="3" spans="2:3" ht="18.5" x14ac:dyDescent="0.45">
      <c r="B3" s="64" t="s">
        <v>16</v>
      </c>
      <c r="C3" s="58"/>
    </row>
    <row r="4" spans="2:3" ht="87" x14ac:dyDescent="0.35">
      <c r="B4" s="59" t="s">
        <v>686</v>
      </c>
      <c r="C4" s="56"/>
    </row>
    <row r="5" spans="2:3" ht="99" customHeight="1" x14ac:dyDescent="0.35">
      <c r="B5" s="100" t="s">
        <v>646</v>
      </c>
      <c r="C5" s="1"/>
    </row>
    <row r="6" spans="2:3" ht="118.5" customHeight="1" thickBot="1" x14ac:dyDescent="0.4">
      <c r="B6" s="115" t="s">
        <v>683</v>
      </c>
      <c r="C6" s="1"/>
    </row>
    <row r="7" spans="2:3" ht="15" thickBot="1" x14ac:dyDescent="0.4"/>
    <row r="8" spans="2:3" ht="18.5" x14ac:dyDescent="0.45">
      <c r="B8" s="64" t="s">
        <v>17</v>
      </c>
      <c r="C8" s="58"/>
    </row>
    <row r="9" spans="2:3" x14ac:dyDescent="0.35">
      <c r="B9" s="61" t="s">
        <v>18</v>
      </c>
    </row>
    <row r="10" spans="2:3" ht="338.25" customHeight="1" x14ac:dyDescent="0.35">
      <c r="B10" s="95" t="s">
        <v>19</v>
      </c>
      <c r="C10" s="1"/>
    </row>
    <row r="11" spans="2:3" ht="29" x14ac:dyDescent="0.35">
      <c r="B11" s="60" t="s">
        <v>20</v>
      </c>
      <c r="C11" s="1"/>
    </row>
    <row r="12" spans="2:3" ht="381" customHeight="1" x14ac:dyDescent="0.35">
      <c r="B12" s="74" t="s">
        <v>21</v>
      </c>
      <c r="C12" s="1"/>
    </row>
    <row r="13" spans="2:3" ht="43.5" x14ac:dyDescent="0.35">
      <c r="B13" s="100" t="s">
        <v>687</v>
      </c>
      <c r="C13" s="1"/>
    </row>
    <row r="14" spans="2:3" ht="150" customHeight="1" x14ac:dyDescent="0.35">
      <c r="B14" s="60" t="s">
        <v>684</v>
      </c>
      <c r="C14" s="1"/>
    </row>
    <row r="15" spans="2:3" ht="99" customHeight="1" x14ac:dyDescent="0.35">
      <c r="B15" s="74" t="s">
        <v>22</v>
      </c>
      <c r="C15" s="1"/>
    </row>
    <row r="16" spans="2:3" ht="98.25" customHeight="1" x14ac:dyDescent="0.35">
      <c r="B16" s="74" t="s">
        <v>23</v>
      </c>
      <c r="C16" s="1"/>
    </row>
    <row r="17" spans="2:4" ht="134.25" customHeight="1" thickBot="1" x14ac:dyDescent="0.4">
      <c r="B17" s="92" t="s">
        <v>24</v>
      </c>
      <c r="C17" s="1"/>
    </row>
    <row r="18" spans="2:4" ht="111.75" customHeight="1" x14ac:dyDescent="0.35">
      <c r="B18" s="139" t="s">
        <v>691</v>
      </c>
      <c r="C18" s="1"/>
      <c r="D18" s="57" t="s">
        <v>25</v>
      </c>
    </row>
    <row r="19" spans="2:4" ht="32.25" customHeight="1" x14ac:dyDescent="0.35">
      <c r="B19" s="140"/>
      <c r="C19" s="1"/>
      <c r="D19" s="75" t="s">
        <v>26</v>
      </c>
    </row>
    <row r="20" spans="2:4" ht="32.25" customHeight="1" x14ac:dyDescent="0.35">
      <c r="B20" s="140"/>
      <c r="C20" s="1"/>
      <c r="D20" s="76" t="s">
        <v>27</v>
      </c>
    </row>
    <row r="21" spans="2:4" ht="32.25" customHeight="1" thickBot="1" x14ac:dyDescent="0.4">
      <c r="B21" s="140"/>
      <c r="C21" s="1"/>
      <c r="D21" s="77" t="s">
        <v>28</v>
      </c>
    </row>
    <row r="22" spans="2:4" ht="29" x14ac:dyDescent="0.35">
      <c r="B22" s="99" t="s">
        <v>692</v>
      </c>
    </row>
    <row r="23" spans="2:4" ht="15" thickBot="1" x14ac:dyDescent="0.4">
      <c r="B23" s="98" t="s">
        <v>645</v>
      </c>
    </row>
  </sheetData>
  <mergeCells count="1">
    <mergeCell ref="B18:B21"/>
  </mergeCells>
  <hyperlinks>
    <hyperlink ref="B23" r:id="rId1" xr:uid="{6AC9BD8C-77AF-40A3-BCE8-36D2E453B19D}"/>
  </hyperlinks>
  <pageMargins left="0.7" right="0.7" top="0.75" bottom="0.75" header="0.3" footer="0.3"/>
  <headerFooter>
    <oddHeader>&amp;C&amp;"Calibri"&amp;10&amp;K000000 OFFICIAL-SENSITIVE&amp;1#_x000D_</oddHeader>
    <oddFooter>&amp;C_x000D_&amp;1#&amp;"Calibri"&amp;10&amp;K000000 OFFICIAL-SENSITIVE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C8134-3CF1-4F49-944B-CE4EF180BE95}">
  <sheetPr>
    <tabColor rgb="FF92D050"/>
  </sheetPr>
  <dimension ref="A1:L101"/>
  <sheetViews>
    <sheetView showGridLines="0" zoomScaleNormal="100" workbookViewId="0">
      <selection activeCell="B39" sqref="B39:C39"/>
    </sheetView>
  </sheetViews>
  <sheetFormatPr defaultRowHeight="14.5" x14ac:dyDescent="0.35"/>
  <cols>
    <col min="2" max="2" width="42.453125" bestFit="1" customWidth="1"/>
    <col min="3" max="3" width="77.81640625" customWidth="1"/>
    <col min="4" max="4" width="6.1796875" customWidth="1"/>
    <col min="5" max="5" width="26.54296875" customWidth="1"/>
    <col min="6" max="6" width="116.453125" customWidth="1"/>
    <col min="7" max="7" width="96.7265625" customWidth="1"/>
  </cols>
  <sheetData>
    <row r="1" spans="2:9" ht="26" x14ac:dyDescent="0.6">
      <c r="B1" s="121" t="s">
        <v>648</v>
      </c>
      <c r="C1" s="121"/>
    </row>
    <row r="2" spans="2:9" x14ac:dyDescent="0.35">
      <c r="B2" s="146" t="str">
        <f>IF(SUM(Reference!H114:H114)=0,IFERROR(_xlfn.CONCAT("This procurement has ",INDEX(Reference!D106:F106,1,MATCH(Output!C5,Reference!D106:F106,0))," risk of Modern Slavery.  Please see the Output tab for next steps."),IF(Output!C5=Reference!C106,"Additional information is required on the Output tab","")),"")</f>
        <v/>
      </c>
      <c r="C2" s="146"/>
    </row>
    <row r="4" spans="2:9" ht="16" thickBot="1" x14ac:dyDescent="0.4">
      <c r="B4" s="152" t="s">
        <v>29</v>
      </c>
      <c r="C4" s="153"/>
    </row>
    <row r="5" spans="2:9" ht="15.5" x14ac:dyDescent="0.35">
      <c r="B5" s="17" t="s">
        <v>30</v>
      </c>
      <c r="C5" s="83"/>
      <c r="E5" s="54" t="s">
        <v>31</v>
      </c>
    </row>
    <row r="6" spans="2:9" ht="16" thickTop="1" x14ac:dyDescent="0.35">
      <c r="B6" s="18" t="s">
        <v>32</v>
      </c>
      <c r="C6" s="84"/>
      <c r="E6" s="154" t="s">
        <v>33</v>
      </c>
    </row>
    <row r="7" spans="2:9" ht="15.5" x14ac:dyDescent="0.35">
      <c r="B7" s="18" t="s">
        <v>34</v>
      </c>
      <c r="C7" s="84"/>
      <c r="E7" s="155"/>
    </row>
    <row r="8" spans="2:9" ht="15.5" x14ac:dyDescent="0.35">
      <c r="B8" s="18" t="s">
        <v>35</v>
      </c>
      <c r="C8" s="84"/>
      <c r="E8" s="156" t="s">
        <v>36</v>
      </c>
    </row>
    <row r="9" spans="2:9" ht="15.5" x14ac:dyDescent="0.35">
      <c r="B9" s="2" t="s">
        <v>37</v>
      </c>
      <c r="C9" s="85"/>
      <c r="E9" s="156"/>
    </row>
    <row r="10" spans="2:9" ht="15" customHeight="1" x14ac:dyDescent="0.35">
      <c r="E10" s="158" t="s">
        <v>38</v>
      </c>
    </row>
    <row r="11" spans="2:9" ht="16.5" customHeight="1" thickBot="1" x14ac:dyDescent="0.4">
      <c r="B11" s="152" t="s">
        <v>39</v>
      </c>
      <c r="C11" s="153"/>
      <c r="E11" s="158"/>
    </row>
    <row r="12" spans="2:9" ht="16" customHeight="1" thickBot="1" x14ac:dyDescent="0.4">
      <c r="B12" s="3" t="s">
        <v>40</v>
      </c>
      <c r="C12" s="111"/>
      <c r="E12" s="158"/>
      <c r="I12" s="40"/>
    </row>
    <row r="13" spans="2:9" ht="16" customHeight="1" thickBot="1" x14ac:dyDescent="0.4">
      <c r="B13" s="3" t="s">
        <v>41</v>
      </c>
      <c r="C13" s="111"/>
      <c r="E13" s="159" t="s">
        <v>42</v>
      </c>
      <c r="I13" s="40"/>
    </row>
    <row r="14" spans="2:9" ht="16" customHeight="1" thickBot="1" x14ac:dyDescent="0.4">
      <c r="B14" s="3" t="s">
        <v>45</v>
      </c>
      <c r="C14" s="111"/>
      <c r="E14" s="160"/>
    </row>
    <row r="15" spans="2:9" ht="16" thickBot="1" x14ac:dyDescent="0.4">
      <c r="B15" s="3" t="s">
        <v>44</v>
      </c>
      <c r="C15" s="111"/>
    </row>
    <row r="16" spans="2:9" ht="16" thickBot="1" x14ac:dyDescent="0.4">
      <c r="B16" s="3" t="s">
        <v>43</v>
      </c>
      <c r="C16" s="111"/>
    </row>
    <row r="17" spans="1:12" ht="16" thickBot="1" x14ac:dyDescent="0.4">
      <c r="B17" s="3" t="s">
        <v>46</v>
      </c>
      <c r="C17" s="111"/>
    </row>
    <row r="18" spans="1:12" ht="16" thickBot="1" x14ac:dyDescent="0.4">
      <c r="B18" s="3" t="s">
        <v>47</v>
      </c>
      <c r="C18" s="111"/>
    </row>
    <row r="19" spans="1:12" ht="15.5" x14ac:dyDescent="0.35">
      <c r="B19" s="16"/>
    </row>
    <row r="20" spans="1:12" ht="15.75" customHeight="1" thickBot="1" x14ac:dyDescent="0.4"/>
    <row r="21" spans="1:12" ht="16" thickBot="1" x14ac:dyDescent="0.4">
      <c r="B21" s="36" t="s">
        <v>48</v>
      </c>
      <c r="C21" s="37" t="s">
        <v>49</v>
      </c>
      <c r="E21" s="151" t="s">
        <v>50</v>
      </c>
      <c r="F21" s="151"/>
    </row>
    <row r="22" spans="1:12" ht="15.5" x14ac:dyDescent="0.35">
      <c r="A22" s="145" t="str" cm="1">
        <f t="array" ref="A22">_xlfn.IFS(Reference!B90=1,"▲",Reference!B90=0,"○",TRUE,"")</f>
        <v/>
      </c>
      <c r="B22" s="70" t="s">
        <v>51</v>
      </c>
      <c r="C22" s="46" t="s">
        <v>52</v>
      </c>
      <c r="E22" s="149" t="s">
        <v>53</v>
      </c>
      <c r="F22" s="149"/>
    </row>
    <row r="23" spans="1:12" x14ac:dyDescent="0.35">
      <c r="A23" s="145"/>
      <c r="B23" s="141" t="s">
        <v>502</v>
      </c>
      <c r="C23" s="142"/>
      <c r="E23" s="150"/>
      <c r="F23" s="150"/>
      <c r="G23" s="23"/>
      <c r="H23" s="6"/>
    </row>
    <row r="24" spans="1:12" ht="15" thickBot="1" x14ac:dyDescent="0.4">
      <c r="B24" s="143" t="s">
        <v>56</v>
      </c>
      <c r="C24" s="144"/>
      <c r="G24" s="23"/>
      <c r="H24" s="6"/>
    </row>
    <row r="25" spans="1:12" ht="15.75" customHeight="1" x14ac:dyDescent="0.35">
      <c r="A25" s="145" t="str" cm="1">
        <f t="array" ref="A25">_xlfn.IFS(Reference!B94=1,"▲",Reference!B94=0,"○",Reference!B94=0.5,_xlfn.IFS(Reference!B97=1,"▲",Output!E39&lt;&gt;"","○",TRUE,"→→"),TRUE,"")</f>
        <v/>
      </c>
      <c r="B25" s="71" t="s">
        <v>57</v>
      </c>
      <c r="C25" s="82" t="s">
        <v>58</v>
      </c>
      <c r="D25" s="8"/>
      <c r="E25" s="161" t="s">
        <v>59</v>
      </c>
      <c r="F25" s="161"/>
      <c r="G25" s="161"/>
      <c r="H25" s="6"/>
    </row>
    <row r="26" spans="1:12" x14ac:dyDescent="0.35">
      <c r="A26" s="145"/>
      <c r="B26" s="141" t="s">
        <v>502</v>
      </c>
      <c r="C26" s="142"/>
      <c r="E26" t="str">
        <f>IFERROR(INDEX('Country Data'!$Q:$Q,MATCH(ROW(E26)-ROW($E$25),'Country Data'!$S:$S,0)),IFERROR(IF(MATCH(ROW(E26)-ROW($E$25),'Country Data'!AS:AS,0)&gt;0,"Supply Chain:",""),""))</f>
        <v/>
      </c>
      <c r="F26" s="157" t="str">
        <f>_xlfn.CONCAT(IFERROR(INDEX('Country Data'!$R:$R,MATCH(ROW(E26)-ROW($E$25),'Country Data'!$S:$S,0)),""),IFERROR(INDEX('Country Data'!$AV:$AV,MATCH(ROW(E26)-ROW($E$25),'Country Data'!$AS:$AS,0)),""))</f>
        <v/>
      </c>
      <c r="G26" s="157"/>
      <c r="H26" s="6"/>
    </row>
    <row r="27" spans="1:12" ht="15" thickBot="1" x14ac:dyDescent="0.4">
      <c r="B27" s="143" t="s">
        <v>56</v>
      </c>
      <c r="C27" s="144"/>
      <c r="E27" t="str">
        <f>IFERROR(INDEX('Country Data'!$Q:$Q,MATCH(ROW(E27)-ROW($E$25),'Country Data'!$S:$S,0)),IFERROR(IF(MATCH(ROW(E27)-ROW($E$25),'Country Data'!AS:AS,0)&gt;0,"Supply Chain:",""),""))</f>
        <v/>
      </c>
      <c r="F27" s="157" t="str">
        <f>_xlfn.CONCAT(IFERROR(INDEX('Country Data'!$R:$R,MATCH(ROW(E27)-ROW($E$25),'Country Data'!$S:$S,0)),""),IFERROR(INDEX('Country Data'!$AV:$AV,MATCH(ROW(E27)-ROW($E$25),'Country Data'!$AS:$AS,0)),""))</f>
        <v/>
      </c>
      <c r="G27" s="157"/>
    </row>
    <row r="28" spans="1:12" ht="15.75" customHeight="1" x14ac:dyDescent="0.35">
      <c r="A28" s="145" t="str" cm="1">
        <f t="array" ref="A28">_xlfn.IFS(Reference!B91=1,"▲",Reference!B91=0,"○",TRUE,"")</f>
        <v/>
      </c>
      <c r="B28" s="72" t="s">
        <v>61</v>
      </c>
      <c r="C28" s="46" t="s">
        <v>62</v>
      </c>
      <c r="E28" t="str">
        <f>IFERROR(INDEX('Country Data'!$Q:$Q,MATCH(ROW(E28)-ROW($E$25),'Country Data'!$S:$S,0)),IFERROR(IF(MATCH(ROW(E28)-ROW($E$25),'Country Data'!AS:AS,0)&gt;0,"Supply Chain:",""),""))</f>
        <v/>
      </c>
      <c r="F28" s="157" t="str">
        <f>_xlfn.CONCAT(IFERROR(INDEX('Country Data'!$R:$R,MATCH(ROW(E28)-ROW($E$25),'Country Data'!$S:$S,0)),""),IFERROR(INDEX('Country Data'!$AV:$AV,MATCH(ROW(E28)-ROW($E$25),'Country Data'!$AS:$AS,0)),""))</f>
        <v/>
      </c>
      <c r="G28" s="157"/>
      <c r="H28" s="6"/>
    </row>
    <row r="29" spans="1:12" x14ac:dyDescent="0.35">
      <c r="A29" s="145"/>
      <c r="B29" s="141" t="s">
        <v>502</v>
      </c>
      <c r="C29" s="142"/>
      <c r="E29" t="str">
        <f>IFERROR(INDEX('Country Data'!$Q:$Q,MATCH(ROW(E29)-ROW($E$25),'Country Data'!$S:$S,0)),IFERROR(IF(MATCH(ROW(E29)-ROW($E$25),'Country Data'!AS:AS,0)&gt;0,"Supply Chain:",""),""))</f>
        <v/>
      </c>
      <c r="F29" s="157" t="str">
        <f>_xlfn.CONCAT(IFERROR(INDEX('Country Data'!$R:$R,MATCH(ROW(E29)-ROW($E$25),'Country Data'!$S:$S,0)),""),IFERROR(INDEX('Country Data'!$AV:$AV,MATCH(ROW(E29)-ROW($E$25),'Country Data'!$AS:$AS,0)),""))</f>
        <v/>
      </c>
      <c r="G29" s="157"/>
    </row>
    <row r="30" spans="1:12" ht="15" thickBot="1" x14ac:dyDescent="0.4">
      <c r="B30" s="143" t="s">
        <v>56</v>
      </c>
      <c r="C30" s="144"/>
      <c r="E30" t="str">
        <f>IFERROR(INDEX('Country Data'!$Q:$Q,MATCH(ROW(E30)-ROW($E$25),'Country Data'!$S:$S,0)),IFERROR(IF(MATCH(ROW(E30)-ROW($E$25),'Country Data'!AS:AS,0)&gt;0,"Supply Chain:",""),""))</f>
        <v/>
      </c>
      <c r="F30" s="157" t="str">
        <f>_xlfn.CONCAT(IFERROR(INDEX('Country Data'!$R:$R,MATCH(ROW(E30)-ROW($E$25),'Country Data'!$S:$S,0)),""),IFERROR(INDEX('Country Data'!$AV:$AV,MATCH(ROW(E30)-ROW($E$25),'Country Data'!$AS:$AS,0)),""))</f>
        <v/>
      </c>
      <c r="G30" s="157"/>
    </row>
    <row r="31" spans="1:12" ht="15.65" customHeight="1" x14ac:dyDescent="0.35">
      <c r="A31" s="145" t="str" cm="1">
        <f t="array" ref="A31">_xlfn.IFS(Reference!B95=1,"▲",Reference!B95=0,"○",TRUE,"")</f>
        <v/>
      </c>
      <c r="B31" s="72" t="s">
        <v>64</v>
      </c>
      <c r="C31" s="46" t="s">
        <v>65</v>
      </c>
      <c r="E31" t="str">
        <f>IFERROR(INDEX('Country Data'!$Q:$Q,MATCH(ROW(E31)-ROW($E$25),'Country Data'!$S:$S,0)),IFERROR(IF(MATCH(ROW(E31)-ROW($E$25),'Country Data'!AS:AS,0)&gt;0,"Supply Chain:",""),""))</f>
        <v/>
      </c>
      <c r="F31" s="157" t="str">
        <f>_xlfn.CONCAT(IFERROR(INDEX('Country Data'!$R:$R,MATCH(ROW(E31)-ROW($E$25),'Country Data'!$S:$S,0)),""),IFERROR(INDEX('Country Data'!$AV:$AV,MATCH(ROW(E31)-ROW($E$25),'Country Data'!$AS:$AS,0)),""))</f>
        <v/>
      </c>
      <c r="G31" s="157"/>
      <c r="H31" s="7"/>
      <c r="I31" s="7"/>
      <c r="J31" s="23"/>
      <c r="K31" s="6"/>
      <c r="L31" s="6"/>
    </row>
    <row r="32" spans="1:12" x14ac:dyDescent="0.35">
      <c r="A32" s="145"/>
      <c r="B32" s="141" t="s">
        <v>502</v>
      </c>
      <c r="C32" s="142"/>
      <c r="E32" t="str">
        <f>IFERROR(INDEX('Country Data'!$Q:$Q,MATCH(ROW(E32)-ROW($E$25),'Country Data'!$S:$S,0)),IFERROR(IF(MATCH(ROW(E32)-ROW($E$25),'Country Data'!AS:AS,0)&gt;0,"Supply Chain:",""),""))</f>
        <v/>
      </c>
      <c r="F32" s="157" t="str">
        <f>_xlfn.CONCAT(IFERROR(INDEX('Country Data'!$R:$R,MATCH(ROW(E32)-ROW($E$25),'Country Data'!$S:$S,0)),""),IFERROR(INDEX('Country Data'!$AV:$AV,MATCH(ROW(E32)-ROW($E$25),'Country Data'!$AS:$AS,0)),""))</f>
        <v/>
      </c>
      <c r="G32" s="157"/>
      <c r="H32" s="7"/>
      <c r="I32" s="7"/>
      <c r="J32" s="23"/>
      <c r="K32" s="6"/>
      <c r="L32" s="6"/>
    </row>
    <row r="33" spans="1:12" ht="15" thickBot="1" x14ac:dyDescent="0.4">
      <c r="B33" s="143" t="s">
        <v>56</v>
      </c>
      <c r="C33" s="144"/>
      <c r="E33" t="str">
        <f>IFERROR(INDEX('Country Data'!$Q:$Q,MATCH(ROW(E33)-ROW($E$25),'Country Data'!$S:$S,0)),IFERROR(IF(MATCH(ROW(E33)-ROW($E$25),'Country Data'!AS:AS,0)&gt;0,"Supply Chain:",""),""))</f>
        <v/>
      </c>
      <c r="F33" s="157" t="str">
        <f>_xlfn.CONCAT(IFERROR(INDEX('Country Data'!$R:$R,MATCH(ROW(E33)-ROW($E$25),'Country Data'!$S:$S,0)),""),IFERROR(INDEX('Country Data'!$AV:$AV,MATCH(ROW(E33)-ROW($E$25),'Country Data'!$AS:$AS,0)),""))</f>
        <v/>
      </c>
      <c r="G33" s="157"/>
      <c r="H33" s="7"/>
      <c r="I33" s="7"/>
      <c r="J33" s="29"/>
      <c r="K33" s="6"/>
      <c r="L33" s="6"/>
    </row>
    <row r="34" spans="1:12" ht="15.75" customHeight="1" x14ac:dyDescent="0.35">
      <c r="A34" s="145" t="str" cm="1">
        <f t="array" ref="A34">_xlfn.IFS(Reference!B93=1,"▲",Reference!B93=0,"○",TRUE,"")</f>
        <v/>
      </c>
      <c r="B34" s="72" t="s">
        <v>67</v>
      </c>
      <c r="C34" s="46" t="s">
        <v>65</v>
      </c>
      <c r="E34" t="str">
        <f>IFERROR(INDEX('Country Data'!$Q:$Q,MATCH(ROW(E34)-ROW($E$25),'Country Data'!$S:$S,0)),IFERROR(IF(MATCH(ROW(E34)-ROW($E$25),'Country Data'!AS:AS,0)&gt;0,"Supply Chain:",""),""))</f>
        <v/>
      </c>
      <c r="F34" s="157" t="str">
        <f>_xlfn.CONCAT(IFERROR(INDEX('Country Data'!$R:$R,MATCH(ROW(E34)-ROW($E$25),'Country Data'!$S:$S,0)),""),IFERROR(INDEX('Country Data'!$AV:$AV,MATCH(ROW(E34)-ROW($E$25),'Country Data'!$AS:$AS,0)),""))</f>
        <v/>
      </c>
      <c r="G34" s="157"/>
    </row>
    <row r="35" spans="1:12" x14ac:dyDescent="0.35">
      <c r="A35" s="145"/>
      <c r="B35" s="141" t="s">
        <v>502</v>
      </c>
      <c r="C35" s="142"/>
      <c r="E35" t="str">
        <f>IFERROR(INDEX('Country Data'!$Q:$Q,MATCH(ROW(E35)-ROW($E$25),'Country Data'!$S:$S,0)),IFERROR(IF(MATCH(ROW(E35)-ROW($E$25),'Country Data'!AS:AS,0)&gt;0,"Supply Chain:",""),""))</f>
        <v/>
      </c>
      <c r="F35" s="157" t="str">
        <f>_xlfn.CONCAT(IFERROR(INDEX('Country Data'!$R:$R,MATCH(ROW(E35)-ROW($E$25),'Country Data'!$S:$S,0)),""),IFERROR(INDEX('Country Data'!$AV:$AV,MATCH(ROW(E35)-ROW($E$25),'Country Data'!$AS:$AS,0)),""))</f>
        <v/>
      </c>
      <c r="G35" s="157"/>
    </row>
    <row r="36" spans="1:12" ht="15" thickBot="1" x14ac:dyDescent="0.4">
      <c r="B36" s="147" t="s">
        <v>56</v>
      </c>
      <c r="C36" s="148"/>
      <c r="E36" t="str">
        <f>IFERROR(INDEX('Country Data'!$Q:$Q,MATCH(ROW(E36)-ROW($E$25),'Country Data'!$S:$S,0)),IFERROR(IF(MATCH(ROW(E36)-ROW($E$25),'Country Data'!AS:AS,0)&gt;0,"Supply Chain:",""),""))</f>
        <v/>
      </c>
      <c r="F36" s="157" t="str">
        <f>_xlfn.CONCAT(IFERROR(INDEX('Country Data'!$R:$R,MATCH(ROW(E36)-ROW($E$25),'Country Data'!$S:$S,0)),""),IFERROR(INDEX('Country Data'!$AV:$AV,MATCH(ROW(E36)-ROW($E$25),'Country Data'!$AS:$AS,0)),""))</f>
        <v/>
      </c>
      <c r="G36" s="157"/>
    </row>
    <row r="37" spans="1:12" ht="15.75" customHeight="1" x14ac:dyDescent="0.35">
      <c r="A37" s="145" t="str" cm="1">
        <f t="array" ref="A37">_xlfn.IFS(Reference!B92=1,"▲",Reference!B87&gt;0,"○",TRUE,"")</f>
        <v/>
      </c>
      <c r="B37" s="73" t="s">
        <v>69</v>
      </c>
      <c r="C37" s="55" t="s">
        <v>70</v>
      </c>
      <c r="E37" t="str">
        <f>IFERROR(INDEX('Country Data'!$Q:$Q,MATCH(ROW(E37)-ROW($E$25),'Country Data'!$S:$S,0)),IFERROR(IF(MATCH(ROW(E37)-ROW($E$25),'Country Data'!AS:AS,0)&gt;0,"Supply Chain:",""),""))</f>
        <v/>
      </c>
      <c r="F37" s="157" t="str">
        <f>_xlfn.CONCAT(IFERROR(INDEX('Country Data'!$R:$R,MATCH(ROW(E37)-ROW($E$25),'Country Data'!$S:$S,0)),""),IFERROR(INDEX('Country Data'!$AV:$AV,MATCH(ROW(E37)-ROW($E$25),'Country Data'!$AS:$AS,0)),""))</f>
        <v/>
      </c>
      <c r="G37" s="157"/>
    </row>
    <row r="38" spans="1:12" x14ac:dyDescent="0.35">
      <c r="A38" s="145"/>
      <c r="B38" s="30"/>
      <c r="C38" s="81" t="s">
        <v>71</v>
      </c>
      <c r="E38" t="str">
        <f>IFERROR(INDEX('Country Data'!$Q:$Q,MATCH(ROW(E38)-ROW($E$25),'Country Data'!$S:$S,0)),IFERROR(IF(MATCH(ROW(E38)-ROW($E$25),'Country Data'!AS:AS,0)&gt;0,"Supply Chain:",""),""))</f>
        <v/>
      </c>
      <c r="F38" s="157" t="str">
        <f>_xlfn.CONCAT(IFERROR(INDEX('Country Data'!$R:$R,MATCH(ROW(E38)-ROW($E$25),'Country Data'!$S:$S,0)),""),IFERROR(INDEX('Country Data'!$AV:$AV,MATCH(ROW(E38)-ROW($E$25),'Country Data'!$AS:$AS,0)),""))</f>
        <v/>
      </c>
      <c r="G38" s="157"/>
    </row>
    <row r="39" spans="1:12" x14ac:dyDescent="0.35">
      <c r="A39" s="47" t="str" cm="1">
        <f t="array" ref="A39">_xlfn.IFS(B39="","",VLOOKUP(B39,'Country Data'!B:C,2,FALSE)&gt;Reference!$C$88,"▲",VLOOKUP(B39,'Country Data'!B:C,2,FALSE)=0,"⁇",TRUE,"○")</f>
        <v/>
      </c>
      <c r="B39" s="162"/>
      <c r="C39" s="163"/>
      <c r="E39" t="str">
        <f>IFERROR(INDEX('Country Data'!$Q:$Q,MATCH(ROW(E39)-ROW($E$25),'Country Data'!$S:$S,0)),IFERROR(IF(MATCH(ROW(E39)-ROW($E$25),'Country Data'!AS:AS,0)&gt;0,"Supply Chain:",""),""))</f>
        <v/>
      </c>
      <c r="F39" s="157" t="str">
        <f>_xlfn.CONCAT(IFERROR(INDEX('Country Data'!$R:$R,MATCH(ROW(E39)-ROW($E$25),'Country Data'!$S:$S,0)),""),IFERROR(INDEX('Country Data'!$AV:$AV,MATCH(ROW(E39)-ROW($E$25),'Country Data'!$AS:$AS,0)),""))</f>
        <v/>
      </c>
      <c r="G39" s="157"/>
    </row>
    <row r="40" spans="1:12" x14ac:dyDescent="0.35">
      <c r="A40" s="47" t="str" cm="1">
        <f t="array" ref="A40">_xlfn.IFS(B40="","",IFERROR(IFERROR(VLOOKUP(B40,Table2[[Country]:[Estimated prevalence of modern slavery per 1,000 population]],2,FALSE),VLOOKUP(B40,Table3[[Typed Name]:[MS Prevalence]],3,FALSE)),0)&gt;Reference!$C$88,"▲",IFERROR(IFERROR(VLOOKUP(B40,Table2[[Country]:[Estimated prevalence of modern slavery per 1,000 population]],2,FALSE),VLOOKUP(B40,Table3[[Typed Name]:[MS Prevalence]],3,FALSE)),0)=0,"⁇",TRUE,"○")</f>
        <v/>
      </c>
      <c r="B40" s="162"/>
      <c r="C40" s="163"/>
      <c r="D40" s="40"/>
      <c r="E40" t="str">
        <f>IFERROR(INDEX('Country Data'!$Q:$Q,MATCH(ROW(E40)-ROW($E$25),'Country Data'!$S:$S,0)),IFERROR(IF(MATCH(ROW(E40)-ROW($E$25),'Country Data'!AS:AS,0)&gt;0,"Supply Chain:",""),""))</f>
        <v/>
      </c>
      <c r="F40" s="157" t="str">
        <f>_xlfn.CONCAT(IFERROR(INDEX('Country Data'!$R:$R,MATCH(ROW(E40)-ROW($E$25),'Country Data'!$S:$S,0)),""),IFERROR(INDEX('Country Data'!$AV:$AV,MATCH(ROW(E40)-ROW($E$25),'Country Data'!$AS:$AS,0)),""))</f>
        <v/>
      </c>
      <c r="G40" s="157"/>
    </row>
    <row r="41" spans="1:12" x14ac:dyDescent="0.35">
      <c r="A41" s="47" t="str" cm="1">
        <f t="array" ref="A41">_xlfn.IFS(B41="","",IFERROR(IFERROR(VLOOKUP(B41,Table2[[Country]:[Estimated prevalence of modern slavery per 1,000 population]],2,FALSE),VLOOKUP(B41,Table3[[Typed Name]:[MS Prevalence]],3,FALSE)),0)&gt;Reference!$C$88,"▲",IFERROR(IFERROR(VLOOKUP(B41,Table2[[Country]:[Estimated prevalence of modern slavery per 1,000 population]],2,FALSE),VLOOKUP(B41,Table3[[Typed Name]:[MS Prevalence]],3,FALSE)),0)=0,"⁇",TRUE,"○")</f>
        <v/>
      </c>
      <c r="B41" s="162"/>
      <c r="C41" s="163"/>
      <c r="E41" t="str">
        <f>IFERROR(INDEX('Country Data'!$Q:$Q,MATCH(ROW(E41)-ROW($E$25),'Country Data'!$S:$S,0)),IFERROR(IF(MATCH(ROW(E41)-ROW($E$25),'Country Data'!AS:AS,0)&gt;0,"Supply Chain:",""),""))</f>
        <v/>
      </c>
      <c r="F41" s="157" t="str">
        <f>_xlfn.CONCAT(IFERROR(INDEX('Country Data'!$R:$R,MATCH(ROW(E41)-ROW($E$25),'Country Data'!$S:$S,0)),""),IFERROR(INDEX('Country Data'!$AV:$AV,MATCH(ROW(E41)-ROW($E$25),'Country Data'!$AS:$AS,0)),""))</f>
        <v/>
      </c>
      <c r="G41" s="157"/>
    </row>
    <row r="42" spans="1:12" x14ac:dyDescent="0.35">
      <c r="A42" s="47" t="str" cm="1">
        <f t="array" ref="A42">_xlfn.IFS(B42="","",IFERROR(IFERROR(VLOOKUP(B42,Table2[[Country]:[Estimated prevalence of modern slavery per 1,000 population]],2,FALSE),VLOOKUP(B42,Table3[[Typed Name]:[MS Prevalence]],3,FALSE)),0)&gt;Reference!$C$88,"▲",IFERROR(IFERROR(VLOOKUP(B42,Table2[[Country]:[Estimated prevalence of modern slavery per 1,000 population]],2,FALSE),VLOOKUP(B42,Table3[[Typed Name]:[MS Prevalence]],3,FALSE)),0)=0,"⁇",TRUE,"○")</f>
        <v/>
      </c>
      <c r="B42" s="162"/>
      <c r="C42" s="163"/>
      <c r="E42" t="str">
        <f>IFERROR(INDEX('Country Data'!$Q:$Q,MATCH(ROW(E42)-ROW($E$25),'Country Data'!$S:$S,0)),IFERROR(IF(MATCH(ROW(E42)-ROW($E$25),'Country Data'!AS:AS,0)&gt;0,"Supply Chain:",""),""))</f>
        <v/>
      </c>
      <c r="F42" s="157" t="str">
        <f>_xlfn.CONCAT(IFERROR(INDEX('Country Data'!$R:$R,MATCH(ROW(E42)-ROW($E$25),'Country Data'!$S:$S,0)),""),IFERROR(INDEX('Country Data'!$AV:$AV,MATCH(ROW(E42)-ROW($E$25),'Country Data'!$AS:$AS,0)),""))</f>
        <v/>
      </c>
      <c r="G42" s="157"/>
    </row>
    <row r="43" spans="1:12" x14ac:dyDescent="0.35">
      <c r="A43" s="47" t="str" cm="1">
        <f t="array" ref="A43">_xlfn.IFS(B43="","",IFERROR(IFERROR(VLOOKUP(B43,Table2[[Country]:[Estimated prevalence of modern slavery per 1,000 population]],2,FALSE),VLOOKUP(B43,Table3[[Typed Name]:[MS Prevalence]],3,FALSE)),0)&gt;Reference!$C$88,"▲",IFERROR(IFERROR(VLOOKUP(B43,Table2[[Country]:[Estimated prevalence of modern slavery per 1,000 population]],2,FALSE),VLOOKUP(B43,Table3[[Typed Name]:[MS Prevalence]],3,FALSE)),0)=0,"⁇",TRUE,"○")</f>
        <v/>
      </c>
      <c r="B43" s="162"/>
      <c r="C43" s="163"/>
      <c r="E43" t="str">
        <f>IFERROR(INDEX('Country Data'!$Q:$Q,MATCH(ROW(E43)-ROW($E$25),'Country Data'!$S:$S,0)),IFERROR(IF(MATCH(ROW(E43)-ROW($E$25),'Country Data'!AS:AS,0)&gt;0,"Supply Chain:",""),""))</f>
        <v/>
      </c>
      <c r="F43" s="157" t="str">
        <f>_xlfn.CONCAT(IFERROR(INDEX('Country Data'!$R:$R,MATCH(ROW(E43)-ROW($E$25),'Country Data'!$S:$S,0)),""),IFERROR(INDEX('Country Data'!$AV:$AV,MATCH(ROW(E43)-ROW($E$25),'Country Data'!$AS:$AS,0)),""))</f>
        <v/>
      </c>
      <c r="G43" s="157"/>
    </row>
    <row r="44" spans="1:12" x14ac:dyDescent="0.35">
      <c r="A44" s="47" t="str" cm="1">
        <f t="array" ref="A44">_xlfn.IFS(B44="","",IFERROR(IFERROR(VLOOKUP(B44,Table2[[Country]:[Estimated prevalence of modern slavery per 1,000 population]],2,FALSE),VLOOKUP(B44,Table3[[Typed Name]:[MS Prevalence]],3,FALSE)),0)&gt;Reference!$C$88,"▲",IFERROR(IFERROR(VLOOKUP(B44,Table2[[Country]:[Estimated prevalence of modern slavery per 1,000 population]],2,FALSE),VLOOKUP(B44,Table3[[Typed Name]:[MS Prevalence]],3,FALSE)),0)=0,"⁇",TRUE,"○")</f>
        <v/>
      </c>
      <c r="B44" s="162"/>
      <c r="C44" s="163"/>
      <c r="E44" t="str">
        <f>IFERROR(INDEX('Country Data'!$Q:$Q,MATCH(ROW(E44)-ROW($E$25),'Country Data'!$S:$S,0)),IFERROR(IF(MATCH(ROW(E44)-ROW($E$25),'Country Data'!AS:AS,0)&gt;0,"Supply Chain:",""),""))</f>
        <v/>
      </c>
      <c r="F44" s="157" t="str">
        <f>_xlfn.CONCAT(IFERROR(INDEX('Country Data'!$R:$R,MATCH(ROW(E44)-ROW($E$25),'Country Data'!$S:$S,0)),""),IFERROR(INDEX('Country Data'!$AV:$AV,MATCH(ROW(E44)-ROW($E$25),'Country Data'!$AS:$AS,0)),""))</f>
        <v/>
      </c>
      <c r="G44" s="157"/>
    </row>
    <row r="45" spans="1:12" x14ac:dyDescent="0.35">
      <c r="A45" s="47" t="str" cm="1">
        <f t="array" ref="A45">_xlfn.IFS(B45="","",IFERROR(IFERROR(VLOOKUP(B45,Table2[[Country]:[Estimated prevalence of modern slavery per 1,000 population]],2,FALSE),VLOOKUP(B45,Table3[[Typed Name]:[MS Prevalence]],3,FALSE)),0)&gt;Reference!$C$88,"▲",IFERROR(IFERROR(VLOOKUP(B45,Table2[[Country]:[Estimated prevalence of modern slavery per 1,000 population]],2,FALSE),VLOOKUP(B45,Table3[[Typed Name]:[MS Prevalence]],3,FALSE)),0)=0,"⁇",TRUE,"○")</f>
        <v/>
      </c>
      <c r="B45" s="162"/>
      <c r="C45" s="163"/>
      <c r="E45" t="str">
        <f>IFERROR(INDEX('Country Data'!$Q:$Q,MATCH(ROW(E45)-ROW($E$25),'Country Data'!$S:$S,0)),IFERROR(IF(MATCH(ROW(E45)-ROW($E$25),'Country Data'!AS:AS,0)&gt;0,"Supply Chain:",""),""))</f>
        <v/>
      </c>
      <c r="F45" s="157" t="str">
        <f>_xlfn.CONCAT(IFERROR(INDEX('Country Data'!$R:$R,MATCH(ROW(E45)-ROW($E$25),'Country Data'!$S:$S,0)),""),IFERROR(INDEX('Country Data'!$AV:$AV,MATCH(ROW(E45)-ROW($E$25),'Country Data'!$AS:$AS,0)),""))</f>
        <v/>
      </c>
      <c r="G45" s="157"/>
    </row>
    <row r="46" spans="1:12" x14ac:dyDescent="0.35">
      <c r="A46" s="47" t="str" cm="1">
        <f t="array" ref="A46">_xlfn.IFS(B46="","",IFERROR(IFERROR(VLOOKUP(B46,Table2[[Country]:[Estimated prevalence of modern slavery per 1,000 population]],2,FALSE),VLOOKUP(B46,Table3[[Typed Name]:[MS Prevalence]],3,FALSE)),0)&gt;Reference!$C$88,"▲",IFERROR(IFERROR(VLOOKUP(B46,Table2[[Country]:[Estimated prevalence of modern slavery per 1,000 population]],2,FALSE),VLOOKUP(B46,Table3[[Typed Name]:[MS Prevalence]],3,FALSE)),0)=0,"⁇",TRUE,"○")</f>
        <v/>
      </c>
      <c r="B46" s="162"/>
      <c r="C46" s="163"/>
      <c r="E46" t="str">
        <f>IFERROR(INDEX('Country Data'!$Q:$Q,MATCH(ROW(E46)-ROW($E$25),'Country Data'!$S:$S,0)),IFERROR(IF(MATCH(ROW(E46)-ROW($E$25),'Country Data'!AS:AS,0)&gt;0,"Supply Chain:",""),""))</f>
        <v/>
      </c>
      <c r="F46" s="157" t="str">
        <f>_xlfn.CONCAT(IFERROR(INDEX('Country Data'!$R:$R,MATCH(ROW(E46)-ROW($E$25),'Country Data'!$S:$S,0)),""),IFERROR(INDEX('Country Data'!$AV:$AV,MATCH(ROW(E46)-ROW($E$25),'Country Data'!$AS:$AS,0)),""))</f>
        <v/>
      </c>
      <c r="G46" s="157"/>
    </row>
    <row r="47" spans="1:12" x14ac:dyDescent="0.35">
      <c r="A47" s="47" t="str" cm="1">
        <f t="array" ref="A47">_xlfn.IFS(B47="","",IFERROR(IFERROR(VLOOKUP(B47,Table2[[Country]:[Estimated prevalence of modern slavery per 1,000 population]],2,FALSE),VLOOKUP(B47,Table3[[Typed Name]:[MS Prevalence]],3,FALSE)),0)&gt;Reference!$C$88,"▲",IFERROR(IFERROR(VLOOKUP(B47,Table2[[Country]:[Estimated prevalence of modern slavery per 1,000 population]],2,FALSE),VLOOKUP(B47,Table3[[Typed Name]:[MS Prevalence]],3,FALSE)),0)=0,"⁇",TRUE,"○")</f>
        <v/>
      </c>
      <c r="B47" s="162"/>
      <c r="C47" s="163"/>
      <c r="E47" t="str">
        <f>IFERROR(INDEX('Country Data'!$Q:$Q,MATCH(ROW(E47)-ROW($E$25),'Country Data'!$S:$S,0)),IFERROR(IF(MATCH(ROW(E47)-ROW($E$25),'Country Data'!AS:AS,0)&gt;0,"Supply Chain:",""),""))</f>
        <v/>
      </c>
      <c r="F47" s="157" t="str">
        <f>_xlfn.CONCAT(IFERROR(INDEX('Country Data'!$R:$R,MATCH(ROW(E47)-ROW($E$25),'Country Data'!$S:$S,0)),""),IFERROR(INDEX('Country Data'!$AV:$AV,MATCH(ROW(E47)-ROW($E$25),'Country Data'!$AS:$AS,0)),""))</f>
        <v/>
      </c>
      <c r="G47" s="157"/>
    </row>
    <row r="48" spans="1:12" x14ac:dyDescent="0.35">
      <c r="A48" s="47" t="str" cm="1">
        <f t="array" ref="A48">_xlfn.IFS(B48="","",IFERROR(IFERROR(VLOOKUP(B48,Table2[[Country]:[Estimated prevalence of modern slavery per 1,000 population]],2,FALSE),VLOOKUP(B48,Table3[[Typed Name]:[MS Prevalence]],3,FALSE)),0)&gt;Reference!$C$88,"▲",IFERROR(IFERROR(VLOOKUP(B48,Table2[[Country]:[Estimated prevalence of modern slavery per 1,000 population]],2,FALSE),VLOOKUP(B48,Table3[[Typed Name]:[MS Prevalence]],3,FALSE)),0)=0,"⁇",TRUE,"○")</f>
        <v/>
      </c>
      <c r="B48" s="162"/>
      <c r="C48" s="163"/>
      <c r="E48" t="str">
        <f>IFERROR(INDEX('Country Data'!$Q:$Q,MATCH(ROW(E48)-ROW($E$25),'Country Data'!$S:$S,0)),IFERROR(IF(MATCH(ROW(E48)-ROW($E$25),'Country Data'!AS:AS,0)&gt;0,"Supply Chain:",""),""))</f>
        <v/>
      </c>
      <c r="F48" s="157" t="str">
        <f>_xlfn.CONCAT(IFERROR(INDEX('Country Data'!$R:$R,MATCH(ROW(E48)-ROW($E$25),'Country Data'!$S:$S,0)),""),IFERROR(INDEX('Country Data'!$AV:$AV,MATCH(ROW(E48)-ROW($E$25),'Country Data'!$AS:$AS,0)),""))</f>
        <v/>
      </c>
      <c r="G48" s="157"/>
    </row>
    <row r="49" spans="1:7" x14ac:dyDescent="0.35">
      <c r="A49" s="47" t="str" cm="1">
        <f t="array" ref="A49">_xlfn.IFS(B49="","",IFERROR(IFERROR(VLOOKUP(B49,Table2[[Country]:[Estimated prevalence of modern slavery per 1,000 population]],2,FALSE),VLOOKUP(B49,Table3[[Typed Name]:[MS Prevalence]],3,FALSE)),0)&gt;Reference!$C$88,"▲",IFERROR(IFERROR(VLOOKUP(B49,Table2[[Country]:[Estimated prevalence of modern slavery per 1,000 population]],2,FALSE),VLOOKUP(B49,Table3[[Typed Name]:[MS Prevalence]],3,FALSE)),0)=0,"⁇",TRUE,"○")</f>
        <v/>
      </c>
      <c r="B49" s="162"/>
      <c r="C49" s="163"/>
      <c r="E49" t="str">
        <f>IFERROR(INDEX('Country Data'!$Q:$Q,MATCH(ROW(E49)-ROW($E$25),'Country Data'!$S:$S,0)),IFERROR(IF(MATCH(ROW(E49)-ROW($E$25),'Country Data'!AS:AS,0)&gt;0,"Supply Chain:",""),""))</f>
        <v/>
      </c>
      <c r="F49" s="157" t="str">
        <f>_xlfn.CONCAT(IFERROR(INDEX('Country Data'!$R:$R,MATCH(ROW(E49)-ROW($E$25),'Country Data'!$S:$S,0)),""),IFERROR(INDEX('Country Data'!$AV:$AV,MATCH(ROW(E49)-ROW($E$25),'Country Data'!$AS:$AS,0)),""))</f>
        <v/>
      </c>
      <c r="G49" s="157"/>
    </row>
    <row r="50" spans="1:7" x14ac:dyDescent="0.35">
      <c r="A50" s="47" t="str" cm="1">
        <f t="array" ref="A50">_xlfn.IFS(B50="","",IFERROR(IFERROR(VLOOKUP(B50,Table2[[Country]:[Estimated prevalence of modern slavery per 1,000 population]],2,FALSE),VLOOKUP(B50,Table3[[Typed Name]:[MS Prevalence]],3,FALSE)),0)&gt;Reference!$C$88,"▲",IFERROR(IFERROR(VLOOKUP(B50,Table2[[Country]:[Estimated prevalence of modern slavery per 1,000 population]],2,FALSE),VLOOKUP(B50,Table3[[Typed Name]:[MS Prevalence]],3,FALSE)),0)=0,"⁇",TRUE,"○")</f>
        <v/>
      </c>
      <c r="B50" s="162"/>
      <c r="C50" s="163"/>
      <c r="E50" t="str">
        <f>IFERROR(INDEX('Country Data'!$Q:$Q,MATCH(ROW(E50)-ROW($E$25),'Country Data'!$S:$S,0)),IFERROR(IF(MATCH(ROW(E50)-ROW($E$25),'Country Data'!AS:AS,0)&gt;0,"Supply Chain:",""),""))</f>
        <v/>
      </c>
      <c r="F50" s="157" t="str">
        <f>_xlfn.CONCAT(IFERROR(INDEX('Country Data'!$R:$R,MATCH(ROW(E50)-ROW($E$25),'Country Data'!$S:$S,0)),""),IFERROR(INDEX('Country Data'!$AV:$AV,MATCH(ROW(E50)-ROW($E$25),'Country Data'!$AS:$AS,0)),""))</f>
        <v/>
      </c>
      <c r="G50" s="157"/>
    </row>
    <row r="51" spans="1:7" x14ac:dyDescent="0.35">
      <c r="A51" s="47" t="str" cm="1">
        <f t="array" ref="A51">_xlfn.IFS(B51="","",IFERROR(IFERROR(VLOOKUP(B51,Table2[[Country]:[Estimated prevalence of modern slavery per 1,000 population]],2,FALSE),VLOOKUP(B51,Table3[[Typed Name]:[MS Prevalence]],3,FALSE)),0)&gt;Reference!$C$88,"▲",IFERROR(IFERROR(VLOOKUP(B51,Table2[[Country]:[Estimated prevalence of modern slavery per 1,000 population]],2,FALSE),VLOOKUP(B51,Table3[[Typed Name]:[MS Prevalence]],3,FALSE)),0)=0,"⁇",TRUE,"○")</f>
        <v/>
      </c>
      <c r="B51" s="162"/>
      <c r="C51" s="163"/>
      <c r="E51" t="str">
        <f>IFERROR(INDEX('Country Data'!$Q:$Q,MATCH(ROW(E51)-ROW($E$25),'Country Data'!$S:$S,0)),IFERROR(IF(MATCH(ROW(E51)-ROW($E$25),'Country Data'!AS:AS,0)&gt;0,"Supply Chain:",""),""))</f>
        <v/>
      </c>
      <c r="F51" s="157" t="str">
        <f>_xlfn.CONCAT(IFERROR(INDEX('Country Data'!$R:$R,MATCH(ROW(E51)-ROW($E$25),'Country Data'!$S:$S,0)),""),IFERROR(INDEX('Country Data'!$AV:$AV,MATCH(ROW(E51)-ROW($E$25),'Country Data'!$AS:$AS,0)),""))</f>
        <v/>
      </c>
      <c r="G51" s="157"/>
    </row>
    <row r="52" spans="1:7" x14ac:dyDescent="0.35">
      <c r="A52" s="47" t="str" cm="1">
        <f t="array" ref="A52">_xlfn.IFS(B52="","",IFERROR(IFERROR(VLOOKUP(B52,Table2[[Country]:[Estimated prevalence of modern slavery per 1,000 population]],2,FALSE),VLOOKUP(B52,Table3[[Typed Name]:[MS Prevalence]],3,FALSE)),0)&gt;Reference!$C$88,"▲",IFERROR(IFERROR(VLOOKUP(B52,Table2[[Country]:[Estimated prevalence of modern slavery per 1,000 population]],2,FALSE),VLOOKUP(B52,Table3[[Typed Name]:[MS Prevalence]],3,FALSE)),0)=0,"⁇",TRUE,"○")</f>
        <v/>
      </c>
      <c r="B52" s="162"/>
      <c r="C52" s="163"/>
      <c r="E52" t="str">
        <f>IFERROR(INDEX('Country Data'!$Q:$Q,MATCH(ROW(E52)-ROW($E$25),'Country Data'!$S:$S,0)),IFERROR(IF(MATCH(ROW(E52)-ROW($E$25),'Country Data'!AS:AS,0)&gt;0,"Supply Chain:",""),""))</f>
        <v/>
      </c>
      <c r="F52" s="157" t="str">
        <f>_xlfn.CONCAT(IFERROR(INDEX('Country Data'!$R:$R,MATCH(ROW(E52)-ROW($E$25),'Country Data'!$S:$S,0)),""),IFERROR(INDEX('Country Data'!$AV:$AV,MATCH(ROW(E52)-ROW($E$25),'Country Data'!$AS:$AS,0)),""))</f>
        <v/>
      </c>
      <c r="G52" s="157"/>
    </row>
    <row r="53" spans="1:7" x14ac:dyDescent="0.35">
      <c r="A53" s="47" t="str" cm="1">
        <f t="array" ref="A53">_xlfn.IFS(B53="","",IFERROR(IFERROR(VLOOKUP(B53,Table2[[Country]:[Estimated prevalence of modern slavery per 1,000 population]],2,FALSE),VLOOKUP(B53,Table3[[Typed Name]:[MS Prevalence]],3,FALSE)),0)&gt;Reference!$C$88,"▲",IFERROR(IFERROR(VLOOKUP(B53,Table2[[Country]:[Estimated prevalence of modern slavery per 1,000 population]],2,FALSE),VLOOKUP(B53,Table3[[Typed Name]:[MS Prevalence]],3,FALSE)),0)=0,"⁇",TRUE,"○")</f>
        <v/>
      </c>
      <c r="B53" s="162"/>
      <c r="C53" s="163"/>
      <c r="E53" t="str">
        <f>IFERROR(INDEX('Country Data'!$Q:$Q,MATCH(ROW(E53)-ROW($E$25),'Country Data'!$S:$S,0)),IFERROR(IF(MATCH(ROW(E53)-ROW($E$25),'Country Data'!AS:AS,0)&gt;0,"Supply Chain:",""),""))</f>
        <v/>
      </c>
      <c r="F53" s="157" t="str">
        <f>_xlfn.CONCAT(IFERROR(INDEX('Country Data'!$R:$R,MATCH(ROW(E53)-ROW($E$25),'Country Data'!$S:$S,0)),""),IFERROR(INDEX('Country Data'!$AV:$AV,MATCH(ROW(E53)-ROW($E$25),'Country Data'!$AS:$AS,0)),""))</f>
        <v/>
      </c>
      <c r="G53" s="157"/>
    </row>
    <row r="54" spans="1:7" x14ac:dyDescent="0.35">
      <c r="A54" s="47" t="str" cm="1">
        <f t="array" ref="A54">_xlfn.IFS(B54="","",IFERROR(IFERROR(VLOOKUP(B54,Table2[[Country]:[Estimated prevalence of modern slavery per 1,000 population]],2,FALSE),VLOOKUP(B54,Table3[[Typed Name]:[MS Prevalence]],3,FALSE)),0)&gt;Reference!$C$88,"▲",IFERROR(IFERROR(VLOOKUP(B54,Table2[[Country]:[Estimated prevalence of modern slavery per 1,000 population]],2,FALSE),VLOOKUP(B54,Table3[[Typed Name]:[MS Prevalence]],3,FALSE)),0)=0,"⁇",TRUE,"○")</f>
        <v/>
      </c>
      <c r="B54" s="162"/>
      <c r="C54" s="163"/>
      <c r="E54" t="str">
        <f>IFERROR(INDEX('Country Data'!$Q:$Q,MATCH(ROW(E54)-ROW($E$25),'Country Data'!$S:$S,0)),IFERROR(IF(MATCH(ROW(E54)-ROW($E$25),'Country Data'!AS:AS,0)&gt;0,"Supply Chain:",""),""))</f>
        <v/>
      </c>
      <c r="F54" s="157" t="str">
        <f>_xlfn.CONCAT(IFERROR(INDEX('Country Data'!$R:$R,MATCH(ROW(E54)-ROW($E$25),'Country Data'!$S:$S,0)),""),IFERROR(INDEX('Country Data'!$AV:$AV,MATCH(ROW(E54)-ROW($E$25),'Country Data'!$AS:$AS,0)),""))</f>
        <v/>
      </c>
      <c r="G54" s="157"/>
    </row>
    <row r="55" spans="1:7" x14ac:dyDescent="0.35">
      <c r="A55" s="47" t="str" cm="1">
        <f t="array" ref="A55">_xlfn.IFS(B55="","",IFERROR(IFERROR(VLOOKUP(B55,Table2[[Country]:[Estimated prevalence of modern slavery per 1,000 population]],2,FALSE),VLOOKUP(B55,Table3[[Typed Name]:[MS Prevalence]],3,FALSE)),0)&gt;Reference!$C$88,"▲",IFERROR(IFERROR(VLOOKUP(B55,Table2[[Country]:[Estimated prevalence of modern slavery per 1,000 population]],2,FALSE),VLOOKUP(B55,Table3[[Typed Name]:[MS Prevalence]],3,FALSE)),0)=0,"⁇",TRUE,"○")</f>
        <v/>
      </c>
      <c r="B55" s="162"/>
      <c r="C55" s="163"/>
      <c r="E55" t="str">
        <f>IFERROR(INDEX('Country Data'!$Q:$Q,MATCH(ROW(E55)-ROW($E$25),'Country Data'!$S:$S,0)),IFERROR(IF(MATCH(ROW(E55)-ROW($E$25),'Country Data'!AS:AS,0)&gt;0,"Supply Chain:",""),""))</f>
        <v/>
      </c>
      <c r="F55" s="157" t="str">
        <f>_xlfn.CONCAT(IFERROR(INDEX('Country Data'!$R:$R,MATCH(ROW(E55)-ROW($E$25),'Country Data'!$S:$S,0)),""),IFERROR(INDEX('Country Data'!$AV:$AV,MATCH(ROW(E55)-ROW($E$25),'Country Data'!$AS:$AS,0)),""))</f>
        <v/>
      </c>
      <c r="G55" s="157"/>
    </row>
    <row r="56" spans="1:7" x14ac:dyDescent="0.35">
      <c r="A56" s="47" t="str" cm="1">
        <f t="array" ref="A56">_xlfn.IFS(B56="","",IFERROR(IFERROR(VLOOKUP(B56,Table2[[Country]:[Estimated prevalence of modern slavery per 1,000 population]],2,FALSE),VLOOKUP(B56,Table3[[Typed Name]:[MS Prevalence]],3,FALSE)),0)&gt;Reference!$C$88,"▲",IFERROR(IFERROR(VLOOKUP(B56,Table2[[Country]:[Estimated prevalence of modern slavery per 1,000 population]],2,FALSE),VLOOKUP(B56,Table3[[Typed Name]:[MS Prevalence]],3,FALSE)),0)=0,"⁇",TRUE,"○")</f>
        <v/>
      </c>
      <c r="B56" s="162"/>
      <c r="C56" s="163"/>
      <c r="E56" t="str">
        <f>IFERROR(INDEX('Country Data'!$Q:$Q,MATCH(ROW(E56)-ROW($E$25),'Country Data'!$S:$S,0)),IFERROR(IF(MATCH(ROW(E56)-ROW($E$25),'Country Data'!AS:AS,0)&gt;0,"Supply Chain:",""),""))</f>
        <v/>
      </c>
      <c r="F56" s="157" t="str">
        <f>_xlfn.CONCAT(IFERROR(INDEX('Country Data'!$R:$R,MATCH(ROW(E56)-ROW($E$25),'Country Data'!$S:$S,0)),""),IFERROR(INDEX('Country Data'!$AV:$AV,MATCH(ROW(E56)-ROW($E$25),'Country Data'!$AS:$AS,0)),""))</f>
        <v/>
      </c>
      <c r="G56" s="157"/>
    </row>
    <row r="57" spans="1:7" x14ac:dyDescent="0.35">
      <c r="A57" s="47" t="str" cm="1">
        <f t="array" ref="A57">_xlfn.IFS(B57="","",IFERROR(IFERROR(VLOOKUP(B57,Table2[[Country]:[Estimated prevalence of modern slavery per 1,000 population]],2,FALSE),VLOOKUP(B57,Table3[[Typed Name]:[MS Prevalence]],3,FALSE)),0)&gt;Reference!$C$88,"▲",IFERROR(IFERROR(VLOOKUP(B57,Table2[[Country]:[Estimated prevalence of modern slavery per 1,000 population]],2,FALSE),VLOOKUP(B57,Table3[[Typed Name]:[MS Prevalence]],3,FALSE)),0)=0,"⁇",TRUE,"○")</f>
        <v/>
      </c>
      <c r="B57" s="162"/>
      <c r="C57" s="163"/>
      <c r="E57" t="str">
        <f>IFERROR(INDEX('Country Data'!$Q:$Q,MATCH(ROW(E57)-ROW($E$25),'Country Data'!$S:$S,0)),IFERROR(IF(MATCH(ROW(E57)-ROW($E$25),'Country Data'!AS:AS,0)&gt;0,"Supply Chain:",""),""))</f>
        <v/>
      </c>
      <c r="F57" s="157" t="str">
        <f>_xlfn.CONCAT(IFERROR(INDEX('Country Data'!$R:$R,MATCH(ROW(E57)-ROW($E$25),'Country Data'!$S:$S,0)),""),IFERROR(INDEX('Country Data'!$AV:$AV,MATCH(ROW(E57)-ROW($E$25),'Country Data'!$AS:$AS,0)),""))</f>
        <v/>
      </c>
      <c r="G57" s="157"/>
    </row>
    <row r="58" spans="1:7" ht="15" thickBot="1" x14ac:dyDescent="0.4">
      <c r="A58" s="47" t="str" cm="1">
        <f t="array" ref="A58">_xlfn.IFS(B58="","",IFERROR(IFERROR(VLOOKUP(B58,Table2[[Country]:[Estimated prevalence of modern slavery per 1,000 population]],2,FALSE),VLOOKUP(B58,Table3[[Typed Name]:[MS Prevalence]],3,FALSE)),0)&gt;Reference!$C$88,"▲",IFERROR(IFERROR(VLOOKUP(B58,Table2[[Country]:[Estimated prevalence of modern slavery per 1,000 population]],2,FALSE),VLOOKUP(B58,Table3[[Typed Name]:[MS Prevalence]],3,FALSE)),0)=0,"⁇",TRUE,"○")</f>
        <v/>
      </c>
      <c r="B58" s="164"/>
      <c r="C58" s="165"/>
      <c r="E58" t="str">
        <f>IFERROR(INDEX('Country Data'!$Q:$Q,MATCH(ROW(E58)-ROW($E$25),'Country Data'!$S:$S,0)),IFERROR(IF(MATCH(ROW(E58)-ROW($E$25),'Country Data'!AS:AS,0)&gt;0,"Supply Chain:",""),""))</f>
        <v/>
      </c>
      <c r="F58" s="157" t="str">
        <f>_xlfn.CONCAT(IFERROR(INDEX('Country Data'!$R:$R,MATCH(ROW(E58)-ROW($E$25),'Country Data'!$S:$S,0)),""),IFERROR(INDEX('Country Data'!$AV:$AV,MATCH(ROW(E58)-ROW($E$25),'Country Data'!$AS:$AS,0)),""))</f>
        <v/>
      </c>
      <c r="G58" s="157"/>
    </row>
    <row r="59" spans="1:7" x14ac:dyDescent="0.35">
      <c r="E59" t="str">
        <f>IFERROR(INDEX('Country Data'!$Q:$Q,MATCH(ROW(E59)-ROW($E$25),'Country Data'!$S:$S,0)),IFERROR(IF(MATCH(ROW(E59)-ROW($E$25),'Country Data'!AS:AS,0)&gt;0,"Supply Chain:",""),""))</f>
        <v/>
      </c>
      <c r="F59" s="157" t="str">
        <f>_xlfn.CONCAT(IFERROR(INDEX('Country Data'!$R:$R,MATCH(ROW(E59)-ROW($E$25),'Country Data'!$S:$S,0)),""),IFERROR(INDEX('Country Data'!$AV:$AV,MATCH(ROW(E59)-ROW($E$25),'Country Data'!$AS:$AS,0)),""))</f>
        <v/>
      </c>
      <c r="G59" s="157"/>
    </row>
    <row r="60" spans="1:7" x14ac:dyDescent="0.35">
      <c r="E60" t="str">
        <f>IFERROR(INDEX('Country Data'!$Q:$Q,MATCH(ROW(E60)-ROW($E$25),'Country Data'!$S:$S,0)),IFERROR(IF(MATCH(ROW(E60)-ROW($E$25),'Country Data'!AS:AS,0)&gt;0,"Supply Chain:",""),""))</f>
        <v/>
      </c>
      <c r="F60" s="157" t="str">
        <f>_xlfn.CONCAT(IFERROR(INDEX('Country Data'!$R:$R,MATCH(ROW(E60)-ROW($E$25),'Country Data'!$S:$S,0)),""),IFERROR(INDEX('Country Data'!$AV:$AV,MATCH(ROW(E60)-ROW($E$25),'Country Data'!$AS:$AS,0)),""))</f>
        <v/>
      </c>
      <c r="G60" s="157"/>
    </row>
    <row r="61" spans="1:7" x14ac:dyDescent="0.35">
      <c r="E61" t="str">
        <f>IFERROR(INDEX('Country Data'!$Q:$Q,MATCH(ROW(E61)-ROW($E$25),'Country Data'!$S:$S,0)),IFERROR(IF(MATCH(ROW(E61)-ROW($E$25),'Country Data'!AS:AS,0)&gt;0,"Supply Chain:",""),""))</f>
        <v/>
      </c>
      <c r="F61" s="157" t="str">
        <f>_xlfn.CONCAT(IFERROR(INDEX('Country Data'!$R:$R,MATCH(ROW(E61)-ROW($E$25),'Country Data'!$S:$S,0)),""),IFERROR(INDEX('Country Data'!$AV:$AV,MATCH(ROW(E61)-ROW($E$25),'Country Data'!$AS:$AS,0)),""))</f>
        <v/>
      </c>
      <c r="G61" s="157"/>
    </row>
    <row r="62" spans="1:7" x14ac:dyDescent="0.35">
      <c r="E62" t="str">
        <f>IFERROR(INDEX('Country Data'!$Q:$Q,MATCH(ROW(E62)-ROW($E$25),'Country Data'!$S:$S,0)),IFERROR(IF(MATCH(ROW(E62)-ROW($E$25),'Country Data'!AS:AS,0)&gt;0,"Supply Chain:",""),""))</f>
        <v/>
      </c>
      <c r="F62" s="157" t="str">
        <f>_xlfn.CONCAT(IFERROR(INDEX('Country Data'!$R:$R,MATCH(ROW(E62)-ROW($E$25),'Country Data'!$S:$S,0)),""),IFERROR(INDEX('Country Data'!$AV:$AV,MATCH(ROW(E62)-ROW($E$25),'Country Data'!$AS:$AS,0)),""))</f>
        <v/>
      </c>
      <c r="G62" s="157"/>
    </row>
    <row r="63" spans="1:7" x14ac:dyDescent="0.35">
      <c r="E63" t="str">
        <f>IFERROR(INDEX('Country Data'!$Q:$Q,MATCH(ROW(E63)-ROW($E$25),'Country Data'!$S:$S,0)),IFERROR(IF(MATCH(ROW(E63)-ROW($E$25),'Country Data'!AS:AS,0)&gt;0,"Supply Chain:",""),""))</f>
        <v/>
      </c>
      <c r="F63" s="157" t="str">
        <f>_xlfn.CONCAT(IFERROR(INDEX('Country Data'!$R:$R,MATCH(ROW(E63)-ROW($E$25),'Country Data'!$S:$S,0)),""),IFERROR(INDEX('Country Data'!$AV:$AV,MATCH(ROW(E63)-ROW($E$25),'Country Data'!$AS:$AS,0)),""))</f>
        <v/>
      </c>
      <c r="G63" s="157"/>
    </row>
    <row r="64" spans="1:7" x14ac:dyDescent="0.35">
      <c r="E64" t="str">
        <f>IFERROR(INDEX('Country Data'!$Q:$Q,MATCH(ROW(E64)-ROW($E$25),'Country Data'!$S:$S,0)),IFERROR(IF(MATCH(ROW(E64)-ROW($E$25),'Country Data'!AS:AS,0)&gt;0,"Supply Chain:",""),""))</f>
        <v/>
      </c>
      <c r="F64" s="157" t="str">
        <f>_xlfn.CONCAT(IFERROR(INDEX('Country Data'!$R:$R,MATCH(ROW(E64)-ROW($E$25),'Country Data'!$S:$S,0)),""),IFERROR(INDEX('Country Data'!$AV:$AV,MATCH(ROW(E64)-ROW($E$25),'Country Data'!$AS:$AS,0)),""))</f>
        <v/>
      </c>
      <c r="G64" s="157"/>
    </row>
    <row r="65" spans="5:7" x14ac:dyDescent="0.35">
      <c r="E65" t="str">
        <f>IFERROR(INDEX('Country Data'!$Q:$Q,MATCH(ROW(E65)-ROW($E$25),'Country Data'!$S:$S,0)),IFERROR(IF(MATCH(ROW(E65)-ROW($E$25),'Country Data'!AS:AS,0)&gt;0,"Supply Chain:",""),""))</f>
        <v/>
      </c>
      <c r="F65" s="157" t="str">
        <f>_xlfn.CONCAT(IFERROR(INDEX('Country Data'!$R:$R,MATCH(ROW(E65)-ROW($E$25),'Country Data'!$S:$S,0)),""),IFERROR(INDEX('Country Data'!$AV:$AV,MATCH(ROW(E65)-ROW($E$25),'Country Data'!$AS:$AS,0)),""))</f>
        <v/>
      </c>
      <c r="G65" s="157"/>
    </row>
    <row r="66" spans="5:7" x14ac:dyDescent="0.35">
      <c r="E66" t="str">
        <f>IFERROR(INDEX('Country Data'!$Q:$Q,MATCH(ROW(E66)-ROW($E$25),'Country Data'!$S:$S,0)),IFERROR(IF(MATCH(ROW(E66)-ROW($E$25),'Country Data'!AS:AS,0)&gt;0,"Supply Chain:",""),""))</f>
        <v/>
      </c>
      <c r="F66" s="157" t="str">
        <f>_xlfn.CONCAT(IFERROR(INDEX('Country Data'!$R:$R,MATCH(ROW(E66)-ROW($E$25),'Country Data'!$S:$S,0)),""),IFERROR(INDEX('Country Data'!$AV:$AV,MATCH(ROW(E66)-ROW($E$25),'Country Data'!$AS:$AS,0)),""))</f>
        <v/>
      </c>
      <c r="G66" s="157"/>
    </row>
    <row r="67" spans="5:7" x14ac:dyDescent="0.35">
      <c r="E67" t="str">
        <f>IFERROR(INDEX('Country Data'!$Q:$Q,MATCH(ROW(E67)-ROW($E$25),'Country Data'!$S:$S,0)),IFERROR(IF(MATCH(ROW(E67)-ROW($E$25),'Country Data'!AS:AS,0)&gt;0,"Supply Chain:",""),""))</f>
        <v/>
      </c>
      <c r="F67" s="157" t="str">
        <f>_xlfn.CONCAT(IFERROR(INDEX('Country Data'!$R:$R,MATCH(ROW(E67)-ROW($E$25),'Country Data'!$S:$S,0)),""),IFERROR(INDEX('Country Data'!$AV:$AV,MATCH(ROW(E67)-ROW($E$25),'Country Data'!$AS:$AS,0)),""))</f>
        <v/>
      </c>
      <c r="G67" s="157"/>
    </row>
    <row r="68" spans="5:7" x14ac:dyDescent="0.35">
      <c r="E68" t="str">
        <f>IFERROR(INDEX('Country Data'!$Q:$Q,MATCH(ROW(E68)-ROW($E$25),'Country Data'!$S:$S,0)),IFERROR(IF(MATCH(ROW(E68)-ROW($E$25),'Country Data'!AS:AS,0)&gt;0,"Supply Chain:",""),""))</f>
        <v/>
      </c>
      <c r="F68" s="157" t="str">
        <f>_xlfn.CONCAT(IFERROR(INDEX('Country Data'!$R:$R,MATCH(ROW(E68)-ROW($E$25),'Country Data'!$S:$S,0)),""),IFERROR(INDEX('Country Data'!$AV:$AV,MATCH(ROW(E68)-ROW($E$25),'Country Data'!$AS:$AS,0)),""))</f>
        <v/>
      </c>
      <c r="G68" s="157"/>
    </row>
    <row r="69" spans="5:7" x14ac:dyDescent="0.35">
      <c r="E69" t="str">
        <f>IFERROR(INDEX('Country Data'!$Q:$Q,MATCH(ROW(E69)-ROW($E$25),'Country Data'!$S:$S,0)),IFERROR(IF(MATCH(ROW(E69)-ROW($E$25),'Country Data'!AS:AS,0)&gt;0,"Supply Chain:",""),""))</f>
        <v/>
      </c>
      <c r="F69" s="157" t="str">
        <f>_xlfn.CONCAT(IFERROR(INDEX('Country Data'!$R:$R,MATCH(ROW(E69)-ROW($E$25),'Country Data'!$S:$S,0)),""),IFERROR(INDEX('Country Data'!$AV:$AV,MATCH(ROW(E69)-ROW($E$25),'Country Data'!$AS:$AS,0)),""))</f>
        <v/>
      </c>
      <c r="G69" s="157"/>
    </row>
    <row r="70" spans="5:7" x14ac:dyDescent="0.35">
      <c r="E70" t="str">
        <f>IFERROR(INDEX('Country Data'!$Q:$Q,MATCH(ROW(E70)-ROW($E$25),'Country Data'!$S:$S,0)),IFERROR(IF(MATCH(ROW(E70)-ROW($E$25),'Country Data'!AS:AS,0)&gt;0,"Supply Chain:",""),""))</f>
        <v/>
      </c>
      <c r="F70" s="157" t="str">
        <f>_xlfn.CONCAT(IFERROR(INDEX('Country Data'!$R:$R,MATCH(ROW(E70)-ROW($E$25),'Country Data'!$S:$S,0)),""),IFERROR(INDEX('Country Data'!$AV:$AV,MATCH(ROW(E70)-ROW($E$25),'Country Data'!$AS:$AS,0)),""))</f>
        <v/>
      </c>
      <c r="G70" s="157"/>
    </row>
    <row r="71" spans="5:7" x14ac:dyDescent="0.35">
      <c r="E71" t="str">
        <f>IFERROR(INDEX('Country Data'!$Q:$Q,MATCH(ROW(E71)-ROW($E$25),'Country Data'!$S:$S,0)),IFERROR(IF(MATCH(ROW(E71)-ROW($E$25),'Country Data'!AS:AS,0)&gt;0,"Supply Chain:",""),""))</f>
        <v/>
      </c>
      <c r="F71" s="157" t="str">
        <f>_xlfn.CONCAT(IFERROR(INDEX('Country Data'!$R:$R,MATCH(ROW(E71)-ROW($E$25),'Country Data'!$S:$S,0)),""),IFERROR(INDEX('Country Data'!$AV:$AV,MATCH(ROW(E71)-ROW($E$25),'Country Data'!$AS:$AS,0)),""))</f>
        <v/>
      </c>
      <c r="G71" s="157"/>
    </row>
    <row r="72" spans="5:7" x14ac:dyDescent="0.35">
      <c r="E72" t="str">
        <f>IFERROR(INDEX('Country Data'!$Q:$Q,MATCH(ROW(E72)-ROW($E$25),'Country Data'!$S:$S,0)),IFERROR(IF(MATCH(ROW(E72)-ROW($E$25),'Country Data'!AS:AS,0)&gt;0,"Supply Chain:",""),""))</f>
        <v/>
      </c>
      <c r="F72" s="157" t="str">
        <f>_xlfn.CONCAT(IFERROR(INDEX('Country Data'!$R:$R,MATCH(ROW(E72)-ROW($E$25),'Country Data'!$S:$S,0)),""),IFERROR(INDEX('Country Data'!$AV:$AV,MATCH(ROW(E72)-ROW($E$25),'Country Data'!$AS:$AS,0)),""))</f>
        <v/>
      </c>
      <c r="G72" s="157"/>
    </row>
    <row r="73" spans="5:7" x14ac:dyDescent="0.35">
      <c r="E73" t="str">
        <f>IFERROR(INDEX('Country Data'!$Q:$Q,MATCH(ROW(E73)-ROW($E$25),'Country Data'!$S:$S,0)),IFERROR(IF(MATCH(ROW(E73)-ROW($E$25),'Country Data'!AS:AS,0)&gt;0,"Supply Chain:",""),""))</f>
        <v/>
      </c>
      <c r="F73" s="157" t="str">
        <f>_xlfn.CONCAT(IFERROR(INDEX('Country Data'!$R:$R,MATCH(ROW(E73)-ROW($E$25),'Country Data'!$S:$S,0)),""),IFERROR(INDEX('Country Data'!$AV:$AV,MATCH(ROW(E73)-ROW($E$25),'Country Data'!$AS:$AS,0)),""))</f>
        <v/>
      </c>
      <c r="G73" s="157"/>
    </row>
    <row r="74" spans="5:7" x14ac:dyDescent="0.35">
      <c r="E74" t="str">
        <f>IFERROR(INDEX('Country Data'!$Q:$Q,MATCH(ROW(E74)-ROW($E$25),'Country Data'!$S:$S,0)),IFERROR(IF(MATCH(ROW(E74)-ROW($E$25),'Country Data'!AS:AS,0)&gt;0,"Supply Chain:",""),""))</f>
        <v/>
      </c>
      <c r="F74" s="157" t="str">
        <f>_xlfn.CONCAT(IFERROR(INDEX('Country Data'!$R:$R,MATCH(ROW(E74)-ROW($E$25),'Country Data'!$S:$S,0)),""),IFERROR(INDEX('Country Data'!$AV:$AV,MATCH(ROW(E74)-ROW($E$25),'Country Data'!$AS:$AS,0)),""))</f>
        <v/>
      </c>
      <c r="G74" s="157"/>
    </row>
    <row r="75" spans="5:7" x14ac:dyDescent="0.35">
      <c r="E75" t="str">
        <f>IFERROR(INDEX('Country Data'!$Q:$Q,MATCH(ROW(E75)-ROW($E$25),'Country Data'!$S:$S,0)),IFERROR(IF(MATCH(ROW(E75)-ROW($E$25),'Country Data'!AS:AS,0)&gt;0,"Supply Chain:",""),""))</f>
        <v/>
      </c>
      <c r="F75" s="157" t="str">
        <f>_xlfn.CONCAT(IFERROR(INDEX('Country Data'!$R:$R,MATCH(ROW(E75)-ROW($E$25),'Country Data'!$S:$S,0)),""),IFERROR(INDEX('Country Data'!$AV:$AV,MATCH(ROW(E75)-ROW($E$25),'Country Data'!$AS:$AS,0)),""))</f>
        <v/>
      </c>
      <c r="G75" s="157"/>
    </row>
    <row r="76" spans="5:7" x14ac:dyDescent="0.35">
      <c r="E76" t="str">
        <f>IFERROR(INDEX('Country Data'!$Q:$Q,MATCH(ROW(E76)-ROW($E$25),'Country Data'!$S:$S,0)),IFERROR(IF(MATCH(ROW(E76)-ROW($E$25),'Country Data'!AS:AS,0)&gt;0,"Supply Chain:",""),""))</f>
        <v/>
      </c>
      <c r="F76" s="157" t="str">
        <f>_xlfn.CONCAT(IFERROR(INDEX('Country Data'!$R:$R,MATCH(ROW(E76)-ROW($E$25),'Country Data'!$S:$S,0)),""),IFERROR(INDEX('Country Data'!$AV:$AV,MATCH(ROW(E76)-ROW($E$25),'Country Data'!$AS:$AS,0)),""))</f>
        <v/>
      </c>
      <c r="G76" s="157"/>
    </row>
    <row r="77" spans="5:7" x14ac:dyDescent="0.35">
      <c r="E77" t="str">
        <f>IFERROR(INDEX('Country Data'!$Q:$Q,MATCH(ROW(E77)-ROW($E$25),'Country Data'!$S:$S,0)),IFERROR(IF(MATCH(ROW(E77)-ROW($E$25),'Country Data'!AS:AS,0)&gt;0,"Supply Chain:",""),""))</f>
        <v/>
      </c>
      <c r="F77" s="157" t="str">
        <f>_xlfn.CONCAT(IFERROR(INDEX('Country Data'!$R:$R,MATCH(ROW(E77)-ROW($E$25),'Country Data'!$S:$S,0)),""),IFERROR(INDEX('Country Data'!$AV:$AV,MATCH(ROW(E77)-ROW($E$25),'Country Data'!$AS:$AS,0)),""))</f>
        <v/>
      </c>
      <c r="G77" s="157"/>
    </row>
    <row r="78" spans="5:7" x14ac:dyDescent="0.35">
      <c r="E78" t="str">
        <f>IFERROR(INDEX('Country Data'!$Q:$Q,MATCH(ROW(E78)-ROW($E$25),'Country Data'!$S:$S,0)),IFERROR(IF(MATCH(ROW(E78)-ROW($E$25),'Country Data'!AS:AS,0)&gt;0,"Supply Chain:",""),""))</f>
        <v/>
      </c>
      <c r="F78" s="157" t="str">
        <f>_xlfn.CONCAT(IFERROR(INDEX('Country Data'!$R:$R,MATCH(ROW(E78)-ROW($E$25),'Country Data'!$S:$S,0)),""),IFERROR(INDEX('Country Data'!$AV:$AV,MATCH(ROW(E78)-ROW($E$25),'Country Data'!$AS:$AS,0)),""))</f>
        <v/>
      </c>
      <c r="G78" s="157"/>
    </row>
    <row r="79" spans="5:7" x14ac:dyDescent="0.35">
      <c r="E79" t="str">
        <f>IFERROR(INDEX('Country Data'!$Q:$Q,MATCH(ROW(E79)-ROW($E$25),'Country Data'!$S:$S,0)),IFERROR(IF(MATCH(ROW(E79)-ROW($E$25),'Country Data'!AS:AS,0)&gt;0,"Supply Chain:",""),""))</f>
        <v/>
      </c>
      <c r="F79" s="157" t="str">
        <f>_xlfn.CONCAT(IFERROR(INDEX('Country Data'!$R:$R,MATCH(ROW(E79)-ROW($E$25),'Country Data'!$S:$S,0)),""),IFERROR(INDEX('Country Data'!$AV:$AV,MATCH(ROW(E79)-ROW($E$25),'Country Data'!$AS:$AS,0)),""))</f>
        <v/>
      </c>
      <c r="G79" s="157"/>
    </row>
    <row r="80" spans="5:7" x14ac:dyDescent="0.35">
      <c r="E80" t="str">
        <f>IFERROR(INDEX('Country Data'!$Q:$Q,MATCH(ROW(E80)-ROW($E$25),'Country Data'!$S:$S,0)),IFERROR(IF(MATCH(ROW(E80)-ROW($E$25),'Country Data'!AS:AS,0)&gt;0,"Supply Chain:",""),""))</f>
        <v/>
      </c>
      <c r="F80" s="157" t="str">
        <f>_xlfn.CONCAT(IFERROR(INDEX('Country Data'!$R:$R,MATCH(ROW(E80)-ROW($E$25),'Country Data'!$S:$S,0)),""),IFERROR(INDEX('Country Data'!$AV:$AV,MATCH(ROW(E80)-ROW($E$25),'Country Data'!$AS:$AS,0)),""))</f>
        <v/>
      </c>
      <c r="G80" s="157"/>
    </row>
    <row r="81" spans="5:7" x14ac:dyDescent="0.35">
      <c r="E81" t="str">
        <f>IFERROR(INDEX('Country Data'!$Q:$Q,MATCH(ROW(E81)-ROW($E$25),'Country Data'!$S:$S,0)),IFERROR(IF(MATCH(ROW(E81)-ROW($E$25),'Country Data'!AS:AS,0)&gt;0,"Supply Chain:",""),""))</f>
        <v/>
      </c>
      <c r="F81" s="157" t="str">
        <f>_xlfn.CONCAT(IFERROR(INDEX('Country Data'!$R:$R,MATCH(ROW(E81)-ROW($E$25),'Country Data'!$S:$S,0)),""),IFERROR(INDEX('Country Data'!$AV:$AV,MATCH(ROW(E81)-ROW($E$25),'Country Data'!$AS:$AS,0)),""))</f>
        <v/>
      </c>
      <c r="G81" s="157"/>
    </row>
    <row r="82" spans="5:7" x14ac:dyDescent="0.35">
      <c r="E82" t="str">
        <f>IFERROR(INDEX('Country Data'!$Q:$Q,MATCH(ROW(E82)-ROW($E$25),'Country Data'!$S:$S,0)),IFERROR(IF(MATCH(ROW(E82)-ROW($E$25),'Country Data'!AS:AS,0)&gt;0,"Supply Chain:",""),""))</f>
        <v/>
      </c>
      <c r="F82" s="157" t="str">
        <f>_xlfn.CONCAT(IFERROR(INDEX('Country Data'!$R:$R,MATCH(ROW(E82)-ROW($E$25),'Country Data'!$S:$S,0)),""),IFERROR(INDEX('Country Data'!$AV:$AV,MATCH(ROW(E82)-ROW($E$25),'Country Data'!$AS:$AS,0)),""))</f>
        <v/>
      </c>
      <c r="G82" s="157"/>
    </row>
    <row r="83" spans="5:7" x14ac:dyDescent="0.35">
      <c r="E83" t="str">
        <f>IFERROR(INDEX('Country Data'!$Q:$Q,MATCH(ROW(E83)-ROW($E$25),'Country Data'!$S:$S,0)),IFERROR(IF(MATCH(ROW(E83)-ROW($E$25),'Country Data'!AS:AS,0)&gt;0,"Supply Chain:",""),""))</f>
        <v/>
      </c>
      <c r="F83" s="157" t="str">
        <f>_xlfn.CONCAT(IFERROR(INDEX('Country Data'!$R:$R,MATCH(ROW(E83)-ROW($E$25),'Country Data'!$S:$S,0)),""),IFERROR(INDEX('Country Data'!$AV:$AV,MATCH(ROW(E83)-ROW($E$25),'Country Data'!$AS:$AS,0)),""))</f>
        <v/>
      </c>
      <c r="G83" s="157"/>
    </row>
    <row r="84" spans="5:7" x14ac:dyDescent="0.35">
      <c r="E84" t="str">
        <f>IFERROR(INDEX('Country Data'!$Q:$Q,MATCH(ROW(E84)-ROW($E$25),'Country Data'!$S:$S,0)),IFERROR(IF(MATCH(ROW(E84)-ROW($E$25),'Country Data'!AS:AS,0)&gt;0,"Supply Chain:",""),""))</f>
        <v/>
      </c>
      <c r="F84" s="157" t="str">
        <f>_xlfn.CONCAT(IFERROR(INDEX('Country Data'!$R:$R,MATCH(ROW(E84)-ROW($E$25),'Country Data'!$S:$S,0)),""),IFERROR(INDEX('Country Data'!$AV:$AV,MATCH(ROW(E84)-ROW($E$25),'Country Data'!$AS:$AS,0)),""))</f>
        <v/>
      </c>
      <c r="G84" s="157"/>
    </row>
    <row r="85" spans="5:7" x14ac:dyDescent="0.35">
      <c r="E85" t="str">
        <f>IFERROR(INDEX('Country Data'!$Q:$Q,MATCH(ROW(E85)-ROW($E$25),'Country Data'!$S:$S,0)),IFERROR(IF(MATCH(ROW(E85)-ROW($E$25),'Country Data'!AS:AS,0)&gt;0,"Supply Chain:",""),""))</f>
        <v/>
      </c>
      <c r="F85" s="157" t="str">
        <f>_xlfn.CONCAT(IFERROR(INDEX('Country Data'!$R:$R,MATCH(ROW(E85)-ROW($E$25),'Country Data'!$S:$S,0)),""),IFERROR(INDEX('Country Data'!$AV:$AV,MATCH(ROW(E85)-ROW($E$25),'Country Data'!$AS:$AS,0)),""))</f>
        <v/>
      </c>
      <c r="G85" s="157"/>
    </row>
    <row r="86" spans="5:7" x14ac:dyDescent="0.35">
      <c r="E86" t="str">
        <f>IFERROR(INDEX('Country Data'!$Q:$Q,MATCH(ROW(E86)-ROW($E$25),'Country Data'!$S:$S,0)),IFERROR(IF(MATCH(ROW(E86)-ROW($E$25),'Country Data'!AS:AS,0)&gt;0,"Supply Chain:",""),""))</f>
        <v/>
      </c>
      <c r="F86" s="157" t="str">
        <f>_xlfn.CONCAT(IFERROR(INDEX('Country Data'!$R:$R,MATCH(ROW(E86)-ROW($E$25),'Country Data'!$S:$S,0)),""),IFERROR(INDEX('Country Data'!$AV:$AV,MATCH(ROW(E86)-ROW($E$25),'Country Data'!$AS:$AS,0)),""))</f>
        <v/>
      </c>
      <c r="G86" s="157"/>
    </row>
    <row r="87" spans="5:7" x14ac:dyDescent="0.35">
      <c r="E87" t="str">
        <f>IFERROR(INDEX('Country Data'!$Q:$Q,MATCH(ROW(E87)-ROW($E$25),'Country Data'!$S:$S,0)),IFERROR(IF(MATCH(ROW(E87)-ROW($E$25),'Country Data'!AS:AS,0)&gt;0,"Supply Chain:",""),""))</f>
        <v/>
      </c>
      <c r="F87" s="157" t="str">
        <f>_xlfn.CONCAT(IFERROR(INDEX('Country Data'!$R:$R,MATCH(ROW(E87)-ROW($E$25),'Country Data'!$S:$S,0)),""),IFERROR(INDEX('Country Data'!$AV:$AV,MATCH(ROW(E87)-ROW($E$25),'Country Data'!$AS:$AS,0)),""))</f>
        <v/>
      </c>
      <c r="G87" s="157"/>
    </row>
    <row r="88" spans="5:7" x14ac:dyDescent="0.35">
      <c r="E88" t="str">
        <f>IFERROR(INDEX('Country Data'!$Q:$Q,MATCH(ROW(E88)-ROW($E$25),'Country Data'!$S:$S,0)),IFERROR(IF(MATCH(ROW(E88)-ROW($E$25),'Country Data'!AS:AS,0)&gt;0,"Supply Chain:",""),""))</f>
        <v/>
      </c>
      <c r="F88" s="157" t="str">
        <f>_xlfn.CONCAT(IFERROR(INDEX('Country Data'!$R:$R,MATCH(ROW(E88)-ROW($E$25),'Country Data'!$S:$S,0)),""),IFERROR(INDEX('Country Data'!$AV:$AV,MATCH(ROW(E88)-ROW($E$25),'Country Data'!$AS:$AS,0)),""))</f>
        <v/>
      </c>
      <c r="G88" s="157"/>
    </row>
    <row r="89" spans="5:7" x14ac:dyDescent="0.35">
      <c r="E89" t="str">
        <f>IFERROR(INDEX('Country Data'!$Q:$Q,MATCH(ROW(E89)-ROW($E$25),'Country Data'!$S:$S,0)),IFERROR(IF(MATCH(ROW(E89)-ROW($E$25),'Country Data'!AS:AS,0)&gt;0,"Supply Chain:",""),""))</f>
        <v/>
      </c>
      <c r="F89" s="157" t="str">
        <f>_xlfn.CONCAT(IFERROR(INDEX('Country Data'!$R:$R,MATCH(ROW(E89)-ROW($E$25),'Country Data'!$S:$S,0)),""),IFERROR(INDEX('Country Data'!$AV:$AV,MATCH(ROW(E89)-ROW($E$25),'Country Data'!$AS:$AS,0)),""))</f>
        <v/>
      </c>
      <c r="G89" s="157"/>
    </row>
    <row r="90" spans="5:7" x14ac:dyDescent="0.35">
      <c r="E90" t="str">
        <f>IFERROR(INDEX('Country Data'!$Q:$Q,MATCH(ROW(E90)-ROW($E$25),'Country Data'!$S:$S,0)),IFERROR(IF(MATCH(ROW(E90)-ROW($E$25),'Country Data'!AS:AS,0)&gt;0,"Supply Chain:",""),""))</f>
        <v/>
      </c>
      <c r="F90" s="157" t="str">
        <f>_xlfn.CONCAT(IFERROR(INDEX('Country Data'!$R:$R,MATCH(ROW(E90)-ROW($E$25),'Country Data'!$S:$S,0)),""),IFERROR(INDEX('Country Data'!$AV:$AV,MATCH(ROW(E90)-ROW($E$25),'Country Data'!$AS:$AS,0)),""))</f>
        <v/>
      </c>
      <c r="G90" s="157"/>
    </row>
    <row r="91" spans="5:7" x14ac:dyDescent="0.35">
      <c r="E91" t="str">
        <f>IFERROR(INDEX('Country Data'!$Q:$Q,MATCH(ROW(E91)-ROW($E$25),'Country Data'!$S:$S,0)),IFERROR(IF(MATCH(ROW(E91)-ROW($E$25),'Country Data'!AS:AS,0)&gt;0,"Supply Chain:",""),""))</f>
        <v/>
      </c>
      <c r="F91" s="157" t="str">
        <f>_xlfn.CONCAT(IFERROR(INDEX('Country Data'!$R:$R,MATCH(ROW(E91)-ROW($E$25),'Country Data'!$S:$S,0)),""),IFERROR(INDEX('Country Data'!$AV:$AV,MATCH(ROW(E91)-ROW($E$25),'Country Data'!$AS:$AS,0)),""))</f>
        <v/>
      </c>
      <c r="G91" s="157"/>
    </row>
    <row r="92" spans="5:7" x14ac:dyDescent="0.35">
      <c r="E92" t="str">
        <f>IFERROR(INDEX('Country Data'!$Q:$Q,MATCH(ROW(E92)-ROW($E$25),'Country Data'!$S:$S,0)),IFERROR(IF(MATCH(ROW(E92)-ROW($E$25),'Country Data'!AS:AS,0)&gt;0,"Supply Chain:",""),""))</f>
        <v/>
      </c>
      <c r="F92" s="157" t="str">
        <f>_xlfn.CONCAT(IFERROR(INDEX('Country Data'!$R:$R,MATCH(ROW(E92)-ROW($E$25),'Country Data'!$S:$S,0)),""),IFERROR(INDEX('Country Data'!$AV:$AV,MATCH(ROW(E92)-ROW($E$25),'Country Data'!$AS:$AS,0)),""))</f>
        <v/>
      </c>
      <c r="G92" s="157"/>
    </row>
    <row r="93" spans="5:7" x14ac:dyDescent="0.35">
      <c r="E93" t="str">
        <f>IFERROR(INDEX('Country Data'!$Q:$Q,MATCH(ROW(E93)-ROW($E$25),'Country Data'!$S:$S,0)),IFERROR(IF(MATCH(ROW(E93)-ROW($E$25),'Country Data'!AS:AS,0)&gt;0,"Supply Chain:",""),""))</f>
        <v/>
      </c>
      <c r="F93" s="157" t="str">
        <f>_xlfn.CONCAT(IFERROR(INDEX('Country Data'!$R:$R,MATCH(ROW(E93)-ROW($E$25),'Country Data'!$S:$S,0)),""),IFERROR(INDEX('Country Data'!$AV:$AV,MATCH(ROW(E93)-ROW($E$25),'Country Data'!$AS:$AS,0)),""))</f>
        <v/>
      </c>
      <c r="G93" s="157"/>
    </row>
    <row r="94" spans="5:7" x14ac:dyDescent="0.35">
      <c r="E94" t="str">
        <f>IFERROR(INDEX('Country Data'!$Q:$Q,MATCH(ROW(E94)-ROW($E$25),'Country Data'!$S:$S,0)),IFERROR(IF(MATCH(ROW(E94)-ROW($E$25),'Country Data'!AS:AS,0)&gt;0,"Supply Chain:",""),""))</f>
        <v/>
      </c>
      <c r="F94" s="157" t="str">
        <f>_xlfn.CONCAT(IFERROR(INDEX('Country Data'!$R:$R,MATCH(ROW(E94)-ROW($E$25),'Country Data'!$S:$S,0)),""),IFERROR(INDEX('Country Data'!$AV:$AV,MATCH(ROW(E94)-ROW($E$25),'Country Data'!$AS:$AS,0)),""))</f>
        <v/>
      </c>
      <c r="G94" s="157"/>
    </row>
    <row r="95" spans="5:7" x14ac:dyDescent="0.35">
      <c r="E95" t="str">
        <f>IFERROR(INDEX('Country Data'!$Q:$Q,MATCH(ROW(E95)-ROW($E$25),'Country Data'!$S:$S,0)),IFERROR(IF(MATCH(ROW(E95)-ROW($E$25),'Country Data'!AS:AS,0)&gt;0,"Supply Chain:",""),""))</f>
        <v/>
      </c>
      <c r="F95" s="157" t="str">
        <f>_xlfn.CONCAT(IFERROR(INDEX('Country Data'!$R:$R,MATCH(ROW(E95)-ROW($E$25),'Country Data'!$S:$S,0)),""),IFERROR(INDEX('Country Data'!$AV:$AV,MATCH(ROW(E95)-ROW($E$25),'Country Data'!$AS:$AS,0)),""))</f>
        <v/>
      </c>
      <c r="G95" s="157"/>
    </row>
    <row r="96" spans="5:7" x14ac:dyDescent="0.35">
      <c r="E96" t="str">
        <f>IFERROR(INDEX('Country Data'!$Q:$Q,MATCH(ROW(E96)-ROW($E$25),'Country Data'!$S:$S,0)),IFERROR(IF(MATCH(ROW(E96)-ROW($E$25),'Country Data'!AS:AS,0)&gt;0,"Supply Chain:",""),""))</f>
        <v/>
      </c>
      <c r="F96" s="157" t="str">
        <f>_xlfn.CONCAT(IFERROR(INDEX('Country Data'!$R:$R,MATCH(ROW(E96)-ROW($E$25),'Country Data'!$S:$S,0)),""),IFERROR(INDEX('Country Data'!$AV:$AV,MATCH(ROW(E96)-ROW($E$25),'Country Data'!$AS:$AS,0)),""))</f>
        <v/>
      </c>
      <c r="G96" s="157"/>
    </row>
    <row r="97" spans="5:7" x14ac:dyDescent="0.35">
      <c r="E97" t="str">
        <f>IFERROR(INDEX('Country Data'!$Q:$Q,MATCH(ROW(E97)-ROW($E$25),'Country Data'!$S:$S,0)),IFERROR(IF(MATCH(ROW(E97)-ROW($E$25),'Country Data'!AS:AS,0)&gt;0,"Supply Chain:",""),""))</f>
        <v/>
      </c>
      <c r="F97" s="157" t="str">
        <f>_xlfn.CONCAT(IFERROR(INDEX('Country Data'!$R:$R,MATCH(ROW(E97)-ROW($E$25),'Country Data'!$S:$S,0)),""),IFERROR(INDEX('Country Data'!$AV:$AV,MATCH(ROW(E97)-ROW($E$25),'Country Data'!$AS:$AS,0)),""))</f>
        <v/>
      </c>
      <c r="G97" s="157"/>
    </row>
    <row r="98" spans="5:7" x14ac:dyDescent="0.35">
      <c r="E98" t="str">
        <f>IFERROR(INDEX('Country Data'!$Q:$Q,MATCH(ROW(E98)-ROW($E$25),'Country Data'!$S:$S,0)),IFERROR(IF(MATCH(ROW(E98)-ROW($E$25),'Country Data'!AS:AS,0)&gt;0,"Supply Chain:",""),""))</f>
        <v/>
      </c>
      <c r="F98" s="157" t="str">
        <f>_xlfn.CONCAT(IFERROR(INDEX('Country Data'!$R:$R,MATCH(ROW(E98)-ROW($E$25),'Country Data'!$S:$S,0)),""),IFERROR(INDEX('Country Data'!$AV:$AV,MATCH(ROW(E98)-ROW($E$25),'Country Data'!$AS:$AS,0)),""))</f>
        <v/>
      </c>
      <c r="G98" s="157"/>
    </row>
    <row r="99" spans="5:7" x14ac:dyDescent="0.35">
      <c r="E99" t="str">
        <f>IFERROR(INDEX('Country Data'!$Q:$Q,MATCH(ROW(E99)-ROW($E$25),'Country Data'!$S:$S,0)),IFERROR(IF(MATCH(ROW(E99)-ROW($E$25),'Country Data'!AS:AS,0)&gt;0,"Supply Chain:",""),""))</f>
        <v/>
      </c>
      <c r="F99" s="157" t="str">
        <f>_xlfn.CONCAT(IFERROR(INDEX('Country Data'!$R:$R,MATCH(ROW(E99)-ROW($E$25),'Country Data'!$S:$S,0)),""),IFERROR(INDEX('Country Data'!$AV:$AV,MATCH(ROW(E99)-ROW($E$25),'Country Data'!$AS:$AS,0)),""))</f>
        <v/>
      </c>
      <c r="G99" s="157"/>
    </row>
    <row r="100" spans="5:7" x14ac:dyDescent="0.35">
      <c r="E100" t="str">
        <f>IFERROR(INDEX('Country Data'!$Q:$Q,MATCH(ROW(E100)-ROW($E$25),'Country Data'!$S:$S,0)),IFERROR(IF(MATCH(ROW(E100)-ROW($E$25),'Country Data'!AS:AS,0)&gt;0,"Supply Chain:",""),""))</f>
        <v/>
      </c>
      <c r="F100" s="157" t="str">
        <f>_xlfn.CONCAT(IFERROR(INDEX('Country Data'!$R:$R,MATCH(ROW(E100)-ROW($E$25),'Country Data'!$S:$S,0)),""),IFERROR(INDEX('Country Data'!$AV:$AV,MATCH(ROW(E100)-ROW($E$25),'Country Data'!$AS:$AS,0)),""))</f>
        <v/>
      </c>
      <c r="G100" s="157"/>
    </row>
    <row r="101" spans="5:7" x14ac:dyDescent="0.35">
      <c r="E101" t="str">
        <f>IFERROR(INDEX('Country Data'!$Q:$Q,MATCH(ROW(E101)-ROW($E$25),'Country Data'!$S:$S,0)),IFERROR(IF(MATCH(ROW(E101)-ROW($E$25),'Country Data'!AS:AS,0)&gt;0,"Supply Chain:",""),""))</f>
        <v/>
      </c>
      <c r="F101" s="157" t="str">
        <f>_xlfn.CONCAT(IFERROR(INDEX('Country Data'!$R:$R,MATCH(ROW(E101)-ROW($E$25),'Country Data'!$S:$S,0)),""),IFERROR(INDEX('Country Data'!$AV:$AV,MATCH(ROW(E101)-ROW($E$25),'Country Data'!$AS:$AS,0)),""))</f>
        <v/>
      </c>
      <c r="G101" s="157"/>
    </row>
  </sheetData>
  <sheetProtection algorithmName="SHA-512" hashValue="XDjmWRgiKKTu7Hg1mmg+hNqzpLl1puuYTkvKhoYqZAJ/ToqQvL0PFUh6oJmCiaRc8TUH/pAmuSmZlcNrwPsqOA==" saltValue="ETYMFBnR6vcx2fYL7lOHjw==" spinCount="100000" sheet="1" objects="1" scenarios="1" selectLockedCells="1"/>
  <protectedRanges>
    <protectedRange sqref="C5:C9 C12:C18 B23:C24 B26:C27 B29:C30 B32:C33 B35:C36 B39:C58 E23:F23" name="Inputs"/>
  </protectedRanges>
  <mergeCells count="124">
    <mergeCell ref="B57:C57"/>
    <mergeCell ref="B58:C58"/>
    <mergeCell ref="B48:C48"/>
    <mergeCell ref="B49:C49"/>
    <mergeCell ref="B50:C50"/>
    <mergeCell ref="B51:C51"/>
    <mergeCell ref="B52:C52"/>
    <mergeCell ref="B53:C53"/>
    <mergeCell ref="B54:C54"/>
    <mergeCell ref="B55:C55"/>
    <mergeCell ref="B56:C56"/>
    <mergeCell ref="B39:C39"/>
    <mergeCell ref="B40:C40"/>
    <mergeCell ref="B41:C41"/>
    <mergeCell ref="B42:C42"/>
    <mergeCell ref="B43:C43"/>
    <mergeCell ref="B44:C44"/>
    <mergeCell ref="B45:C45"/>
    <mergeCell ref="B46:C46"/>
    <mergeCell ref="B47:C47"/>
    <mergeCell ref="F101:G101"/>
    <mergeCell ref="E25:G25"/>
    <mergeCell ref="F96:G96"/>
    <mergeCell ref="F97:G97"/>
    <mergeCell ref="F98:G98"/>
    <mergeCell ref="F99:G99"/>
    <mergeCell ref="F100:G100"/>
    <mergeCell ref="F91:G91"/>
    <mergeCell ref="F92:G92"/>
    <mergeCell ref="F93:G93"/>
    <mergeCell ref="F94:G94"/>
    <mergeCell ref="F95:G95"/>
    <mergeCell ref="F86:G86"/>
    <mergeCell ref="F87:G87"/>
    <mergeCell ref="F88:G88"/>
    <mergeCell ref="F89:G89"/>
    <mergeCell ref="F90:G90"/>
    <mergeCell ref="F81:G81"/>
    <mergeCell ref="F82:G82"/>
    <mergeCell ref="F83:G83"/>
    <mergeCell ref="F84:G84"/>
    <mergeCell ref="F85:G85"/>
    <mergeCell ref="F76:G76"/>
    <mergeCell ref="F77:G77"/>
    <mergeCell ref="F78:G78"/>
    <mergeCell ref="F79:G79"/>
    <mergeCell ref="F80:G80"/>
    <mergeCell ref="F71:G71"/>
    <mergeCell ref="F72:G72"/>
    <mergeCell ref="F73:G73"/>
    <mergeCell ref="F74:G74"/>
    <mergeCell ref="F75:G75"/>
    <mergeCell ref="F66:G66"/>
    <mergeCell ref="F67:G67"/>
    <mergeCell ref="F68:G68"/>
    <mergeCell ref="F69:G69"/>
    <mergeCell ref="F70:G70"/>
    <mergeCell ref="F61:G61"/>
    <mergeCell ref="F62:G62"/>
    <mergeCell ref="F63:G63"/>
    <mergeCell ref="F64:G64"/>
    <mergeCell ref="F65:G65"/>
    <mergeCell ref="F56:G56"/>
    <mergeCell ref="F57:G57"/>
    <mergeCell ref="F58:G58"/>
    <mergeCell ref="F59:G59"/>
    <mergeCell ref="F60:G60"/>
    <mergeCell ref="F52:G52"/>
    <mergeCell ref="F53:G53"/>
    <mergeCell ref="F54:G54"/>
    <mergeCell ref="F55:G55"/>
    <mergeCell ref="F46:G46"/>
    <mergeCell ref="F47:G47"/>
    <mergeCell ref="F48:G48"/>
    <mergeCell ref="F49:G49"/>
    <mergeCell ref="F50:G50"/>
    <mergeCell ref="F43:G43"/>
    <mergeCell ref="F44:G44"/>
    <mergeCell ref="F45:G45"/>
    <mergeCell ref="F36:G36"/>
    <mergeCell ref="F37:G37"/>
    <mergeCell ref="F38:G38"/>
    <mergeCell ref="F39:G39"/>
    <mergeCell ref="F40:G40"/>
    <mergeCell ref="F51:G51"/>
    <mergeCell ref="F34:G34"/>
    <mergeCell ref="F35:G35"/>
    <mergeCell ref="F26:G26"/>
    <mergeCell ref="F27:G27"/>
    <mergeCell ref="F28:G28"/>
    <mergeCell ref="F29:G29"/>
    <mergeCell ref="F30:G30"/>
    <mergeCell ref="F41:G41"/>
    <mergeCell ref="F42:G42"/>
    <mergeCell ref="E22:F22"/>
    <mergeCell ref="E23:F23"/>
    <mergeCell ref="E21:F21"/>
    <mergeCell ref="B4:C4"/>
    <mergeCell ref="B23:C23"/>
    <mergeCell ref="E6:E7"/>
    <mergeCell ref="E8:E9"/>
    <mergeCell ref="B33:C33"/>
    <mergeCell ref="B11:C11"/>
    <mergeCell ref="B26:C26"/>
    <mergeCell ref="B27:C27"/>
    <mergeCell ref="B30:C30"/>
    <mergeCell ref="F31:G31"/>
    <mergeCell ref="F32:G32"/>
    <mergeCell ref="F33:G33"/>
    <mergeCell ref="E10:E12"/>
    <mergeCell ref="E13:E14"/>
    <mergeCell ref="B1:C1"/>
    <mergeCell ref="B35:C35"/>
    <mergeCell ref="B32:C32"/>
    <mergeCell ref="B29:C29"/>
    <mergeCell ref="B24:C24"/>
    <mergeCell ref="A37:A38"/>
    <mergeCell ref="A22:A23"/>
    <mergeCell ref="A25:A26"/>
    <mergeCell ref="A28:A29"/>
    <mergeCell ref="A31:A32"/>
    <mergeCell ref="A34:A35"/>
    <mergeCell ref="B2:C2"/>
    <mergeCell ref="B36:C36"/>
  </mergeCells>
  <phoneticPr fontId="15" type="noConversion"/>
  <conditionalFormatting sqref="B39:B58">
    <cfRule type="expression" dxfId="15" priority="1">
      <formula>A39="⁇"</formula>
    </cfRule>
    <cfRule type="expression" dxfId="14" priority="2">
      <formula>A39="▲"</formula>
    </cfRule>
    <cfRule type="expression" dxfId="13" priority="3">
      <formula>A39="○"</formula>
    </cfRule>
  </conditionalFormatting>
  <conditionalFormatting sqref="B2:C2">
    <cfRule type="notContainsBlanks" dxfId="12" priority="46">
      <formula>LEN(TRIM(B2))&gt;0</formula>
    </cfRule>
  </conditionalFormatting>
  <conditionalFormatting sqref="E25">
    <cfRule type="expression" dxfId="11" priority="17">
      <formula>LEN(E26)&gt;0</formula>
    </cfRule>
  </conditionalFormatting>
  <conditionalFormatting sqref="E26:E101">
    <cfRule type="expression" dxfId="10" priority="21">
      <formula>AND(LEN(E26)&gt;0,LEN(E27)=0)</formula>
    </cfRule>
    <cfRule type="expression" dxfId="9" priority="22">
      <formula>AND(LEN(E26)&gt;0,LEN(E27)&gt;0)</formula>
    </cfRule>
  </conditionalFormatting>
  <conditionalFormatting sqref="F26:G101">
    <cfRule type="expression" dxfId="5" priority="19">
      <formula>AND(LEN(F26)&gt;0,LEN(F27)=0)</formula>
    </cfRule>
  </conditionalFormatting>
  <conditionalFormatting sqref="G26:G101">
    <cfRule type="expression" dxfId="4" priority="18">
      <formula>AND(LEN(G26)&gt;0,LEN(G27)&gt;0)</formula>
    </cfRule>
  </conditionalFormatting>
  <dataValidations count="11">
    <dataValidation type="decimal" operator="greaterThanOrEqual" showInputMessage="1" showErrorMessage="1" promptTitle="Contract Value" prompt="Estimated total value of the project including extensions, in GBP." sqref="C9" xr:uid="{1655AFF5-9285-4BFD-A25A-C45AB62B9106}">
      <formula1>0</formula1>
    </dataValidation>
    <dataValidation allowBlank="1" showInputMessage="1" showErrorMessage="1" promptTitle="Contract Name" prompt="The title (name) given to the project" sqref="C5" xr:uid="{389791B3-28CB-497C-8348-5C79B98196EC}"/>
    <dataValidation allowBlank="1" showInputMessage="1" showErrorMessage="1" promptTitle="Contract Reference" prompt="The buying organisation's unique reference for the project" sqref="C6" xr:uid="{C7081145-6E1D-4690-889E-9F7CC41FE134}"/>
    <dataValidation allowBlank="1" showInputMessage="1" showErrorMessage="1" promptTitle="For the Supply of..." prompt="Brief description of goods/services/works to be purchased, without abbreviations." sqref="C7" xr:uid="{F74030D0-9883-4F8B-8F1C-41A2DD7DCAA6}"/>
    <dataValidation allowBlank="1" showInputMessage="1" showErrorMessage="1" promptTitle="End User" prompt="The customer who utilises the outputs from the project." sqref="C12" xr:uid="{9642CDAB-0915-4C2C-8812-6AFCCA5B092A}"/>
    <dataValidation allowBlank="1" showInputMessage="1" showErrorMessage="1" promptTitle="Budget Holder" prompt="Person in control of financial decisions for the project." sqref="C13" xr:uid="{18C78314-0E84-410C-A747-229EE58FC427}"/>
    <dataValidation allowBlank="1" showInputMessage="1" showErrorMessage="1" promptTitle="Contract Manager" prompt="The individual on the buyer side dealing with day to day operational management of the contract." sqref="C16" xr:uid="{8AC32F80-F95B-4DDF-904D-0B585AA07415}"/>
    <dataValidation allowBlank="1" showInputMessage="1" showErrorMessage="1" promptTitle="Project Lead" prompt="The client lead in the business who determines the requirements." sqref="C15:C16" xr:uid="{BD35B03C-2705-4A64-B63D-98CD60C5B255}"/>
    <dataValidation allowBlank="1" showInputMessage="1" showErrorMessage="1" promptTitle="Other Stakeholders" prompt="Names of any other individuals consulted, and their relationships with this project." sqref="C18" xr:uid="{35D39BFA-4E84-4D17-9433-2D4AF811DE2C}"/>
    <dataValidation allowBlank="1" showInputMessage="1" showErrorMessage="1" promptTitle="Suppliers" prompt="The legal name of the supplier(s) if known at this stage." sqref="C17" xr:uid="{0345E85E-25DC-43C0-A7EC-DB651F2B7825}"/>
    <dataValidation allowBlank="1" showInputMessage="1" showErrorMessage="1" promptTitle="Commercial Lead" prompt="Person responsible for running the procurement" sqref="C14" xr:uid="{33F97B09-73B0-4ECF-86FE-BDAB0778A261}"/>
  </dataValidations>
  <pageMargins left="0.7" right="0.7" top="0.75" bottom="0.75" header="0.3" footer="0.3"/>
  <pageSetup paperSize="9" orientation="portrait" r:id="rId1"/>
  <headerFooter>
    <oddHeader>&amp;C&amp;"Calibri"&amp;10&amp;K000000 OFFICIAL-SENSITIVE&amp;1#_x000D_</oddHeader>
    <oddFooter>&amp;C_x000D_&amp;1#&amp;"Calibri"&amp;10&amp;K000000 OFFICIAL-SENSITIVE</oddFooter>
  </headerFooter>
  <extLst>
    <ext xmlns:x14="http://schemas.microsoft.com/office/spreadsheetml/2009/9/main" uri="{78C0D931-6437-407d-A8EE-F0AAD7539E65}">
      <x14:conditionalFormattings>
        <x14:conditionalFormatting xmlns:xm="http://schemas.microsoft.com/office/excel/2006/main">
          <x14:cfRule type="expression" priority="53" id="{81A92A92-03EC-4FFE-894F-1C973632DB8D}">
            <xm:f>Reference!$B$90=1</xm:f>
            <x14:dxf>
              <fill>
                <patternFill>
                  <bgColor rgb="FFFF8181"/>
                </patternFill>
              </fill>
            </x14:dxf>
          </x14:cfRule>
          <x14:cfRule type="expression" priority="54" id="{AFE9858A-FD00-4B5B-AF1F-5FA9FE511630}">
            <xm:f>AND($B$23&lt;&gt;"",Reference!$B$90=0)</xm:f>
            <x14:dxf>
              <fill>
                <patternFill>
                  <bgColor rgb="FF92D050"/>
                </patternFill>
              </fill>
            </x14:dxf>
          </x14:cfRule>
          <xm:sqref>B22</xm:sqref>
        </x14:conditionalFormatting>
        <x14:conditionalFormatting xmlns:xm="http://schemas.microsoft.com/office/excel/2006/main">
          <x14:cfRule type="expression" priority="63" id="{24F182CF-F00D-4D57-B086-22E1A573A838}">
            <xm:f>Reference!$B$94=0.5</xm:f>
            <x14:dxf>
              <fill>
                <patternFill>
                  <bgColor theme="7" tint="0.59996337778862885"/>
                </patternFill>
              </fill>
            </x14:dxf>
          </x14:cfRule>
          <x14:cfRule type="expression" priority="64" id="{7617A46A-767D-4439-80A4-159EA850E3BE}">
            <xm:f>Reference!$B$94=1</xm:f>
            <x14:dxf>
              <fill>
                <patternFill>
                  <bgColor rgb="FFFF8181"/>
                </patternFill>
              </fill>
            </x14:dxf>
          </x14:cfRule>
          <x14:cfRule type="expression" priority="65" id="{4D8F751B-FF69-48AA-A0B5-55567BC75CCF}">
            <xm:f>B26=Reference!$C$85</xm:f>
            <x14:dxf>
              <fill>
                <patternFill>
                  <bgColor rgb="FF92D050"/>
                </patternFill>
              </fill>
            </x14:dxf>
          </x14:cfRule>
          <xm:sqref>B25</xm:sqref>
        </x14:conditionalFormatting>
        <x14:conditionalFormatting xmlns:xm="http://schemas.microsoft.com/office/excel/2006/main">
          <x14:cfRule type="expression" priority="55" id="{8DE9CF6E-B511-415D-A1A4-BB53B77FE473}">
            <xm:f>Reference!$B$91=1</xm:f>
            <x14:dxf>
              <fill>
                <patternFill>
                  <bgColor rgb="FFFF8181"/>
                </patternFill>
              </fill>
            </x14:dxf>
          </x14:cfRule>
          <x14:cfRule type="expression" priority="56" id="{B4A341B7-E77A-4256-90FE-937824D97C6A}">
            <xm:f>AND($B$29&lt;&gt;"",Reference!$B$91=0)</xm:f>
            <x14:dxf>
              <fill>
                <patternFill>
                  <bgColor rgb="FF92D050"/>
                </patternFill>
              </fill>
            </x14:dxf>
          </x14:cfRule>
          <xm:sqref>B28</xm:sqref>
        </x14:conditionalFormatting>
        <x14:conditionalFormatting xmlns:xm="http://schemas.microsoft.com/office/excel/2006/main">
          <x14:cfRule type="expression" priority="57" id="{76FD279C-D4E5-464F-BA62-849B3B4314D8}">
            <xm:f>Reference!$B$95=1</xm:f>
            <x14:dxf>
              <fill>
                <patternFill>
                  <bgColor rgb="FFFF8181"/>
                </patternFill>
              </fill>
            </x14:dxf>
          </x14:cfRule>
          <x14:cfRule type="expression" priority="58" id="{BBF86F73-143C-454B-8202-C921AAC858EC}">
            <xm:f>AND($B$32&lt;&gt;"",Reference!$B$95=0)</xm:f>
            <x14:dxf>
              <fill>
                <patternFill>
                  <bgColor rgb="FF92D050"/>
                </patternFill>
              </fill>
            </x14:dxf>
          </x14:cfRule>
          <xm:sqref>B31</xm:sqref>
        </x14:conditionalFormatting>
        <x14:conditionalFormatting xmlns:xm="http://schemas.microsoft.com/office/excel/2006/main">
          <x14:cfRule type="expression" priority="59" id="{CB4219B3-D6B4-4DB7-A9CB-54F35C37CBE2}">
            <xm:f>AND($B$35&lt;&gt;"",Reference!$B$93=0)</xm:f>
            <x14:dxf>
              <fill>
                <patternFill>
                  <bgColor rgb="FF92D050"/>
                </patternFill>
              </fill>
            </x14:dxf>
          </x14:cfRule>
          <x14:cfRule type="expression" priority="60" id="{4CC1DC0E-661B-45FA-9E43-FECAC570FA5A}">
            <xm:f>Reference!$B$93=1</xm:f>
            <x14:dxf>
              <fill>
                <patternFill>
                  <bgColor rgb="FFFF8181"/>
                </patternFill>
              </fill>
            </x14:dxf>
          </x14:cfRule>
          <xm:sqref>B34</xm:sqref>
        </x14:conditionalFormatting>
        <x14:conditionalFormatting xmlns:xm="http://schemas.microsoft.com/office/excel/2006/main">
          <x14:cfRule type="expression" priority="61" id="{A1B99403-BC9C-4561-9B77-0EDA25E28DDF}">
            <xm:f>Reference!$B$87&gt;=Reference!$C$88</xm:f>
            <x14:dxf>
              <fill>
                <patternFill>
                  <bgColor rgb="FFFF8181"/>
                </patternFill>
              </fill>
            </x14:dxf>
          </x14:cfRule>
          <x14:cfRule type="expression" priority="62" id="{144B0F70-1876-450F-8ACA-1DCA08BA7AF8}">
            <xm:f>Reference!$B$87&gt;0</xm:f>
            <x14:dxf>
              <fill>
                <patternFill>
                  <bgColor rgb="FF92D050"/>
                </patternFill>
              </fill>
            </x14:dxf>
          </x14:cfRule>
          <xm:sqref>B37</xm:sqref>
        </x14:conditionalFormatting>
        <x14:conditionalFormatting xmlns:xm="http://schemas.microsoft.com/office/excel/2006/main">
          <x14:cfRule type="expression" priority="66" id="{FA0F44F6-03CA-42B0-B14A-DE030A15BBAD}">
            <xm:f>Reference!$B$94=0.5</xm:f>
            <x14:dxf>
              <font>
                <b/>
                <i val="0"/>
                <color theme="0"/>
              </font>
              <fill>
                <patternFill>
                  <bgColor rgb="FF1F497D"/>
                </patternFill>
              </fill>
            </x14:dxf>
          </x14:cfRule>
          <xm:sqref>E21:F21</xm:sqref>
        </x14:conditionalFormatting>
        <x14:conditionalFormatting xmlns:xm="http://schemas.microsoft.com/office/excel/2006/main">
          <x14:cfRule type="expression" priority="67" id="{6CB460EE-9080-4F09-AD15-ABF0DFF14046}">
            <xm:f>Reference!$B$94=0.5</xm:f>
            <x14:dxf>
              <font>
                <b val="0"/>
                <i/>
                <color theme="1"/>
              </font>
            </x14:dxf>
          </x14:cfRule>
          <xm:sqref>E22:F22</xm:sqref>
        </x14:conditionalFormatting>
        <x14:conditionalFormatting xmlns:xm="http://schemas.microsoft.com/office/excel/2006/main">
          <x14:cfRule type="expression" priority="68" id="{1D8FEFFF-F18A-4BD4-8404-5FEA7F932D47}">
            <xm:f>Reference!$B$94=0.5</xm:f>
            <x14:dxf>
              <fill>
                <patternFill>
                  <bgColor rgb="FFEAC9FF"/>
                </patternFill>
              </fill>
            </x14:dxf>
          </x14:cfRule>
          <xm:sqref>E23:F23</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B334E3EC-B0F7-474D-B6AD-27CAE4F5B5C9}">
          <x14:formula1>
            <xm:f>Reference!$C$29:$C$36</xm:f>
          </x14:formula1>
          <xm:sqref>B29:C29</xm:sqref>
        </x14:dataValidation>
        <x14:dataValidation type="list" allowBlank="1" showInputMessage="1" showErrorMessage="1" xr:uid="{EF615BF6-D68A-4C32-93A9-473DE862EFB6}">
          <x14:formula1>
            <xm:f>Reference!$C$38:$C$48</xm:f>
          </x14:formula1>
          <xm:sqref>B35:C35</xm:sqref>
        </x14:dataValidation>
        <x14:dataValidation type="list" allowBlank="1" showInputMessage="1" showErrorMessage="1" xr:uid="{AD145A12-A5DB-4AFE-9E0A-D732E36F442B}">
          <x14:formula1>
            <xm:f>Reference!$C$50:$C$57</xm:f>
          </x14:formula1>
          <xm:sqref>B32:C32</xm:sqref>
        </x14:dataValidation>
        <x14:dataValidation type="list" allowBlank="1" showInputMessage="1" showErrorMessage="1" xr:uid="{2FE10E55-59B9-4ED2-A58A-B0BF2112A757}">
          <x14:formula1>
            <xm:f>Reference!$C$59:$C$86</xm:f>
          </x14:formula1>
          <xm:sqref>B26:C26</xm:sqref>
        </x14:dataValidation>
        <x14:dataValidation type="list" allowBlank="1" showInputMessage="1" showErrorMessage="1" xr:uid="{15D5916F-7E00-4A1B-BDF3-32FACD3260A6}">
          <x14:formula1>
            <xm:f>Reference!$C$3:$C$27</xm:f>
          </x14:formula1>
          <xm:sqref>B23:C23</xm:sqref>
        </x14:dataValidation>
        <x14:dataValidation type="list" allowBlank="1" showInputMessage="1" showErrorMessage="1" xr:uid="{FD2B5021-62B1-47DF-880D-B4494C2D9C2F}">
          <x14:formula1>
            <xm:f>Reference!$G$107:$G$108</xm:f>
          </x14:formula1>
          <xm:sqref>E23:F23</xm:sqref>
        </x14:dataValidation>
        <x14:dataValidation type="list" allowBlank="1" showInputMessage="1" showErrorMessage="1" xr:uid="{B694806B-E462-431A-98C5-8EFAD2F9744F}">
          <x14:formula1>
            <xm:f>'Country Data'!$B:$B</xm:f>
          </x14:formula1>
          <xm:sqref>B39:B58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71836-BFB9-495C-BE3D-A14EB4F1153C}">
  <dimension ref="A1:AV480"/>
  <sheetViews>
    <sheetView topLeftCell="B1" zoomScale="85" zoomScaleNormal="85" workbookViewId="0">
      <selection activeCell="K15" sqref="K15"/>
    </sheetView>
  </sheetViews>
  <sheetFormatPr defaultRowHeight="14.5" x14ac:dyDescent="0.35"/>
  <cols>
    <col min="1" max="1" width="0" hidden="1" customWidth="1"/>
    <col min="2" max="2" width="36.26953125" bestFit="1" customWidth="1"/>
    <col min="4" max="4" width="9.453125" customWidth="1"/>
    <col min="5" max="5" width="27.7265625" customWidth="1"/>
    <col min="6" max="6" width="12.453125" customWidth="1"/>
    <col min="7" max="7" width="11.26953125" customWidth="1"/>
    <col min="8" max="8" width="9.54296875" customWidth="1"/>
    <col min="10" max="10" width="19.26953125" bestFit="1" customWidth="1"/>
    <col min="11" max="11" width="19.1796875" customWidth="1"/>
    <col min="14" max="14" width="28.26953125" bestFit="1" customWidth="1"/>
    <col min="15" max="15" width="23.7265625" bestFit="1" customWidth="1"/>
    <col min="17" max="17" width="31.1796875" customWidth="1"/>
    <col min="18" max="18" width="34.1796875" customWidth="1"/>
    <col min="19" max="19" width="8.453125" customWidth="1"/>
  </cols>
  <sheetData>
    <row r="1" spans="1:48" ht="15" thickBot="1" x14ac:dyDescent="0.4">
      <c r="A1" s="166" t="s">
        <v>655</v>
      </c>
      <c r="B1" s="166"/>
      <c r="D1" s="166" t="s">
        <v>74</v>
      </c>
      <c r="E1" s="166"/>
      <c r="F1" s="166"/>
      <c r="G1" s="166"/>
      <c r="H1" s="166"/>
      <c r="J1" s="166" t="s">
        <v>75</v>
      </c>
      <c r="K1" s="166"/>
      <c r="M1" s="166" t="s">
        <v>76</v>
      </c>
      <c r="N1" s="166"/>
      <c r="O1" s="166"/>
      <c r="Q1" s="166" t="s">
        <v>653</v>
      </c>
      <c r="R1" s="166"/>
      <c r="T1">
        <v>1</v>
      </c>
      <c r="U1">
        <v>2</v>
      </c>
      <c r="V1">
        <v>3</v>
      </c>
      <c r="W1">
        <v>4</v>
      </c>
      <c r="X1">
        <v>5</v>
      </c>
      <c r="Y1">
        <v>6</v>
      </c>
      <c r="Z1">
        <v>7</v>
      </c>
      <c r="AA1">
        <v>8</v>
      </c>
      <c r="AB1">
        <v>9</v>
      </c>
      <c r="AC1">
        <v>10</v>
      </c>
      <c r="AD1">
        <v>11</v>
      </c>
      <c r="AE1">
        <v>12</v>
      </c>
      <c r="AF1">
        <v>13</v>
      </c>
      <c r="AG1">
        <v>14</v>
      </c>
      <c r="AH1">
        <v>15</v>
      </c>
      <c r="AI1">
        <v>16</v>
      </c>
      <c r="AJ1">
        <v>17</v>
      </c>
      <c r="AK1">
        <v>18</v>
      </c>
      <c r="AL1">
        <v>19</v>
      </c>
      <c r="AM1">
        <v>20</v>
      </c>
      <c r="AN1">
        <v>21</v>
      </c>
      <c r="AO1">
        <v>22</v>
      </c>
      <c r="AP1">
        <v>23</v>
      </c>
      <c r="AQ1">
        <v>24</v>
      </c>
      <c r="AS1">
        <f>MAX(S4:S179)</f>
        <v>0</v>
      </c>
      <c r="AT1" s="166" t="s">
        <v>654</v>
      </c>
      <c r="AU1" s="166"/>
      <c r="AV1" s="166"/>
    </row>
    <row r="2" spans="1:48" ht="147.5" thickBot="1" x14ac:dyDescent="0.4">
      <c r="D2" s="19" t="s">
        <v>77</v>
      </c>
      <c r="E2" s="21" t="s">
        <v>78</v>
      </c>
      <c r="F2" t="s">
        <v>79</v>
      </c>
      <c r="G2" t="s">
        <v>80</v>
      </c>
      <c r="H2" t="s">
        <v>651</v>
      </c>
      <c r="J2" t="s">
        <v>81</v>
      </c>
      <c r="K2" s="52">
        <v>45677</v>
      </c>
      <c r="M2" t="s">
        <v>82</v>
      </c>
      <c r="N2" s="9" t="s">
        <v>83</v>
      </c>
      <c r="O2" s="10" t="s">
        <v>84</v>
      </c>
      <c r="T2" s="41" t="str" cm="1">
        <f t="array" ref="T2">INDEX(Reference!$C$60:$C$83,T1)</f>
        <v>Animals, Animal Feed &amp; Animal Products</v>
      </c>
      <c r="U2" s="41" t="str" cm="1">
        <f t="array" ref="U2">INDEX(Reference!$C$60:$C$83,U1)</f>
        <v>Branded &amp; Marketing Goods</v>
      </c>
      <c r="V2" s="41" t="str" cm="1">
        <f t="array" ref="V2">INDEX(Reference!$C$60:$C$83,V1)</f>
        <v>Cleaning Products</v>
      </c>
      <c r="W2" s="41" t="str" cm="1">
        <f t="array" ref="W2">INDEX(Reference!$C$60:$C$83,W1)</f>
        <v>Clothing, Footwear and Textiles</v>
      </c>
      <c r="X2" s="41" t="str" cm="1">
        <f t="array" ref="X2">INDEX(Reference!$C$60:$C$83,X1)</f>
        <v>Construction/Landscaping/Horticultural Materials, inc. Sand</v>
      </c>
      <c r="Y2" s="41" t="str" cm="1">
        <f t="array" ref="Y2">INDEX(Reference!$C$60:$C$83,Y1)</f>
        <v>Decorations/Toys, inc. Footballs</v>
      </c>
      <c r="Z2" s="41" t="str" cm="1">
        <f t="array" ref="Z2">INDEX(Reference!$C$60:$C$83,Z1)</f>
        <v>Electronics, including Batteries</v>
      </c>
      <c r="AA2" s="41" t="str" cm="1">
        <f t="array" ref="AA2">INDEX(Reference!$C$60:$C$83,AA1)</f>
        <v>Fireworks and Matches</v>
      </c>
      <c r="AB2" s="41" t="str" cm="1">
        <f t="array" ref="AB2">INDEX(Reference!$C$60:$C$83,AB1)</f>
        <v>Food/Drink</v>
      </c>
      <c r="AC2" s="41" t="str" cm="1">
        <f t="array" ref="AC2">INDEX(Reference!$C$60:$C$83,AC1)</f>
        <v>Fuels &amp; Chemicals</v>
      </c>
      <c r="AD2" s="41" t="str" cm="1">
        <f t="array" ref="AD2">INDEX(Reference!$C$60:$C$83,AD1)</f>
        <v>Furniture, Furnishings and Flooring</v>
      </c>
      <c r="AE2" s="41" t="str" cm="1">
        <f t="array" ref="AE2">INDEX(Reference!$C$60:$C$83,AE1)</f>
        <v>Glass</v>
      </c>
      <c r="AF2" s="41" t="str" cm="1">
        <f t="array" ref="AF2">INDEX(Reference!$C$60:$C$83,AF1)</f>
        <v>Health &amp; Beauty Products</v>
      </c>
      <c r="AG2" s="41" t="str" cm="1">
        <f t="array" ref="AG2">INDEX(Reference!$C$60:$C$83,AG1)</f>
        <v>Incense</v>
      </c>
      <c r="AH2" s="41" t="str" cm="1">
        <f t="array" ref="AH2">INDEX(Reference!$C$60:$C$83,AH1)</f>
        <v>Locks</v>
      </c>
      <c r="AI2" s="41" t="str" cm="1">
        <f t="array" ref="AI2">INDEX(Reference!$C$60:$C$83,AI1)</f>
        <v>Medical Instruments and Products</v>
      </c>
      <c r="AJ2" s="41" t="str" cm="1">
        <f t="array" ref="AJ2">INDEX(Reference!$C$60:$C$83,AJ1)</f>
        <v>Minerals, including Metals, Salt and Sand</v>
      </c>
      <c r="AK2" s="41" t="str" cm="1">
        <f t="array" ref="AK2">INDEX(Reference!$C$60:$C$83,AK1)</f>
        <v>Personal Protective Equipment (PPE)</v>
      </c>
      <c r="AL2" s="41" t="str" cm="1">
        <f t="array" ref="AL2">INDEX(Reference!$C$60:$C$83,AL1)</f>
        <v>Plants and Flowers</v>
      </c>
      <c r="AM2" s="41" t="str" cm="1">
        <f t="array" ref="AM2">INDEX(Reference!$C$60:$C$83,AM1)</f>
        <v>Rubber and Rubber Products</v>
      </c>
      <c r="AN2" s="41" t="str" cm="1">
        <f t="array" ref="AN2">INDEX(Reference!$C$60:$C$83,AN1)</f>
        <v>Solar Products</v>
      </c>
      <c r="AO2" s="41" t="str" cm="1">
        <f t="array" ref="AO2">INDEX(Reference!$C$60:$C$83,AO1)</f>
        <v>Timber, Bamboo and Related Products</v>
      </c>
      <c r="AP2" s="41" t="str" cm="1">
        <f t="array" ref="AP2">INDEX(Reference!$C$60:$C$83,AP1)</f>
        <v>Tobacco</v>
      </c>
      <c r="AQ2" s="41" t="str" cm="1">
        <f t="array" ref="AQ2">INDEX(Reference!$C$60:$C$83,AQ1)</f>
        <v>Vehicles</v>
      </c>
      <c r="AT2" s="53" t="s">
        <v>77</v>
      </c>
      <c r="AU2" s="53" t="s">
        <v>85</v>
      </c>
    </row>
    <row r="3" spans="1:48" x14ac:dyDescent="0.35">
      <c r="B3" s="120" t="s">
        <v>86</v>
      </c>
      <c r="C3">
        <f>IF(B3="","",IFERROR(IFERROR(IFERROR(VLOOKUP(B3,Table6[[Tool Name]:[MS Prevalence]],2,FALSE),VLOOKUP(B3,Table3[[Typed Name]:[MS Prevalence]],3,FALSE)),VLOOKUP(B3,Table4[[Country]:[Estimated prevalence of modern slavery per 1,000 population]],2,FALSE)),0))</f>
        <v>12.9599723815918</v>
      </c>
      <c r="D3" s="20" t="s">
        <v>86</v>
      </c>
      <c r="E3" s="22">
        <f>IFERROR(VLOOKUP(Table2[[#This Row],[Country]],Table6[[Tool Name]:[MS Prevalence]],2,FALSE),999)</f>
        <v>12.9599723815918</v>
      </c>
      <c r="F3" s="6" t="str">
        <f>LEFT(Table2[[#This Row],[Country]],4)</f>
        <v>Afgh</v>
      </c>
      <c r="G3" s="6" cm="1">
        <f t="array" ref="G3">SUMPRODUCT(--(Table2[[#This Row],[Country]]=Input!$B$39:$C$58))+SUMPRODUCT(--(Table2[[#This Row],[Country]]=Table3[Tool Name]),--(Table3[Selected]&gt;0))</f>
        <v>0</v>
      </c>
      <c r="H3" s="6" t="b">
        <f>IFERROR(MATCH(Table2[[#This Row],[Country]],GSI!F:F,0)&gt;0,FALSE)</f>
        <v>0</v>
      </c>
      <c r="J3" t="s">
        <v>87</v>
      </c>
      <c r="K3">
        <v>2023</v>
      </c>
      <c r="M3" s="120" t="s">
        <v>86</v>
      </c>
      <c r="N3" s="11" t="s">
        <v>86</v>
      </c>
      <c r="O3" s="11" t="s">
        <v>88</v>
      </c>
      <c r="Q3" s="7" t="s">
        <v>85</v>
      </c>
      <c r="R3" s="7" t="s">
        <v>89</v>
      </c>
      <c r="S3" s="42">
        <v>0</v>
      </c>
      <c r="T3" s="43" cm="1">
        <f t="array" ref="T3">SIGN(INDEX(Reference!$B$60:$B$86,T1))</f>
        <v>0</v>
      </c>
      <c r="U3" s="43" cm="1">
        <f t="array" ref="U3">SIGN(INDEX(Reference!$B$60:$B$86,U1))</f>
        <v>0</v>
      </c>
      <c r="V3" s="43" cm="1">
        <f t="array" ref="V3">SIGN(INDEX(Reference!$B$60:$B$86,V1))</f>
        <v>0</v>
      </c>
      <c r="W3" s="43" cm="1">
        <f t="array" ref="W3">SIGN(INDEX(Reference!$B$60:$B$86,W1))</f>
        <v>0</v>
      </c>
      <c r="X3" s="43" cm="1">
        <f t="array" ref="X3">SIGN(INDEX(Reference!$B$60:$B$86,X1))</f>
        <v>0</v>
      </c>
      <c r="Y3" s="43" cm="1">
        <f t="array" ref="Y3">SIGN(INDEX(Reference!$B$60:$B$86,Y1))</f>
        <v>0</v>
      </c>
      <c r="Z3" s="43" cm="1">
        <f t="array" ref="Z3">SIGN(INDEX(Reference!$B$60:$B$86,Z1))</f>
        <v>0</v>
      </c>
      <c r="AA3" s="43" cm="1">
        <f t="array" ref="AA3">SIGN(INDEX(Reference!$B$60:$B$86,AA1))</f>
        <v>0</v>
      </c>
      <c r="AB3" s="43" cm="1">
        <f t="array" ref="AB3">SIGN(INDEX(Reference!$B$60:$B$86,AB1))</f>
        <v>0</v>
      </c>
      <c r="AC3" s="43" cm="1">
        <f t="array" ref="AC3">SIGN(INDEX(Reference!$B$60:$B$86,AC1))</f>
        <v>0</v>
      </c>
      <c r="AD3" s="43" cm="1">
        <f t="array" ref="AD3">SIGN(INDEX(Reference!$B$60:$B$86,AD1))</f>
        <v>0</v>
      </c>
      <c r="AE3" s="43" cm="1">
        <f t="array" ref="AE3">SIGN(INDEX(Reference!$B$60:$B$86,AE1))</f>
        <v>0</v>
      </c>
      <c r="AF3" s="43" cm="1">
        <f t="array" ref="AF3">SIGN(INDEX(Reference!$B$60:$B$86,AF1))</f>
        <v>0</v>
      </c>
      <c r="AG3" s="43" cm="1">
        <f t="array" ref="AG3">SIGN(INDEX(Reference!$B$60:$B$86,AG1))</f>
        <v>0</v>
      </c>
      <c r="AH3" s="43" cm="1">
        <f t="array" ref="AH3">SIGN(INDEX(Reference!$B$60:$B$86,AH1))</f>
        <v>0</v>
      </c>
      <c r="AI3" s="43" cm="1">
        <f t="array" ref="AI3">SIGN(INDEX(Reference!$B$60:$B$86,AI1))</f>
        <v>0</v>
      </c>
      <c r="AJ3" s="43" cm="1">
        <f t="array" ref="AJ3">SIGN(INDEX(Reference!$B$60:$B$86,AJ1))</f>
        <v>0</v>
      </c>
      <c r="AK3" s="43" cm="1">
        <f t="array" ref="AK3">SIGN(INDEX(Reference!$B$60:$B$86,AK1))</f>
        <v>0</v>
      </c>
      <c r="AL3" s="43" cm="1">
        <f t="array" ref="AL3">SIGN(INDEX(Reference!$B$60:$B$86,AL1))</f>
        <v>0</v>
      </c>
      <c r="AM3" s="43" cm="1">
        <f t="array" ref="AM3">SIGN(INDEX(Reference!$B$60:$B$86,AM1))</f>
        <v>0</v>
      </c>
      <c r="AN3" s="43" cm="1">
        <f t="array" ref="AN3">SIGN(INDEX(Reference!$B$60:$B$86,AN1))</f>
        <v>0</v>
      </c>
      <c r="AO3" s="43" cm="1">
        <f t="array" ref="AO3">SIGN(INDEX(Reference!$B$60:$B$86,AO1))</f>
        <v>0</v>
      </c>
      <c r="AP3" s="43" cm="1">
        <f t="array" ref="AP3">SIGN(INDEX(Reference!$B$60:$B$86,AP1))</f>
        <v>0</v>
      </c>
      <c r="AQ3" s="43" cm="1">
        <f t="array" ref="AQ3">SIGN(INDEX(Reference!$B$60:$B$86,AQ1))</f>
        <v>0</v>
      </c>
      <c r="AS3" cm="1">
        <f t="array" ref="AS3">SUMPRODUCT(--(Q4:Q171=AU3),--(S4:S171&gt;0))*(1+MAX($AS$2:$AS2,$AS$1))</f>
        <v>0</v>
      </c>
      <c r="AT3" t="s">
        <v>90</v>
      </c>
      <c r="AU3" t="s">
        <v>91</v>
      </c>
      <c r="AV3" t="s">
        <v>92</v>
      </c>
    </row>
    <row r="4" spans="1:48" x14ac:dyDescent="0.35">
      <c r="B4" s="120" t="s">
        <v>93</v>
      </c>
      <c r="C4">
        <f>IF(B4="","",IFERROR(IFERROR(IFERROR(VLOOKUP(B4,Table6[[Tool Name]:[MS Prevalence]],2,FALSE),VLOOKUP(B4,Table3[[Typed Name]:[MS Prevalence]],3,FALSE)),VLOOKUP(B4,Table4[[Country]:[Estimated prevalence of modern slavery per 1,000 population]],2,FALSE)),0))</f>
        <v>11.813944816589361</v>
      </c>
      <c r="D4" s="20" t="s">
        <v>93</v>
      </c>
      <c r="E4" s="22">
        <f>IFERROR(VLOOKUP(Table2[[#This Row],[Country]],Table6[[Tool Name]:[MS Prevalence]],2,FALSE),999)</f>
        <v>11.813944816589361</v>
      </c>
      <c r="F4" s="6" t="str">
        <f>LEFT(Table2[[#This Row],[Country]],4)</f>
        <v>Alba</v>
      </c>
      <c r="G4" s="6" cm="1">
        <f t="array" ref="G4">SUMPRODUCT(--(Table2[[#This Row],[Country]]=Input!$B$39:$C$58))+SUMPRODUCT(--(Table2[[#This Row],[Country]]=Table3[Tool Name]),--(Table3[Selected]&gt;0))</f>
        <v>0</v>
      </c>
      <c r="H4" s="6" t="b">
        <f>IFERROR(MATCH(Table2[[#This Row],[Country]],GSI!F:F,0)&gt;0,FALSE)</f>
        <v>0</v>
      </c>
      <c r="J4" t="s">
        <v>94</v>
      </c>
      <c r="K4">
        <v>2024</v>
      </c>
      <c r="M4" s="120" t="s">
        <v>86</v>
      </c>
      <c r="N4" s="11" t="s">
        <v>86</v>
      </c>
      <c r="O4" s="11" t="s">
        <v>95</v>
      </c>
      <c r="Q4" t="s">
        <v>96</v>
      </c>
      <c r="R4" s="120" t="s">
        <v>699</v>
      </c>
      <c r="S4" s="42">
        <f>SIGN(SUMPRODUCT($T$3:$AQ$3,$T4:$AQ4))*(MAX($S$3:S3)+1)</f>
        <v>0</v>
      </c>
      <c r="T4" s="31">
        <v>1</v>
      </c>
      <c r="U4" s="31"/>
      <c r="V4" s="31"/>
      <c r="W4" s="31"/>
      <c r="X4" s="31"/>
      <c r="Y4" s="31"/>
      <c r="Z4" s="31"/>
      <c r="AA4" s="31"/>
      <c r="AB4" s="31"/>
      <c r="AC4" s="31"/>
      <c r="AD4" s="31"/>
      <c r="AE4" s="31"/>
      <c r="AF4" s="31"/>
      <c r="AG4" s="31"/>
      <c r="AH4" s="31"/>
      <c r="AI4" s="31"/>
      <c r="AJ4" s="31"/>
      <c r="AK4" s="31"/>
      <c r="AL4" s="31"/>
      <c r="AM4" s="31"/>
      <c r="AN4" s="31"/>
      <c r="AO4" s="31"/>
      <c r="AP4" s="31"/>
      <c r="AQ4" s="31"/>
      <c r="AS4" cm="1">
        <f t="array" ref="AS4">SUMPRODUCT(--(Q5:Q172=AU4),--(S5:S172&gt;0))*(1+MAX($AS$2:$AS3,$AS$1))</f>
        <v>0</v>
      </c>
      <c r="AT4" t="s">
        <v>97</v>
      </c>
      <c r="AU4" t="s">
        <v>98</v>
      </c>
      <c r="AV4" t="s">
        <v>99</v>
      </c>
    </row>
    <row r="5" spans="1:48" x14ac:dyDescent="0.35">
      <c r="B5" s="120" t="s">
        <v>100</v>
      </c>
      <c r="C5">
        <f>IF(B5="","",IFERROR(IFERROR(IFERROR(VLOOKUP(B5,Table6[[Tool Name]:[MS Prevalence]],2,FALSE),VLOOKUP(B5,Table3[[Typed Name]:[MS Prevalence]],3,FALSE)),VLOOKUP(B5,Table4[[Country]:[Estimated prevalence of modern slavery per 1,000 population]],2,FALSE)),0))</f>
        <v>1.922730684280396</v>
      </c>
      <c r="D5" s="20" t="s">
        <v>100</v>
      </c>
      <c r="E5" s="22">
        <f>IFERROR(VLOOKUP(Table2[[#This Row],[Country]],Table6[[Tool Name]:[MS Prevalence]],2,FALSE),999)</f>
        <v>1.922730684280396</v>
      </c>
      <c r="F5" s="6" t="str">
        <f>LEFT(Table2[[#This Row],[Country]],4)</f>
        <v>Alge</v>
      </c>
      <c r="G5" s="6" cm="1">
        <f t="array" ref="G5">SUMPRODUCT(--(Table2[[#This Row],[Country]]=Input!$B$39:$C$58))+SUMPRODUCT(--(Table2[[#This Row],[Country]]=Table3[Tool Name]),--(Table3[Selected]&gt;0))</f>
        <v>0</v>
      </c>
      <c r="H5" s="6" t="b">
        <f>IFERROR(MATCH(Table2[[#This Row],[Country]],GSI!F:F,0)&gt;0,FALSE)</f>
        <v>0</v>
      </c>
      <c r="M5" s="120" t="s">
        <v>86</v>
      </c>
      <c r="N5" s="11" t="s">
        <v>86</v>
      </c>
      <c r="O5" s="11" t="s">
        <v>101</v>
      </c>
      <c r="Q5" t="s">
        <v>102</v>
      </c>
      <c r="R5" s="120" t="s">
        <v>700</v>
      </c>
      <c r="S5" s="42">
        <f>SIGN(SUMPRODUCT($T$3:$AQ$3,$T5:$AQ5))*(MAX($S$3:S4)+1)</f>
        <v>0</v>
      </c>
      <c r="T5" s="31">
        <v>1</v>
      </c>
      <c r="U5" s="31"/>
      <c r="V5" s="31"/>
      <c r="W5" s="31"/>
      <c r="X5" s="31"/>
      <c r="Y5" s="31"/>
      <c r="Z5" s="31"/>
      <c r="AA5" s="31"/>
      <c r="AB5" s="31"/>
      <c r="AC5" s="31"/>
      <c r="AD5" s="31"/>
      <c r="AE5" s="31"/>
      <c r="AF5" s="31"/>
      <c r="AG5" s="31"/>
      <c r="AH5" s="31"/>
      <c r="AI5" s="31"/>
      <c r="AJ5" s="31"/>
      <c r="AK5" s="31"/>
      <c r="AL5" s="31"/>
      <c r="AM5" s="31"/>
      <c r="AN5" s="31"/>
      <c r="AO5" s="31"/>
      <c r="AP5" s="31"/>
      <c r="AQ5" s="31"/>
      <c r="AS5" cm="1">
        <f t="array" ref="AS5">SUMPRODUCT(--(Q6:Q173=AU5),--(S6:S173&gt;0))*(1+MAX($AS$2:$AS4,$AS$1))</f>
        <v>0</v>
      </c>
      <c r="AT5" t="s">
        <v>97</v>
      </c>
      <c r="AU5" t="s">
        <v>103</v>
      </c>
      <c r="AV5" t="s">
        <v>104</v>
      </c>
    </row>
    <row r="6" spans="1:48" x14ac:dyDescent="0.35">
      <c r="B6" s="120" t="s">
        <v>105</v>
      </c>
      <c r="C6">
        <f>IF(B6="","",IFERROR(IFERROR(IFERROR(VLOOKUP(B6,Table6[[Tool Name]:[MS Prevalence]],2,FALSE),VLOOKUP(B6,Table3[[Typed Name]:[MS Prevalence]],3,FALSE)),VLOOKUP(B6,Table4[[Country]:[Estimated prevalence of modern slavery per 1,000 population]],2,FALSE)),0))</f>
        <v>0</v>
      </c>
      <c r="D6" s="20" t="s">
        <v>105</v>
      </c>
      <c r="E6" s="22">
        <f>IFERROR(VLOOKUP(Table2[[#This Row],[Country]],Table6[[Tool Name]:[MS Prevalence]],2,FALSE),999)</f>
        <v>0</v>
      </c>
      <c r="F6" s="6" t="str">
        <f>LEFT(Table2[[#This Row],[Country]],4)</f>
        <v>Ando</v>
      </c>
      <c r="G6" s="6" cm="1">
        <f t="array" ref="G6">SUMPRODUCT(--(Table2[[#This Row],[Country]]=Input!$B$39:$C$58))+SUMPRODUCT(--(Table2[[#This Row],[Country]]=Table3[Tool Name]),--(Table3[Selected]&gt;0))</f>
        <v>0</v>
      </c>
      <c r="H6" s="6" t="b">
        <f>IFERROR(MATCH(Table2[[#This Row],[Country]],GSI!F:F,0)&gt;0,FALSE)</f>
        <v>0</v>
      </c>
      <c r="M6" s="120" t="s">
        <v>86</v>
      </c>
      <c r="N6" s="11" t="s">
        <v>86</v>
      </c>
      <c r="O6" s="11" t="s">
        <v>106</v>
      </c>
      <c r="Q6" t="s">
        <v>107</v>
      </c>
      <c r="R6" s="120" t="s">
        <v>701</v>
      </c>
      <c r="S6" s="42">
        <f>SIGN(SUMPRODUCT($T$3:$AQ$3,$T6:$AQ6))*(MAX($S$3:S5)+1)</f>
        <v>0</v>
      </c>
      <c r="T6" s="31">
        <v>1</v>
      </c>
      <c r="U6" s="31"/>
      <c r="V6" s="31"/>
      <c r="W6" s="31"/>
      <c r="X6" s="31"/>
      <c r="Y6" s="31"/>
      <c r="Z6" s="31"/>
      <c r="AA6" s="31"/>
      <c r="AB6" s="31">
        <v>1</v>
      </c>
      <c r="AC6" s="31"/>
      <c r="AD6" s="31"/>
      <c r="AE6" s="31"/>
      <c r="AF6" s="31">
        <v>1</v>
      </c>
      <c r="AG6" s="31"/>
      <c r="AH6" s="31"/>
      <c r="AI6" s="31"/>
      <c r="AJ6" s="31"/>
      <c r="AK6" s="31"/>
      <c r="AL6" s="31"/>
      <c r="AM6" s="31"/>
      <c r="AN6" s="31"/>
      <c r="AO6" s="31"/>
      <c r="AP6" s="31"/>
      <c r="AQ6" s="31"/>
      <c r="AS6" cm="1">
        <f t="array" ref="AS6">SUMPRODUCT(--(Q7:Q174=AU6),--(S7:S174&gt;0))*(1+MAX($AS$2:$AS5,$AS$1))</f>
        <v>0</v>
      </c>
      <c r="AT6" t="s">
        <v>97</v>
      </c>
      <c r="AU6" t="s">
        <v>103</v>
      </c>
      <c r="AV6" t="s">
        <v>108</v>
      </c>
    </row>
    <row r="7" spans="1:48" x14ac:dyDescent="0.35">
      <c r="B7" s="120" t="s">
        <v>109</v>
      </c>
      <c r="C7">
        <f>IF(B7="","",IFERROR(IFERROR(IFERROR(VLOOKUP(B7,Table6[[Tool Name]:[MS Prevalence]],2,FALSE),VLOOKUP(B7,Table3[[Typed Name]:[MS Prevalence]],3,FALSE)),VLOOKUP(B7,Table4[[Country]:[Estimated prevalence of modern slavery per 1,000 population]],2,FALSE)),0))</f>
        <v>4.1365485191345206</v>
      </c>
      <c r="D7" s="20" t="s">
        <v>109</v>
      </c>
      <c r="E7" s="22">
        <f>IFERROR(VLOOKUP(Table2[[#This Row],[Country]],Table6[[Tool Name]:[MS Prevalence]],2,FALSE),999)</f>
        <v>4.1365485191345206</v>
      </c>
      <c r="F7" s="6" t="str">
        <f>LEFT(Table2[[#This Row],[Country]],4)</f>
        <v>Ango</v>
      </c>
      <c r="G7" s="6" cm="1">
        <f t="array" ref="G7">SUMPRODUCT(--(Table2[[#This Row],[Country]]=Input!$B$39:$C$58))+SUMPRODUCT(--(Table2[[#This Row],[Country]]=Table3[Tool Name]),--(Table3[Selected]&gt;0))</f>
        <v>0</v>
      </c>
      <c r="H7" s="6" t="b">
        <f>IFERROR(MATCH(Table2[[#This Row],[Country]],GSI!F:F,0)&gt;0,FALSE)</f>
        <v>0</v>
      </c>
      <c r="M7" s="120" t="s">
        <v>86</v>
      </c>
      <c r="N7" s="11" t="s">
        <v>86</v>
      </c>
      <c r="O7" s="11" t="s">
        <v>110</v>
      </c>
      <c r="Q7" t="s">
        <v>111</v>
      </c>
      <c r="R7" s="120" t="s">
        <v>702</v>
      </c>
      <c r="S7" s="42">
        <f>SIGN(SUMPRODUCT($T$3:$AQ$3,$T7:$AQ7))*(MAX($S$3:S6)+1)</f>
        <v>0</v>
      </c>
      <c r="T7" s="31">
        <v>1</v>
      </c>
      <c r="U7" s="31"/>
      <c r="V7" s="31"/>
      <c r="W7" s="31"/>
      <c r="X7" s="31"/>
      <c r="Y7" s="31"/>
      <c r="Z7" s="31"/>
      <c r="AA7" s="31"/>
      <c r="AB7" s="31"/>
      <c r="AC7" s="31"/>
      <c r="AD7" s="31"/>
      <c r="AE7" s="31"/>
      <c r="AF7" s="31"/>
      <c r="AG7" s="31"/>
      <c r="AH7" s="31"/>
      <c r="AI7" s="31"/>
      <c r="AJ7" s="31"/>
      <c r="AK7" s="31"/>
      <c r="AL7" s="31"/>
      <c r="AM7" s="31"/>
      <c r="AN7" s="31"/>
      <c r="AO7" s="31"/>
      <c r="AP7" s="31"/>
      <c r="AQ7" s="31"/>
      <c r="AS7" cm="1">
        <f t="array" ref="AS7">SUMPRODUCT(--(Q8:Q175=AU7),--(S8:S175&gt;0))*(1+MAX($AS$2:$AS6,$AS$1))</f>
        <v>0</v>
      </c>
      <c r="AT7" t="s">
        <v>97</v>
      </c>
      <c r="AU7" t="s">
        <v>112</v>
      </c>
      <c r="AV7" t="s">
        <v>113</v>
      </c>
    </row>
    <row r="8" spans="1:48" x14ac:dyDescent="0.35">
      <c r="B8" s="120" t="s">
        <v>114</v>
      </c>
      <c r="C8">
        <f>IF(B8="","",IFERROR(IFERROR(IFERROR(VLOOKUP(B8,Table6[[Tool Name]:[MS Prevalence]],2,FALSE),VLOOKUP(B8,Table3[[Typed Name]:[MS Prevalence]],3,FALSE)),VLOOKUP(B8,Table4[[Country]:[Estimated prevalence of modern slavery per 1,000 population]],2,FALSE)),0))</f>
        <v>0</v>
      </c>
      <c r="D8" s="20" t="s">
        <v>114</v>
      </c>
      <c r="E8" s="22">
        <f>IFERROR(VLOOKUP(Table2[[#This Row],[Country]],Table6[[Tool Name]:[MS Prevalence]],2,FALSE),999)</f>
        <v>0</v>
      </c>
      <c r="F8" s="6" t="str">
        <f>LEFT(Table2[[#This Row],[Country]],4)</f>
        <v>Anti</v>
      </c>
      <c r="G8" s="6" cm="1">
        <f t="array" ref="G8">SUMPRODUCT(--(Table2[[#This Row],[Country]]=Input!$B$39:$C$58))+SUMPRODUCT(--(Table2[[#This Row],[Country]]=Table3[Tool Name]),--(Table3[Selected]&gt;0))</f>
        <v>0</v>
      </c>
      <c r="H8" s="6" t="b">
        <f>IFERROR(MATCH(Table2[[#This Row],[Country]],GSI!F:F,0)&gt;0,FALSE)</f>
        <v>0</v>
      </c>
      <c r="M8" s="120" t="s">
        <v>109</v>
      </c>
      <c r="N8" s="11" t="s">
        <v>109</v>
      </c>
      <c r="O8" s="11" t="s">
        <v>115</v>
      </c>
      <c r="Q8" t="s">
        <v>116</v>
      </c>
      <c r="R8" s="120" t="s">
        <v>703</v>
      </c>
      <c r="S8" s="42">
        <f>SIGN(SUMPRODUCT($T$3:$AQ$3,$T8:$AQ8))*(MAX($S$3:S7)+1)</f>
        <v>0</v>
      </c>
      <c r="T8" s="31">
        <v>1</v>
      </c>
      <c r="U8" s="31"/>
      <c r="V8" s="31"/>
      <c r="W8" s="31"/>
      <c r="X8" s="31"/>
      <c r="Y8" s="31"/>
      <c r="Z8" s="31"/>
      <c r="AA8" s="31"/>
      <c r="AB8" s="31"/>
      <c r="AC8" s="31"/>
      <c r="AD8" s="31"/>
      <c r="AE8" s="31"/>
      <c r="AF8" s="31"/>
      <c r="AG8" s="31"/>
      <c r="AH8" s="31"/>
      <c r="AI8" s="31"/>
      <c r="AJ8" s="31"/>
      <c r="AK8" s="31"/>
      <c r="AL8" s="31"/>
      <c r="AM8" s="31"/>
      <c r="AN8" s="31"/>
      <c r="AO8" s="31"/>
      <c r="AP8" s="31"/>
      <c r="AQ8" s="31"/>
      <c r="AS8" cm="1">
        <f t="array" ref="AS8">SUMPRODUCT(--(Q9:Q176=AU8),--(S9:S176&gt;0))*(1+MAX($AS$2:$AS7,$AS$1))</f>
        <v>0</v>
      </c>
      <c r="AT8" t="s">
        <v>117</v>
      </c>
      <c r="AU8" t="s">
        <v>118</v>
      </c>
      <c r="AV8" t="s">
        <v>119</v>
      </c>
    </row>
    <row r="9" spans="1:48" x14ac:dyDescent="0.35">
      <c r="B9" s="120" t="s">
        <v>120</v>
      </c>
      <c r="C9">
        <f>IF(B9="","",IFERROR(IFERROR(IFERROR(VLOOKUP(B9,Table6[[Tool Name]:[MS Prevalence]],2,FALSE),VLOOKUP(B9,Table3[[Typed Name]:[MS Prevalence]],3,FALSE)),VLOOKUP(B9,Table4[[Country]:[Estimated prevalence of modern slavery per 1,000 population]],2,FALSE)),0))</f>
        <v>4.1787476539611816</v>
      </c>
      <c r="D9" s="20" t="s">
        <v>120</v>
      </c>
      <c r="E9" s="22">
        <f>IFERROR(VLOOKUP(Table2[[#This Row],[Country]],Table6[[Tool Name]:[MS Prevalence]],2,FALSE),999)</f>
        <v>4.1787476539611816</v>
      </c>
      <c r="F9" s="6" t="str">
        <f>LEFT(Table2[[#This Row],[Country]],4)</f>
        <v>Arge</v>
      </c>
      <c r="G9" s="6" cm="1">
        <f t="array" ref="G9">SUMPRODUCT(--(Table2[[#This Row],[Country]]=Input!$B$39:$C$58))+SUMPRODUCT(--(Table2[[#This Row],[Country]]=Table3[Tool Name]),--(Table3[Selected]&gt;0))</f>
        <v>0</v>
      </c>
      <c r="H9" s="6" t="b">
        <f>IFERROR(MATCH(Table2[[#This Row],[Country]],GSI!F:F,0)&gt;0,FALSE)</f>
        <v>0</v>
      </c>
      <c r="M9" s="120" t="s">
        <v>120</v>
      </c>
      <c r="N9" s="11" t="s">
        <v>120</v>
      </c>
      <c r="O9" s="11" t="s">
        <v>88</v>
      </c>
      <c r="Q9" t="s">
        <v>121</v>
      </c>
      <c r="R9" s="120" t="s">
        <v>294</v>
      </c>
      <c r="S9" s="42">
        <f>SIGN(SUMPRODUCT($T$3:$AQ$3,$T9:$AQ9))*(MAX($S$3:S8)+1)</f>
        <v>0</v>
      </c>
      <c r="T9" s="31">
        <v>1</v>
      </c>
      <c r="U9" s="31"/>
      <c r="V9" s="31"/>
      <c r="W9" s="31"/>
      <c r="X9" s="31"/>
      <c r="Y9" s="31"/>
      <c r="Z9" s="31"/>
      <c r="AA9" s="31"/>
      <c r="AB9" s="31">
        <v>1</v>
      </c>
      <c r="AC9" s="31"/>
      <c r="AD9" s="31"/>
      <c r="AE9" s="31"/>
      <c r="AF9" s="31"/>
      <c r="AG9" s="31"/>
      <c r="AH9" s="31"/>
      <c r="AI9" s="31"/>
      <c r="AJ9" s="31"/>
      <c r="AK9" s="31"/>
      <c r="AL9" s="31"/>
      <c r="AM9" s="31"/>
      <c r="AN9" s="31"/>
      <c r="AO9" s="31"/>
      <c r="AP9" s="31"/>
      <c r="AQ9" s="31"/>
      <c r="AS9" cm="1">
        <f t="array" ref="AS9">SUMPRODUCT(--(Q10:Q177=AU9),--(S10:S177&gt;0))*(1+MAX($AS$2:$AS8,$AS$1))</f>
        <v>0</v>
      </c>
      <c r="AT9" t="s">
        <v>117</v>
      </c>
      <c r="AU9" t="s">
        <v>118</v>
      </c>
      <c r="AV9" t="s">
        <v>122</v>
      </c>
    </row>
    <row r="10" spans="1:48" x14ac:dyDescent="0.35">
      <c r="B10" s="120" t="s">
        <v>123</v>
      </c>
      <c r="C10">
        <f>IF(B10="","",IFERROR(IFERROR(IFERROR(VLOOKUP(B10,Table6[[Tool Name]:[MS Prevalence]],2,FALSE),VLOOKUP(B10,Table3[[Typed Name]:[MS Prevalence]],3,FALSE)),VLOOKUP(B10,Table4[[Country]:[Estimated prevalence of modern slavery per 1,000 population]],2,FALSE)),0))</f>
        <v>8.9382743835449219</v>
      </c>
      <c r="D10" s="20" t="s">
        <v>123</v>
      </c>
      <c r="E10" s="22">
        <f>IFERROR(VLOOKUP(Table2[[#This Row],[Country]],Table6[[Tool Name]:[MS Prevalence]],2,FALSE),999)</f>
        <v>8.9382743835449219</v>
      </c>
      <c r="F10" s="6" t="str">
        <f>LEFT(Table2[[#This Row],[Country]],4)</f>
        <v>Arme</v>
      </c>
      <c r="G10" s="6" cm="1">
        <f t="array" ref="G10">SUMPRODUCT(--(Table2[[#This Row],[Country]]=Input!$B$39:$C$58))+SUMPRODUCT(--(Table2[[#This Row],[Country]]=Table3[Tool Name]),--(Table3[Selected]&gt;0))</f>
        <v>0</v>
      </c>
      <c r="H10" s="6" t="b">
        <f>IFERROR(MATCH(Table2[[#This Row],[Country]],GSI!F:F,0)&gt;0,FALSE)</f>
        <v>0</v>
      </c>
      <c r="M10" s="120" t="s">
        <v>120</v>
      </c>
      <c r="N10" s="11" t="s">
        <v>120</v>
      </c>
      <c r="O10" s="11" t="s">
        <v>103</v>
      </c>
      <c r="Q10" t="s">
        <v>124</v>
      </c>
      <c r="R10" s="120" t="s">
        <v>456</v>
      </c>
      <c r="S10" s="42">
        <f>SIGN(SUMPRODUCT($T$3:$AQ$3,$T10:$AQ10))*(MAX($S$3:S9)+1)</f>
        <v>0</v>
      </c>
      <c r="T10" s="31"/>
      <c r="U10" s="31"/>
      <c r="V10" s="31"/>
      <c r="W10" s="31"/>
      <c r="X10" s="31"/>
      <c r="Y10" s="31"/>
      <c r="Z10" s="31"/>
      <c r="AA10" s="31"/>
      <c r="AB10" s="31">
        <v>1</v>
      </c>
      <c r="AC10" s="31"/>
      <c r="AD10" s="31"/>
      <c r="AE10" s="31"/>
      <c r="AF10" s="31"/>
      <c r="AG10" s="31"/>
      <c r="AH10" s="31"/>
      <c r="AI10" s="31"/>
      <c r="AJ10" s="31"/>
      <c r="AK10" s="31"/>
      <c r="AL10" s="31"/>
      <c r="AM10" s="31"/>
      <c r="AN10" s="31"/>
      <c r="AO10" s="31"/>
      <c r="AP10" s="31"/>
      <c r="AQ10" s="31"/>
      <c r="AS10" cm="1">
        <f t="array" ref="AS10">SUMPRODUCT(--(Q11:Q178=AU10),--(S11:S178&gt;0))*(1+MAX($AS$2:$AS9,$AS$1))</f>
        <v>0</v>
      </c>
      <c r="AT10" t="s">
        <v>125</v>
      </c>
      <c r="AU10" t="s">
        <v>126</v>
      </c>
      <c r="AV10" t="s">
        <v>127</v>
      </c>
    </row>
    <row r="11" spans="1:48" x14ac:dyDescent="0.35">
      <c r="B11" s="120" t="s">
        <v>128</v>
      </c>
      <c r="C11">
        <f>IF(B11="","",IFERROR(IFERROR(IFERROR(VLOOKUP(B11,Table6[[Tool Name]:[MS Prevalence]],2,FALSE),VLOOKUP(B11,Table3[[Typed Name]:[MS Prevalence]],3,FALSE)),VLOOKUP(B11,Table4[[Country]:[Estimated prevalence of modern slavery per 1,000 population]],2,FALSE)),0))</f>
        <v>1.6095390319824221</v>
      </c>
      <c r="D11" s="20" t="s">
        <v>128</v>
      </c>
      <c r="E11" s="22">
        <f>IFERROR(VLOOKUP(Table2[[#This Row],[Country]],Table6[[Tool Name]:[MS Prevalence]],2,FALSE),999)</f>
        <v>1.6095390319824221</v>
      </c>
      <c r="F11" s="6" t="str">
        <f>LEFT(Table2[[#This Row],[Country]],4)</f>
        <v>Aust</v>
      </c>
      <c r="G11" s="6" cm="1">
        <f t="array" ref="G11">SUMPRODUCT(--(Table2[[#This Row],[Country]]=Input!$B$39:$C$58))+SUMPRODUCT(--(Table2[[#This Row],[Country]]=Table3[Tool Name]),--(Table3[Selected]&gt;0))</f>
        <v>0</v>
      </c>
      <c r="H11" s="6" t="b">
        <f>IFERROR(MATCH(Table2[[#This Row],[Country]],GSI!F:F,0)&gt;0,FALSE)</f>
        <v>0</v>
      </c>
      <c r="M11" s="120" t="s">
        <v>120</v>
      </c>
      <c r="N11" s="11" t="s">
        <v>120</v>
      </c>
      <c r="O11" s="11" t="s">
        <v>129</v>
      </c>
      <c r="Q11" t="s">
        <v>130</v>
      </c>
      <c r="R11" s="120" t="s">
        <v>704</v>
      </c>
      <c r="S11" s="42">
        <f>SIGN(SUMPRODUCT($T$3:$AQ$3,$T11:$AQ11))*(MAX($S$3:S10)+1)</f>
        <v>0</v>
      </c>
      <c r="T11" s="31">
        <v>1</v>
      </c>
      <c r="U11" s="31"/>
      <c r="V11" s="31"/>
      <c r="W11" s="31"/>
      <c r="X11" s="31"/>
      <c r="Y11" s="31"/>
      <c r="Z11" s="31"/>
      <c r="AA11" s="31"/>
      <c r="AB11" s="31"/>
      <c r="AC11" s="31"/>
      <c r="AD11" s="31"/>
      <c r="AE11" s="31"/>
      <c r="AF11" s="31"/>
      <c r="AG11" s="31"/>
      <c r="AH11" s="31"/>
      <c r="AI11" s="31"/>
      <c r="AJ11" s="31"/>
      <c r="AK11" s="31"/>
      <c r="AL11" s="31"/>
      <c r="AM11" s="31"/>
      <c r="AN11" s="31"/>
      <c r="AO11" s="31"/>
      <c r="AP11" s="31"/>
      <c r="AQ11" s="31"/>
      <c r="AS11" cm="1">
        <f t="array" ref="AS11">SUMPRODUCT(--(Q12:Q179=AU11),--(S12:S179&gt;0))*(1+MAX($AS$2:$AS10,$AS$1))</f>
        <v>0</v>
      </c>
      <c r="AT11" t="s">
        <v>125</v>
      </c>
      <c r="AU11" t="s">
        <v>131</v>
      </c>
      <c r="AV11" t="s">
        <v>132</v>
      </c>
    </row>
    <row r="12" spans="1:48" x14ac:dyDescent="0.35">
      <c r="B12" s="120" t="s">
        <v>133</v>
      </c>
      <c r="C12">
        <f>IF(B12="","",IFERROR(IFERROR(IFERROR(VLOOKUP(B12,Table6[[Tool Name]:[MS Prevalence]],2,FALSE),VLOOKUP(B12,Table3[[Typed Name]:[MS Prevalence]],3,FALSE)),VLOOKUP(B12,Table4[[Country]:[Estimated prevalence of modern slavery per 1,000 population]],2,FALSE)),0))</f>
        <v>1.855276346206665</v>
      </c>
      <c r="D12" s="20" t="s">
        <v>133</v>
      </c>
      <c r="E12" s="22">
        <f>IFERROR(VLOOKUP(Table2[[#This Row],[Country]],Table6[[Tool Name]:[MS Prevalence]],2,FALSE),999)</f>
        <v>1.855276346206665</v>
      </c>
      <c r="F12" s="6" t="str">
        <f>LEFT(Table2[[#This Row],[Country]],4)</f>
        <v>Aust</v>
      </c>
      <c r="G12" s="6" cm="1">
        <f t="array" ref="G12">SUMPRODUCT(--(Table2[[#This Row],[Country]]=Input!$B$39:$C$58))+SUMPRODUCT(--(Table2[[#This Row],[Country]]=Table3[Tool Name]),--(Table3[Selected]&gt;0))</f>
        <v>0</v>
      </c>
      <c r="H12" s="6" t="b">
        <f>IFERROR(MATCH(Table2[[#This Row],[Country]],GSI!F:F,0)&gt;0,FALSE)</f>
        <v>0</v>
      </c>
      <c r="M12" s="120" t="s">
        <v>120</v>
      </c>
      <c r="N12" s="11" t="s">
        <v>120</v>
      </c>
      <c r="O12" s="11" t="s">
        <v>134</v>
      </c>
      <c r="Q12" t="s">
        <v>135</v>
      </c>
      <c r="R12" s="120" t="s">
        <v>705</v>
      </c>
      <c r="S12" s="42">
        <f>SIGN(SUMPRODUCT($T$3:$AQ$3,$T12:$AQ12))*(MAX($S$3:S11)+1)</f>
        <v>0</v>
      </c>
      <c r="T12" s="31"/>
      <c r="U12" s="31"/>
      <c r="V12" s="31"/>
      <c r="W12" s="31"/>
      <c r="X12" s="31"/>
      <c r="Y12" s="31"/>
      <c r="Z12" s="31"/>
      <c r="AA12" s="31"/>
      <c r="AB12" s="31">
        <v>1</v>
      </c>
      <c r="AC12" s="31"/>
      <c r="AD12" s="31"/>
      <c r="AE12" s="31"/>
      <c r="AF12" s="31"/>
      <c r="AG12" s="31"/>
      <c r="AH12" s="31"/>
      <c r="AI12" s="31"/>
      <c r="AJ12" s="31"/>
      <c r="AK12" s="31"/>
      <c r="AL12" s="31"/>
      <c r="AM12" s="31"/>
      <c r="AN12" s="31"/>
      <c r="AO12" s="31"/>
      <c r="AP12" s="31"/>
      <c r="AQ12" s="31"/>
      <c r="AS12" cm="1">
        <f t="array" ref="AS12">SUMPRODUCT(--(Q13:Q180=AU12),--(S13:S180&gt;0))*(1+MAX($AS$2:$AS11,$AS$1))</f>
        <v>0</v>
      </c>
      <c r="AT12" t="s">
        <v>125</v>
      </c>
      <c r="AU12" t="s">
        <v>131</v>
      </c>
      <c r="AV12" t="s">
        <v>136</v>
      </c>
    </row>
    <row r="13" spans="1:48" x14ac:dyDescent="0.35">
      <c r="B13" s="120" t="s">
        <v>137</v>
      </c>
      <c r="C13">
        <f>IF(B13="","",IFERROR(IFERROR(IFERROR(VLOOKUP(B13,Table6[[Tool Name]:[MS Prevalence]],2,FALSE),VLOOKUP(B13,Table3[[Typed Name]:[MS Prevalence]],3,FALSE)),VLOOKUP(B13,Table4[[Country]:[Estimated prevalence of modern slavery per 1,000 population]],2,FALSE)),0))</f>
        <v>10.561789512634279</v>
      </c>
      <c r="D13" s="20" t="s">
        <v>137</v>
      </c>
      <c r="E13" s="22">
        <f>IFERROR(VLOOKUP(Table2[[#This Row],[Country]],Table6[[Tool Name]:[MS Prevalence]],2,FALSE),999)</f>
        <v>10.561789512634279</v>
      </c>
      <c r="F13" s="6" t="str">
        <f>LEFT(Table2[[#This Row],[Country]],4)</f>
        <v>Azer</v>
      </c>
      <c r="G13" s="6" cm="1">
        <f t="array" ref="G13">SUMPRODUCT(--(Table2[[#This Row],[Country]]=Input!$B$39:$C$58))+SUMPRODUCT(--(Table2[[#This Row],[Country]]=Table3[Tool Name]),--(Table3[Selected]&gt;0))</f>
        <v>0</v>
      </c>
      <c r="H13" s="6" t="b">
        <f>IFERROR(MATCH(Table2[[#This Row],[Country]],GSI!F:F,0)&gt;0,FALSE)</f>
        <v>0</v>
      </c>
      <c r="M13" s="120" t="s">
        <v>120</v>
      </c>
      <c r="N13" s="11" t="s">
        <v>120</v>
      </c>
      <c r="O13" s="11" t="s">
        <v>138</v>
      </c>
      <c r="Q13" t="s">
        <v>139</v>
      </c>
      <c r="R13" s="120" t="s">
        <v>706</v>
      </c>
      <c r="S13" s="42">
        <f>SIGN(SUMPRODUCT($T$3:$AQ$3,$T13:$AQ13))*(MAX($S$3:S12)+1)</f>
        <v>0</v>
      </c>
      <c r="T13" s="31"/>
      <c r="U13" s="31"/>
      <c r="V13" s="31"/>
      <c r="W13" s="31"/>
      <c r="X13" s="31"/>
      <c r="Y13" s="31"/>
      <c r="Z13" s="31"/>
      <c r="AA13" s="31"/>
      <c r="AB13" s="31">
        <v>1</v>
      </c>
      <c r="AC13" s="31"/>
      <c r="AD13" s="31"/>
      <c r="AE13" s="31"/>
      <c r="AF13" s="31"/>
      <c r="AG13" s="31"/>
      <c r="AH13" s="31"/>
      <c r="AI13" s="31"/>
      <c r="AJ13" s="31"/>
      <c r="AK13" s="31"/>
      <c r="AL13" s="31"/>
      <c r="AM13" s="31"/>
      <c r="AN13" s="31"/>
      <c r="AO13" s="31"/>
      <c r="AP13" s="31"/>
      <c r="AQ13" s="31"/>
      <c r="AS13" cm="1">
        <f t="array" ref="AS13">SUMPRODUCT(--(Q14:Q181=AU13),--(S14:S181&gt;0))*(1+MAX($AS$2:$AS12,$AS$1))</f>
        <v>0</v>
      </c>
      <c r="AT13" t="s">
        <v>125</v>
      </c>
      <c r="AU13" t="s">
        <v>131</v>
      </c>
      <c r="AV13" t="s">
        <v>140</v>
      </c>
    </row>
    <row r="14" spans="1:48" x14ac:dyDescent="0.35">
      <c r="B14" s="120" t="s">
        <v>147</v>
      </c>
      <c r="C14">
        <f>IF(B14="","",IFERROR(IFERROR(IFERROR(VLOOKUP(B14,Table6[[Tool Name]:[MS Prevalence]],2,FALSE),VLOOKUP(B14,Table3[[Typed Name]:[MS Prevalence]],3,FALSE)),VLOOKUP(B14,Table4[[Country]:[Estimated prevalence of modern slavery per 1,000 population]],2,FALSE)),0))</f>
        <v>6.7363373851304793</v>
      </c>
      <c r="D14" s="20" t="s">
        <v>147</v>
      </c>
      <c r="E14" s="22">
        <f>IFERROR(VLOOKUP(Table2[[#This Row],[Country]],Table6[[Tool Name]:[MS Prevalence]],2,FALSE),999)</f>
        <v>6.7363373851304793</v>
      </c>
      <c r="F14" s="6" t="str">
        <f>LEFT(Table2[[#This Row],[Country]],4)</f>
        <v>Bahr</v>
      </c>
      <c r="G14" s="6" cm="1">
        <f t="array" ref="G14">SUMPRODUCT(--(Table2[[#This Row],[Country]]=Input!$B$39:$C$58))+SUMPRODUCT(--(Table2[[#This Row],[Country]]=Table3[Tool Name]),--(Table3[Selected]&gt;0))</f>
        <v>0</v>
      </c>
      <c r="H14" s="6" t="b">
        <f>IFERROR(MATCH(Table2[[#This Row],[Country]],GSI!F:F,0)&gt;0,FALSE)</f>
        <v>0</v>
      </c>
      <c r="M14" s="120" t="s">
        <v>120</v>
      </c>
      <c r="N14" s="11" t="s">
        <v>120</v>
      </c>
      <c r="O14" s="11" t="s">
        <v>142</v>
      </c>
      <c r="Q14" t="s">
        <v>143</v>
      </c>
      <c r="R14" s="120" t="s">
        <v>97</v>
      </c>
      <c r="S14" s="42">
        <f>SIGN(SUMPRODUCT($T$3:$AQ$3,$T14:$AQ14))*(MAX($S$3:S13)+1)</f>
        <v>0</v>
      </c>
      <c r="T14" s="31"/>
      <c r="U14" s="31"/>
      <c r="V14" s="31"/>
      <c r="W14" s="31"/>
      <c r="X14" s="31"/>
      <c r="Y14" s="31"/>
      <c r="Z14" s="31"/>
      <c r="AA14" s="31"/>
      <c r="AB14" s="31">
        <v>1</v>
      </c>
      <c r="AC14" s="31"/>
      <c r="AD14" s="31"/>
      <c r="AE14" s="31"/>
      <c r="AF14" s="31"/>
      <c r="AG14" s="31"/>
      <c r="AH14" s="31"/>
      <c r="AI14" s="31"/>
      <c r="AJ14" s="31"/>
      <c r="AK14" s="31"/>
      <c r="AL14" s="31"/>
      <c r="AM14" s="31"/>
      <c r="AN14" s="31"/>
      <c r="AO14" s="31"/>
      <c r="AP14" s="31"/>
      <c r="AQ14" s="31"/>
      <c r="AS14" cm="1">
        <f t="array" ref="AS14">SUMPRODUCT(--(Q15:Q182=AU14),--(S15:S182&gt;0))*(1+MAX($AS$2:$AS13,$AS$1))</f>
        <v>0</v>
      </c>
      <c r="AT14" t="s">
        <v>144</v>
      </c>
      <c r="AU14" t="s">
        <v>145</v>
      </c>
      <c r="AV14" t="s">
        <v>146</v>
      </c>
    </row>
    <row r="15" spans="1:48" x14ac:dyDescent="0.35">
      <c r="B15" s="120" t="s">
        <v>152</v>
      </c>
      <c r="C15">
        <f>IF(B15="","",IFERROR(IFERROR(IFERROR(VLOOKUP(B15,Table6[[Tool Name]:[MS Prevalence]],2,FALSE),VLOOKUP(B15,Table3[[Typed Name]:[MS Prevalence]],3,FALSE)),VLOOKUP(B15,Table4[[Country]:[Estimated prevalence of modern slavery per 1,000 population]],2,FALSE)),0))</f>
        <v>7.0562992095947266</v>
      </c>
      <c r="D15" s="20" t="s">
        <v>152</v>
      </c>
      <c r="E15" s="22">
        <f>IFERROR(VLOOKUP(Table2[[#This Row],[Country]],Table6[[Tool Name]:[MS Prevalence]],2,FALSE),999)</f>
        <v>7.0562992095947266</v>
      </c>
      <c r="F15" s="6" t="str">
        <f>LEFT(Table2[[#This Row],[Country]],4)</f>
        <v>Bang</v>
      </c>
      <c r="G15" s="6" cm="1">
        <f t="array" ref="G15">SUMPRODUCT(--(Table2[[#This Row],[Country]]=Input!$B$39:$C$58))+SUMPRODUCT(--(Table2[[#This Row],[Country]]=Table3[Tool Name]),--(Table3[Selected]&gt;0))</f>
        <v>0</v>
      </c>
      <c r="H15" s="6" t="b">
        <f>IFERROR(MATCH(Table2[[#This Row],[Country]],GSI!F:F,0)&gt;0,FALSE)</f>
        <v>0</v>
      </c>
      <c r="M15" s="120" t="s">
        <v>120</v>
      </c>
      <c r="N15" s="11" t="s">
        <v>120</v>
      </c>
      <c r="O15" s="11" t="s">
        <v>148</v>
      </c>
      <c r="Q15" t="s">
        <v>149</v>
      </c>
      <c r="R15" s="120" t="s">
        <v>150</v>
      </c>
      <c r="S15" s="42">
        <f>SIGN(SUMPRODUCT($T$3:$AQ$3,$T15:$AQ15))*(MAX($S$3:S14)+1)</f>
        <v>0</v>
      </c>
      <c r="T15" s="31">
        <v>1</v>
      </c>
      <c r="U15" s="31"/>
      <c r="V15" s="31"/>
      <c r="W15" s="31"/>
      <c r="X15" s="31"/>
      <c r="Y15" s="31"/>
      <c r="Z15" s="31"/>
      <c r="AA15" s="31"/>
      <c r="AB15" s="31">
        <v>1</v>
      </c>
      <c r="AC15" s="31"/>
      <c r="AD15" s="31"/>
      <c r="AE15" s="31"/>
      <c r="AF15" s="31"/>
      <c r="AG15" s="31"/>
      <c r="AH15" s="31"/>
      <c r="AI15" s="31"/>
      <c r="AJ15" s="31"/>
      <c r="AK15" s="31"/>
      <c r="AL15" s="31"/>
      <c r="AM15" s="31"/>
      <c r="AN15" s="31"/>
      <c r="AO15" s="31"/>
      <c r="AP15" s="31"/>
      <c r="AQ15" s="31"/>
      <c r="AS15" cm="1">
        <f t="array" ref="AS15">SUMPRODUCT(--(Q16:Q183=AU15),--(S16:S183&gt;0))*(1+MAX($AS$2:$AS14,$AS$1))</f>
        <v>0</v>
      </c>
      <c r="AT15" t="s">
        <v>150</v>
      </c>
      <c r="AU15" t="s">
        <v>118</v>
      </c>
      <c r="AV15" t="s">
        <v>151</v>
      </c>
    </row>
    <row r="16" spans="1:48" x14ac:dyDescent="0.35">
      <c r="B16" s="120" t="s">
        <v>155</v>
      </c>
      <c r="C16">
        <f>IF(B16="","",IFERROR(IFERROR(IFERROR(VLOOKUP(B16,Table6[[Tool Name]:[MS Prevalence]],2,FALSE),VLOOKUP(B16,Table3[[Typed Name]:[MS Prevalence]],3,FALSE)),VLOOKUP(B16,Table4[[Country]:[Estimated prevalence of modern slavery per 1,000 population]],2,FALSE)),0))</f>
        <v>0</v>
      </c>
      <c r="D16" s="20" t="s">
        <v>155</v>
      </c>
      <c r="E16" s="22">
        <f>IFERROR(VLOOKUP(Table2[[#This Row],[Country]],Table6[[Tool Name]:[MS Prevalence]],2,FALSE),999)</f>
        <v>0</v>
      </c>
      <c r="F16" s="6" t="str">
        <f>LEFT(Table2[[#This Row],[Country]],4)</f>
        <v>Barb</v>
      </c>
      <c r="G16" s="6" cm="1">
        <f t="array" ref="G16">SUMPRODUCT(--(Table2[[#This Row],[Country]]=Input!$B$39:$C$58))+SUMPRODUCT(--(Table2[[#This Row],[Country]]=Table3[Tool Name]),--(Table3[Selected]&gt;0))</f>
        <v>0</v>
      </c>
      <c r="H16" s="6" t="b">
        <f>IFERROR(MATCH(Table2[[#This Row],[Country]],GSI!F:F,0)&gt;0,FALSE)</f>
        <v>0</v>
      </c>
      <c r="M16" s="120" t="s">
        <v>120</v>
      </c>
      <c r="N16" s="11" t="s">
        <v>120</v>
      </c>
      <c r="O16" s="11" t="s">
        <v>153</v>
      </c>
      <c r="Q16" t="s">
        <v>154</v>
      </c>
      <c r="R16" s="120" t="s">
        <v>192</v>
      </c>
      <c r="S16" s="42">
        <f>SIGN(SUMPRODUCT($T$3:$AQ$3,$T16:$AQ16))*(MAX($S$3:S15)+1)</f>
        <v>0</v>
      </c>
      <c r="T16" s="31"/>
      <c r="U16" s="31"/>
      <c r="V16" s="31"/>
      <c r="W16" s="31"/>
      <c r="X16" s="31"/>
      <c r="Y16" s="31"/>
      <c r="Z16" s="31"/>
      <c r="AA16" s="31"/>
      <c r="AB16" s="31">
        <v>1</v>
      </c>
      <c r="AC16" s="31"/>
      <c r="AD16" s="31"/>
      <c r="AE16" s="31"/>
      <c r="AF16" s="31"/>
      <c r="AG16" s="31"/>
      <c r="AH16" s="31"/>
      <c r="AI16" s="31"/>
      <c r="AJ16" s="31"/>
      <c r="AK16" s="31"/>
      <c r="AL16" s="31"/>
      <c r="AM16" s="31"/>
      <c r="AN16" s="31"/>
      <c r="AO16" s="31"/>
      <c r="AP16" s="31"/>
      <c r="AQ16" s="31"/>
      <c r="AS16" cm="1">
        <f t="array" ref="AS16">SUMPRODUCT(--(Q17:Q184=AU16),--(S17:S184&gt;0))*(1+MAX($AS$2:$AS15,$AS$1))</f>
        <v>0</v>
      </c>
      <c r="AT16" t="s">
        <v>150</v>
      </c>
      <c r="AU16" t="s">
        <v>118</v>
      </c>
      <c r="AV16" t="s">
        <v>122</v>
      </c>
    </row>
    <row r="17" spans="2:48" x14ac:dyDescent="0.35">
      <c r="B17" s="120" t="s">
        <v>161</v>
      </c>
      <c r="C17">
        <f>IF(B17="","",IFERROR(IFERROR(IFERROR(VLOOKUP(B17,Table6[[Tool Name]:[MS Prevalence]],2,FALSE),VLOOKUP(B17,Table3[[Typed Name]:[MS Prevalence]],3,FALSE)),VLOOKUP(B17,Table4[[Country]:[Estimated prevalence of modern slavery per 1,000 population]],2,FALSE)),0))</f>
        <v>11.34423828125</v>
      </c>
      <c r="D17" s="20" t="s">
        <v>161</v>
      </c>
      <c r="E17" s="22">
        <f>IFERROR(VLOOKUP(Table2[[#This Row],[Country]],Table6[[Tool Name]:[MS Prevalence]],2,FALSE),999)</f>
        <v>11.34423828125</v>
      </c>
      <c r="F17" s="6" t="str">
        <f>LEFT(Table2[[#This Row],[Country]],4)</f>
        <v>Bela</v>
      </c>
      <c r="G17" s="6" cm="1">
        <f t="array" ref="G17">SUMPRODUCT(--(Table2[[#This Row],[Country]]=Input!$B$39:$C$58))+SUMPRODUCT(--(Table2[[#This Row],[Country]]=Table3[Tool Name]),--(Table3[Selected]&gt;0))</f>
        <v>0</v>
      </c>
      <c r="H17" s="6" t="b">
        <f>IFERROR(MATCH(Table2[[#This Row],[Country]],GSI!F:F,0)&gt;0,FALSE)</f>
        <v>0</v>
      </c>
      <c r="M17" s="120" t="s">
        <v>120</v>
      </c>
      <c r="N17" s="11" t="s">
        <v>120</v>
      </c>
      <c r="O17" s="11" t="s">
        <v>156</v>
      </c>
      <c r="Q17" t="s">
        <v>157</v>
      </c>
      <c r="R17" s="120" t="s">
        <v>707</v>
      </c>
      <c r="S17" s="42">
        <f>SIGN(SUMPRODUCT($T$3:$AQ$3,$T17:$AQ17))*(MAX($S$3:S16)+1)</f>
        <v>0</v>
      </c>
      <c r="T17" s="31"/>
      <c r="U17" s="31"/>
      <c r="V17" s="31"/>
      <c r="W17" s="31"/>
      <c r="X17" s="31"/>
      <c r="Y17" s="31"/>
      <c r="Z17" s="31"/>
      <c r="AA17" s="31"/>
      <c r="AB17" s="31">
        <v>1</v>
      </c>
      <c r="AC17" s="31"/>
      <c r="AD17" s="31"/>
      <c r="AE17" s="31"/>
      <c r="AF17" s="31"/>
      <c r="AG17" s="31"/>
      <c r="AH17" s="31"/>
      <c r="AI17" s="31"/>
      <c r="AJ17" s="31"/>
      <c r="AK17" s="31"/>
      <c r="AL17" s="31"/>
      <c r="AM17" s="31"/>
      <c r="AN17" s="31"/>
      <c r="AO17" s="31"/>
      <c r="AP17" s="31"/>
      <c r="AQ17" s="31"/>
      <c r="AS17" cm="1">
        <f t="array" ref="AS17">SUMPRODUCT(--(Q18:Q185=AU17),--(S18:S185&gt;0))*(1+MAX($AS$2:$AS16,$AS$1))</f>
        <v>0</v>
      </c>
      <c r="AT17" t="s">
        <v>158</v>
      </c>
      <c r="AU17" t="s">
        <v>159</v>
      </c>
      <c r="AV17" t="s">
        <v>160</v>
      </c>
    </row>
    <row r="18" spans="2:48" x14ac:dyDescent="0.35">
      <c r="B18" s="120" t="s">
        <v>166</v>
      </c>
      <c r="C18">
        <f>IF(B18="","",IFERROR(IFERROR(IFERROR(VLOOKUP(B18,Table6[[Tool Name]:[MS Prevalence]],2,FALSE),VLOOKUP(B18,Table3[[Typed Name]:[MS Prevalence]],3,FALSE)),VLOOKUP(B18,Table4[[Country]:[Estimated prevalence of modern slavery per 1,000 population]],2,FALSE)),0))</f>
        <v>0.97103184461593628</v>
      </c>
      <c r="D18" s="20" t="s">
        <v>166</v>
      </c>
      <c r="E18" s="22">
        <f>IFERROR(VLOOKUP(Table2[[#This Row],[Country]],Table6[[Tool Name]:[MS Prevalence]],2,FALSE),999)</f>
        <v>0.97103184461593628</v>
      </c>
      <c r="F18" s="6" t="str">
        <f>LEFT(Table2[[#This Row],[Country]],4)</f>
        <v>Belg</v>
      </c>
      <c r="G18" s="6" cm="1">
        <f t="array" ref="G18">SUMPRODUCT(--(Table2[[#This Row],[Country]]=Input!$B$39:$C$58))+SUMPRODUCT(--(Table2[[#This Row],[Country]]=Table3[Tool Name]),--(Table3[Selected]&gt;0))</f>
        <v>0</v>
      </c>
      <c r="H18" s="6" t="b">
        <f>IFERROR(MATCH(Table2[[#This Row],[Country]],GSI!F:F,0)&gt;0,FALSE)</f>
        <v>0</v>
      </c>
      <c r="M18" s="120" t="s">
        <v>120</v>
      </c>
      <c r="N18" s="11" t="s">
        <v>120</v>
      </c>
      <c r="O18" s="11" t="s">
        <v>162</v>
      </c>
      <c r="Q18" t="s">
        <v>163</v>
      </c>
      <c r="R18" s="120" t="s">
        <v>708</v>
      </c>
      <c r="S18" s="42">
        <f>SIGN(SUMPRODUCT($T$3:$AQ$3,$T18:$AQ18))*(MAX($S$3:S17)+1)</f>
        <v>0</v>
      </c>
      <c r="T18" s="31"/>
      <c r="U18" s="31"/>
      <c r="V18" s="31"/>
      <c r="W18" s="31"/>
      <c r="X18" s="31"/>
      <c r="Y18" s="31"/>
      <c r="Z18" s="31"/>
      <c r="AA18" s="31"/>
      <c r="AB18" s="31">
        <v>1</v>
      </c>
      <c r="AC18" s="31"/>
      <c r="AD18" s="31"/>
      <c r="AE18" s="31"/>
      <c r="AF18" s="31"/>
      <c r="AG18" s="31"/>
      <c r="AH18" s="31"/>
      <c r="AI18" s="31"/>
      <c r="AJ18" s="31"/>
      <c r="AK18" s="31"/>
      <c r="AL18" s="31"/>
      <c r="AM18" s="31"/>
      <c r="AN18" s="31"/>
      <c r="AO18" s="31"/>
      <c r="AP18" s="31"/>
      <c r="AQ18" s="31"/>
      <c r="AS18" cm="1">
        <f t="array" ref="AS18">SUMPRODUCT(--(Q19:Q186=AU18),--(S19:S186&gt;0))*(1+MAX($AS$2:$AS17,$AS$1))</f>
        <v>0</v>
      </c>
      <c r="AT18" t="s">
        <v>164</v>
      </c>
      <c r="AU18" t="s">
        <v>153</v>
      </c>
      <c r="AV18" t="s">
        <v>165</v>
      </c>
    </row>
    <row r="19" spans="2:48" x14ac:dyDescent="0.35">
      <c r="B19" s="120" t="s">
        <v>169</v>
      </c>
      <c r="C19">
        <f>IF(B19="","",IFERROR(IFERROR(IFERROR(VLOOKUP(B19,Table6[[Tool Name]:[MS Prevalence]],2,FALSE),VLOOKUP(B19,Table3[[Typed Name]:[MS Prevalence]],3,FALSE)),VLOOKUP(B19,Table4[[Country]:[Estimated prevalence of modern slavery per 1,000 population]],2,FALSE)),0))</f>
        <v>0</v>
      </c>
      <c r="D19" s="20" t="s">
        <v>169</v>
      </c>
      <c r="E19" s="22">
        <f>IFERROR(VLOOKUP(Table2[[#This Row],[Country]],Table6[[Tool Name]:[MS Prevalence]],2,FALSE),999)</f>
        <v>0</v>
      </c>
      <c r="F19" s="6" t="str">
        <f>LEFT(Table2[[#This Row],[Country]],4)</f>
        <v>Beli</v>
      </c>
      <c r="G19" s="6" cm="1">
        <f t="array" ref="G19">SUMPRODUCT(--(Table2[[#This Row],[Country]]=Input!$B$39:$C$58))+SUMPRODUCT(--(Table2[[#This Row],[Country]]=Table3[Tool Name]),--(Table3[Selected]&gt;0))</f>
        <v>0</v>
      </c>
      <c r="H19" s="6" t="b">
        <f>IFERROR(MATCH(Table2[[#This Row],[Country]],GSI!F:F,0)&gt;0,FALSE)</f>
        <v>0</v>
      </c>
      <c r="M19" s="120" t="s">
        <v>137</v>
      </c>
      <c r="N19" s="11" t="s">
        <v>137</v>
      </c>
      <c r="O19" s="11" t="s">
        <v>103</v>
      </c>
      <c r="Q19" t="s">
        <v>167</v>
      </c>
      <c r="R19" s="120" t="s">
        <v>403</v>
      </c>
      <c r="S19" s="42">
        <f>SIGN(SUMPRODUCT($T$3:$AQ$3,$T19:$AQ19))*(MAX($S$3:S18)+1)</f>
        <v>0</v>
      </c>
      <c r="T19" s="31"/>
      <c r="U19" s="31"/>
      <c r="V19" s="31"/>
      <c r="W19" s="31"/>
      <c r="X19" s="31"/>
      <c r="Y19" s="31"/>
      <c r="Z19" s="31"/>
      <c r="AA19" s="31"/>
      <c r="AB19" s="31">
        <v>1</v>
      </c>
      <c r="AC19" s="31"/>
      <c r="AD19" s="31"/>
      <c r="AE19" s="31"/>
      <c r="AF19" s="31"/>
      <c r="AG19" s="31"/>
      <c r="AH19" s="31"/>
      <c r="AI19" s="31"/>
      <c r="AJ19" s="31"/>
      <c r="AK19" s="31"/>
      <c r="AL19" s="31"/>
      <c r="AM19" s="31"/>
      <c r="AN19" s="31"/>
      <c r="AO19" s="31"/>
      <c r="AP19" s="31"/>
      <c r="AQ19" s="31"/>
      <c r="AS19" cm="1">
        <f t="array" ref="AS19">SUMPRODUCT(--(Q20:Q187=AU19),--(S20:S187&gt;0))*(1+MAX($AS$2:$AS18,$AS$1))</f>
        <v>0</v>
      </c>
      <c r="AT19" t="s">
        <v>164</v>
      </c>
      <c r="AU19" t="s">
        <v>153</v>
      </c>
      <c r="AV19" t="s">
        <v>168</v>
      </c>
    </row>
    <row r="20" spans="2:48" x14ac:dyDescent="0.35">
      <c r="B20" s="120" t="s">
        <v>173</v>
      </c>
      <c r="C20">
        <f>IF(B20="","",IFERROR(IFERROR(IFERROR(VLOOKUP(B20,Table6[[Tool Name]:[MS Prevalence]],2,FALSE),VLOOKUP(B20,Table3[[Typed Name]:[MS Prevalence]],3,FALSE)),VLOOKUP(B20,Table4[[Country]:[Estimated prevalence of modern slavery per 1,000 population]],2,FALSE)),0))</f>
        <v>3.0427854061126709</v>
      </c>
      <c r="D20" s="20" t="s">
        <v>173</v>
      </c>
      <c r="E20" s="22">
        <f>IFERROR(VLOOKUP(Table2[[#This Row],[Country]],Table6[[Tool Name]:[MS Prevalence]],2,FALSE),999)</f>
        <v>3.0427854061126709</v>
      </c>
      <c r="F20" s="6" t="str">
        <f>LEFT(Table2[[#This Row],[Country]],4)</f>
        <v>Beni</v>
      </c>
      <c r="G20" s="6" cm="1">
        <f t="array" ref="G20">SUMPRODUCT(--(Table2[[#This Row],[Country]]=Input!$B$39:$C$58))+SUMPRODUCT(--(Table2[[#This Row],[Country]]=Table3[Tool Name]),--(Table3[Selected]&gt;0))</f>
        <v>0</v>
      </c>
      <c r="H20" s="6" t="b">
        <f>IFERROR(MATCH(Table2[[#This Row],[Country]],GSI!F:F,0)&gt;0,FALSE)</f>
        <v>0</v>
      </c>
      <c r="M20" s="120" t="s">
        <v>152</v>
      </c>
      <c r="N20" s="11" t="s">
        <v>152</v>
      </c>
      <c r="O20" s="11" t="s">
        <v>170</v>
      </c>
      <c r="Q20" t="s">
        <v>171</v>
      </c>
      <c r="R20" s="120" t="s">
        <v>356</v>
      </c>
      <c r="S20" s="42">
        <f>SIGN(SUMPRODUCT($T$3:$AQ$3,$T20:$AQ20))*(MAX($S$3:S19)+1)</f>
        <v>0</v>
      </c>
      <c r="T20" s="31"/>
      <c r="U20" s="31"/>
      <c r="V20" s="31"/>
      <c r="W20" s="31"/>
      <c r="X20" s="31"/>
      <c r="Y20" s="31"/>
      <c r="Z20" s="31"/>
      <c r="AA20" s="31"/>
      <c r="AB20" s="31">
        <v>1</v>
      </c>
      <c r="AC20" s="31"/>
      <c r="AD20" s="31"/>
      <c r="AE20" s="31"/>
      <c r="AF20" s="31"/>
      <c r="AG20" s="31"/>
      <c r="AH20" s="31"/>
      <c r="AI20" s="31"/>
      <c r="AJ20" s="31"/>
      <c r="AK20" s="31"/>
      <c r="AL20" s="31"/>
      <c r="AM20" s="31"/>
      <c r="AN20" s="31"/>
      <c r="AO20" s="31"/>
      <c r="AP20" s="31"/>
      <c r="AQ20" s="31"/>
      <c r="AS20" cm="1">
        <f t="array" ref="AS20">SUMPRODUCT(--(Q21:Q188=AU20),--(S21:S188&gt;0))*(1+MAX($AS$2:$AS19,$AS$1))</f>
        <v>0</v>
      </c>
      <c r="AT20" t="s">
        <v>164</v>
      </c>
      <c r="AU20" t="s">
        <v>153</v>
      </c>
      <c r="AV20" t="s">
        <v>172</v>
      </c>
    </row>
    <row r="21" spans="2:48" x14ac:dyDescent="0.35">
      <c r="B21" s="120" t="s">
        <v>176</v>
      </c>
      <c r="C21">
        <f>IF(B21="","",IFERROR(IFERROR(IFERROR(VLOOKUP(B21,Table6[[Tool Name]:[MS Prevalence]],2,FALSE),VLOOKUP(B21,Table3[[Typed Name]:[MS Prevalence]],3,FALSE)),VLOOKUP(B21,Table4[[Country]:[Estimated prevalence of modern slavery per 1,000 population]],2,FALSE)),0))</f>
        <v>0</v>
      </c>
      <c r="D21" s="20" t="s">
        <v>176</v>
      </c>
      <c r="E21" s="22">
        <f>IFERROR(VLOOKUP(Table2[[#This Row],[Country]],Table6[[Tool Name]:[MS Prevalence]],2,FALSE),999)</f>
        <v>0</v>
      </c>
      <c r="F21" s="6" t="str">
        <f>LEFT(Table2[[#This Row],[Country]],4)</f>
        <v>Bhut</v>
      </c>
      <c r="G21" s="6" cm="1">
        <f t="array" ref="G21">SUMPRODUCT(--(Table2[[#This Row],[Country]]=Input!$B$39:$C$58))+SUMPRODUCT(--(Table2[[#This Row],[Country]]=Table3[Tool Name]),--(Table3[Selected]&gt;0))</f>
        <v>0</v>
      </c>
      <c r="H21" s="6" t="b">
        <f>IFERROR(MATCH(Table2[[#This Row],[Country]],GSI!F:F,0)&gt;0,FALSE)</f>
        <v>0</v>
      </c>
      <c r="M21" s="120" t="s">
        <v>152</v>
      </c>
      <c r="N21" s="11" t="s">
        <v>152</v>
      </c>
      <c r="O21" s="11" t="s">
        <v>88</v>
      </c>
      <c r="Q21" t="s">
        <v>174</v>
      </c>
      <c r="R21" s="120" t="s">
        <v>370</v>
      </c>
      <c r="S21" s="42">
        <f>SIGN(SUMPRODUCT($T$3:$AQ$3,$T21:$AQ21))*(MAX($S$3:S20)+1)</f>
        <v>0</v>
      </c>
      <c r="T21" s="31"/>
      <c r="U21" s="31"/>
      <c r="V21" s="31"/>
      <c r="W21" s="31"/>
      <c r="X21" s="31"/>
      <c r="Y21" s="31"/>
      <c r="Z21" s="31"/>
      <c r="AA21" s="31"/>
      <c r="AB21" s="31">
        <v>1</v>
      </c>
      <c r="AC21" s="31"/>
      <c r="AD21" s="31"/>
      <c r="AE21" s="31"/>
      <c r="AF21" s="31"/>
      <c r="AG21" s="31"/>
      <c r="AH21" s="31"/>
      <c r="AI21" s="31"/>
      <c r="AJ21" s="31"/>
      <c r="AK21" s="31"/>
      <c r="AL21" s="31"/>
      <c r="AM21" s="31"/>
      <c r="AN21" s="31"/>
      <c r="AO21" s="31"/>
      <c r="AP21" s="31"/>
      <c r="AQ21" s="31"/>
      <c r="AS21" cm="1">
        <f t="array" ref="AS21">SUMPRODUCT(--(Q22:Q189=AU21),--(S22:S189&gt;0))*(1+MAX($AS$2:$AS20,$AS$1))</f>
        <v>0</v>
      </c>
      <c r="AT21" t="s">
        <v>72</v>
      </c>
      <c r="AU21" t="s">
        <v>159</v>
      </c>
      <c r="AV21" t="s">
        <v>175</v>
      </c>
    </row>
    <row r="22" spans="2:48" x14ac:dyDescent="0.35">
      <c r="B22" s="120" t="s">
        <v>90</v>
      </c>
      <c r="C22">
        <f>IF(B22="","",IFERROR(IFERROR(IFERROR(VLOOKUP(B22,Table6[[Tool Name]:[MS Prevalence]],2,FALSE),VLOOKUP(B22,Table3[[Typed Name]:[MS Prevalence]],3,FALSE)),VLOOKUP(B22,Table4[[Country]:[Estimated prevalence of modern slavery per 1,000 population]],2,FALSE)),0))</f>
        <v>7.1523995399475098</v>
      </c>
      <c r="D22" s="20" t="s">
        <v>90</v>
      </c>
      <c r="E22" s="22">
        <f>IFERROR(VLOOKUP(Table2[[#This Row],[Country]],Table6[[Tool Name]:[MS Prevalence]],2,FALSE),999)</f>
        <v>7.1523995399475098</v>
      </c>
      <c r="F22" s="6" t="str">
        <f>LEFT(Table2[[#This Row],[Country]],4)</f>
        <v>Boli</v>
      </c>
      <c r="G22" s="6" cm="1">
        <f t="array" ref="G22">SUMPRODUCT(--(Table2[[#This Row],[Country]]=Input!$B$39:$C$58))+SUMPRODUCT(--(Table2[[#This Row],[Country]]=Table3[Tool Name]),--(Table3[Selected]&gt;0))</f>
        <v>0</v>
      </c>
      <c r="H22" s="6" t="b">
        <f>IFERROR(MATCH(Table2[[#This Row],[Country]],GSI!F:F,0)&gt;0,FALSE)</f>
        <v>0</v>
      </c>
      <c r="M22" s="120" t="s">
        <v>152</v>
      </c>
      <c r="N22" s="11" t="s">
        <v>152</v>
      </c>
      <c r="O22" s="11" t="s">
        <v>177</v>
      </c>
      <c r="Q22" t="s">
        <v>178</v>
      </c>
      <c r="R22" s="120" t="s">
        <v>192</v>
      </c>
      <c r="S22" s="42">
        <f>SIGN(SUMPRODUCT($T$3:$AQ$3,$T22:$AQ22))*(MAX($S$3:S21)+1)</f>
        <v>0</v>
      </c>
      <c r="T22" s="31"/>
      <c r="U22" s="31"/>
      <c r="V22" s="31"/>
      <c r="W22" s="31"/>
      <c r="X22" s="31"/>
      <c r="Y22" s="31"/>
      <c r="Z22" s="31"/>
      <c r="AA22" s="31"/>
      <c r="AB22" s="31">
        <v>1</v>
      </c>
      <c r="AC22" s="31"/>
      <c r="AD22" s="31"/>
      <c r="AE22" s="31"/>
      <c r="AF22" s="31"/>
      <c r="AG22" s="31"/>
      <c r="AH22" s="31"/>
      <c r="AI22" s="31"/>
      <c r="AJ22" s="31"/>
      <c r="AK22" s="31"/>
      <c r="AL22" s="31"/>
      <c r="AM22" s="31"/>
      <c r="AN22" s="31"/>
      <c r="AO22" s="31"/>
      <c r="AP22" s="31"/>
      <c r="AQ22" s="31"/>
      <c r="AS22" cm="1">
        <f t="array" ref="AS22">SUMPRODUCT(--(Q23:Q190=AU22),--(S23:S190&gt;0))*(1+MAX($AS$2:$AS21,$AS$1))</f>
        <v>0</v>
      </c>
      <c r="AT22" t="s">
        <v>72</v>
      </c>
      <c r="AU22" t="s">
        <v>159</v>
      </c>
      <c r="AV22" t="s">
        <v>179</v>
      </c>
    </row>
    <row r="23" spans="2:48" x14ac:dyDescent="0.35">
      <c r="B23" s="120" t="s">
        <v>185</v>
      </c>
      <c r="C23">
        <f>IF(B23="","",IFERROR(IFERROR(IFERROR(VLOOKUP(B23,Table6[[Tool Name]:[MS Prevalence]],2,FALSE),VLOOKUP(B23,Table3[[Typed Name]:[MS Prevalence]],3,FALSE)),VLOOKUP(B23,Table4[[Country]:[Estimated prevalence of modern slavery per 1,000 population]],2,FALSE)),0))</f>
        <v>10.087942123413089</v>
      </c>
      <c r="D23" s="20" t="s">
        <v>185</v>
      </c>
      <c r="E23" s="22">
        <f>IFERROR(VLOOKUP(Table2[[#This Row],[Country]],Table6[[Tool Name]:[MS Prevalence]],2,FALSE),999)</f>
        <v>10.087942123413089</v>
      </c>
      <c r="F23" s="6" t="str">
        <f>LEFT(Table2[[#This Row],[Country]],4)</f>
        <v>Bosn</v>
      </c>
      <c r="G23" s="6" cm="1">
        <f t="array" ref="G23">SUMPRODUCT(--(Table2[[#This Row],[Country]]=Input!$B$39:$C$58))+SUMPRODUCT(--(Table2[[#This Row],[Country]]=Table3[Tool Name]),--(Table3[Selected]&gt;0))</f>
        <v>0</v>
      </c>
      <c r="H23" s="6" t="b">
        <f>IFERROR(MATCH(Table2[[#This Row],[Country]],GSI!F:F,0)&gt;0,FALSE)</f>
        <v>0</v>
      </c>
      <c r="M23" s="120" t="s">
        <v>152</v>
      </c>
      <c r="N23" s="11" t="s">
        <v>152</v>
      </c>
      <c r="O23" s="11" t="s">
        <v>180</v>
      </c>
      <c r="Q23" t="s">
        <v>181</v>
      </c>
      <c r="R23" s="120" t="s">
        <v>709</v>
      </c>
      <c r="S23" s="42">
        <f>SIGN(SUMPRODUCT($T$3:$AQ$3,$T23:$AQ23))*(MAX($S$3:S22)+1)</f>
        <v>0</v>
      </c>
      <c r="T23" s="31"/>
      <c r="U23" s="31"/>
      <c r="V23" s="31"/>
      <c r="W23" s="31"/>
      <c r="X23" s="31"/>
      <c r="Y23" s="31"/>
      <c r="Z23" s="31"/>
      <c r="AA23" s="31"/>
      <c r="AB23" s="31">
        <v>1</v>
      </c>
      <c r="AC23" s="31"/>
      <c r="AD23" s="31"/>
      <c r="AE23" s="31"/>
      <c r="AF23" s="31"/>
      <c r="AG23" s="31"/>
      <c r="AH23" s="31"/>
      <c r="AI23" s="31"/>
      <c r="AJ23" s="31"/>
      <c r="AK23" s="31"/>
      <c r="AL23" s="31"/>
      <c r="AM23" s="31"/>
      <c r="AN23" s="31"/>
      <c r="AO23" s="31"/>
      <c r="AP23" s="31"/>
      <c r="AQ23" s="31"/>
      <c r="AS23" cm="1">
        <f t="array" ref="AS23">SUMPRODUCT(--(Q24:Q191=AU23),--(S24:S191&gt;0))*(1+MAX($AS$2:$AS22,$AS$1))</f>
        <v>0</v>
      </c>
      <c r="AT23" t="s">
        <v>182</v>
      </c>
      <c r="AU23" t="s">
        <v>183</v>
      </c>
      <c r="AV23" t="s">
        <v>184</v>
      </c>
    </row>
    <row r="24" spans="2:48" x14ac:dyDescent="0.35">
      <c r="B24" s="120" t="s">
        <v>190</v>
      </c>
      <c r="C24">
        <f>IF(B24="","",IFERROR(IFERROR(IFERROR(VLOOKUP(B24,Table6[[Tool Name]:[MS Prevalence]],2,FALSE),VLOOKUP(B24,Table3[[Typed Name]:[MS Prevalence]],3,FALSE)),VLOOKUP(B24,Table4[[Country]:[Estimated prevalence of modern slavery per 1,000 population]],2,FALSE)),0))</f>
        <v>1.8428552150726321</v>
      </c>
      <c r="D24" s="20" t="s">
        <v>190</v>
      </c>
      <c r="E24" s="22">
        <f>IFERROR(VLOOKUP(Table2[[#This Row],[Country]],Table6[[Tool Name]:[MS Prevalence]],2,FALSE),999)</f>
        <v>1.8428552150726321</v>
      </c>
      <c r="F24" s="6" t="str">
        <f>LEFT(Table2[[#This Row],[Country]],4)</f>
        <v>Bots</v>
      </c>
      <c r="G24" s="6" cm="1">
        <f t="array" ref="G24">SUMPRODUCT(--(Table2[[#This Row],[Country]]=Input!$B$39:$C$58))+SUMPRODUCT(--(Table2[[#This Row],[Country]]=Table3[Tool Name]),--(Table3[Selected]&gt;0))</f>
        <v>0</v>
      </c>
      <c r="H24" s="6" t="b">
        <f>IFERROR(MATCH(Table2[[#This Row],[Country]],GSI!F:F,0)&gt;0,FALSE)</f>
        <v>0</v>
      </c>
      <c r="M24" s="120" t="s">
        <v>152</v>
      </c>
      <c r="N24" s="11" t="s">
        <v>152</v>
      </c>
      <c r="O24" s="11" t="s">
        <v>186</v>
      </c>
      <c r="Q24" t="s">
        <v>187</v>
      </c>
      <c r="R24" s="120" t="s">
        <v>285</v>
      </c>
      <c r="S24" s="42">
        <f>SIGN(SUMPRODUCT($T$3:$AQ$3,$T24:$AQ24))*(MAX($S$3:S23)+1)</f>
        <v>0</v>
      </c>
      <c r="T24" s="31"/>
      <c r="U24" s="31"/>
      <c r="V24" s="31"/>
      <c r="W24" s="31"/>
      <c r="X24" s="31"/>
      <c r="Y24" s="31"/>
      <c r="Z24" s="31"/>
      <c r="AA24" s="31"/>
      <c r="AB24" s="31">
        <v>1</v>
      </c>
      <c r="AC24" s="31"/>
      <c r="AD24" s="31"/>
      <c r="AE24" s="31"/>
      <c r="AF24" s="31"/>
      <c r="AG24" s="31"/>
      <c r="AH24" s="31"/>
      <c r="AI24" s="31"/>
      <c r="AJ24" s="31"/>
      <c r="AK24" s="31"/>
      <c r="AL24" s="31"/>
      <c r="AM24" s="31"/>
      <c r="AN24" s="31"/>
      <c r="AO24" s="31"/>
      <c r="AP24" s="31"/>
      <c r="AQ24" s="31"/>
      <c r="AS24" cm="1">
        <f t="array" ref="AS24">SUMPRODUCT(--(Q25:Q192=AU24),--(S25:S192&gt;0))*(1+MAX($AS$2:$AS23,$AS$1))</f>
        <v>0</v>
      </c>
      <c r="AT24" t="s">
        <v>188</v>
      </c>
      <c r="AU24" t="s">
        <v>107</v>
      </c>
      <c r="AV24" t="s">
        <v>189</v>
      </c>
    </row>
    <row r="25" spans="2:48" x14ac:dyDescent="0.35">
      <c r="B25" s="120" t="s">
        <v>192</v>
      </c>
      <c r="C25">
        <f>IF(B25="","",IFERROR(IFERROR(IFERROR(VLOOKUP(B25,Table6[[Tool Name]:[MS Prevalence]],2,FALSE),VLOOKUP(B25,Table3[[Typed Name]:[MS Prevalence]],3,FALSE)),VLOOKUP(B25,Table4[[Country]:[Estimated prevalence of modern slavery per 1,000 population]],2,FALSE)),0))</f>
        <v>4.954716682434082</v>
      </c>
      <c r="D25" s="20" t="s">
        <v>192</v>
      </c>
      <c r="E25" s="22">
        <f>IFERROR(VLOOKUP(Table2[[#This Row],[Country]],Table6[[Tool Name]:[MS Prevalence]],2,FALSE),999)</f>
        <v>4.954716682434082</v>
      </c>
      <c r="F25" s="6" t="str">
        <f>LEFT(Table2[[#This Row],[Country]],4)</f>
        <v>Braz</v>
      </c>
      <c r="G25" s="6" cm="1">
        <f t="array" ref="G25">SUMPRODUCT(--(Table2[[#This Row],[Country]]=Input!$B$39:$C$58))+SUMPRODUCT(--(Table2[[#This Row],[Country]]=Table3[Tool Name]),--(Table3[Selected]&gt;0))</f>
        <v>0</v>
      </c>
      <c r="H25" s="6" t="b">
        <f>IFERROR(MATCH(Table2[[#This Row],[Country]],GSI!F:F,0)&gt;0,FALSE)</f>
        <v>0</v>
      </c>
      <c r="M25" s="120" t="s">
        <v>152</v>
      </c>
      <c r="N25" s="11" t="s">
        <v>152</v>
      </c>
      <c r="O25" s="11" t="s">
        <v>134</v>
      </c>
      <c r="Q25" t="s">
        <v>191</v>
      </c>
      <c r="R25" s="120" t="s">
        <v>403</v>
      </c>
      <c r="S25" s="42">
        <f>SIGN(SUMPRODUCT($T$3:$AQ$3,$T25:$AQ25))*(MAX($S$3:S24)+1)</f>
        <v>0</v>
      </c>
      <c r="T25" s="31"/>
      <c r="U25" s="31"/>
      <c r="V25" s="31"/>
      <c r="W25" s="31"/>
      <c r="X25" s="31"/>
      <c r="Y25" s="31"/>
      <c r="Z25" s="31"/>
      <c r="AA25" s="31"/>
      <c r="AB25" s="31">
        <v>1</v>
      </c>
      <c r="AC25" s="31"/>
      <c r="AD25" s="31"/>
      <c r="AE25" s="31"/>
      <c r="AF25" s="31"/>
      <c r="AG25" s="31"/>
      <c r="AH25" s="31"/>
      <c r="AI25" s="31"/>
      <c r="AJ25" s="31"/>
      <c r="AK25" s="31"/>
      <c r="AL25" s="31"/>
      <c r="AM25" s="31"/>
      <c r="AN25" s="31"/>
      <c r="AO25" s="31"/>
      <c r="AP25" s="31"/>
      <c r="AQ25" s="31"/>
    </row>
    <row r="26" spans="2:48" x14ac:dyDescent="0.35">
      <c r="B26" s="120" t="s">
        <v>195</v>
      </c>
      <c r="C26">
        <f>IF(B26="","",IFERROR(IFERROR(IFERROR(VLOOKUP(B26,Table6[[Tool Name]:[MS Prevalence]],2,FALSE),VLOOKUP(B26,Table3[[Typed Name]:[MS Prevalence]],3,FALSE)),VLOOKUP(B26,Table4[[Country]:[Estimated prevalence of modern slavery per 1,000 population]],2,FALSE)),0))</f>
        <v>0</v>
      </c>
      <c r="D26" s="20" t="s">
        <v>195</v>
      </c>
      <c r="E26" s="22">
        <f>IFERROR(VLOOKUP(Table2[[#This Row],[Country]],Table6[[Tool Name]:[MS Prevalence]],2,FALSE),999)</f>
        <v>0</v>
      </c>
      <c r="F26" s="6" t="str">
        <f>LEFT(Table2[[#This Row],[Country]],4)</f>
        <v>Brun</v>
      </c>
      <c r="G26" s="6" cm="1">
        <f t="array" ref="G26">SUMPRODUCT(--(Table2[[#This Row],[Country]]=Input!$B$39:$C$58))+SUMPRODUCT(--(Table2[[#This Row],[Country]]=Table3[Tool Name]),--(Table3[Selected]&gt;0))</f>
        <v>0</v>
      </c>
      <c r="H26" s="6" t="b">
        <f>IFERROR(MATCH(Table2[[#This Row],[Country]],GSI!F:F,0)&gt;0,FALSE)</f>
        <v>0</v>
      </c>
      <c r="M26" s="120" t="s">
        <v>152</v>
      </c>
      <c r="N26" s="11" t="s">
        <v>152</v>
      </c>
      <c r="O26" s="11" t="s">
        <v>193</v>
      </c>
      <c r="Q26" t="s">
        <v>194</v>
      </c>
      <c r="R26" s="120" t="s">
        <v>403</v>
      </c>
      <c r="S26" s="42">
        <f>SIGN(SUMPRODUCT($T$3:$AQ$3,$T26:$AQ26))*(MAX($S$3:S25)+1)</f>
        <v>0</v>
      </c>
      <c r="T26" s="31"/>
      <c r="U26" s="31"/>
      <c r="V26" s="31"/>
      <c r="W26" s="31"/>
      <c r="X26" s="31"/>
      <c r="Y26" s="31"/>
      <c r="Z26" s="31"/>
      <c r="AA26" s="31"/>
      <c r="AB26" s="31">
        <v>1</v>
      </c>
      <c r="AC26" s="31"/>
      <c r="AD26" s="31"/>
      <c r="AE26" s="31"/>
      <c r="AF26" s="31"/>
      <c r="AG26" s="31"/>
      <c r="AH26" s="31"/>
      <c r="AI26" s="31"/>
      <c r="AJ26" s="31"/>
      <c r="AK26" s="31"/>
      <c r="AL26" s="31"/>
      <c r="AM26" s="31"/>
      <c r="AN26" s="31"/>
      <c r="AO26" s="31"/>
      <c r="AP26" s="31"/>
      <c r="AQ26" s="31"/>
    </row>
    <row r="27" spans="2:48" x14ac:dyDescent="0.35">
      <c r="B27" s="120" t="s">
        <v>198</v>
      </c>
      <c r="C27">
        <f>IF(B27="","",IFERROR(IFERROR(IFERROR(VLOOKUP(B27,Table6[[Tool Name]:[MS Prevalence]],2,FALSE),VLOOKUP(B27,Table3[[Typed Name]:[MS Prevalence]],3,FALSE)),VLOOKUP(B27,Table4[[Country]:[Estimated prevalence of modern slavery per 1,000 population]],2,FALSE)),0))</f>
        <v>8.4842157363891602</v>
      </c>
      <c r="D27" s="20" t="s">
        <v>198</v>
      </c>
      <c r="E27" s="22">
        <f>IFERROR(VLOOKUP(Table2[[#This Row],[Country]],Table6[[Tool Name]:[MS Prevalence]],2,FALSE),999)</f>
        <v>8.4842157363891602</v>
      </c>
      <c r="F27" s="6" t="str">
        <f>LEFT(Table2[[#This Row],[Country]],4)</f>
        <v>Bulg</v>
      </c>
      <c r="G27" s="6" cm="1">
        <f t="array" ref="G27">SUMPRODUCT(--(Table2[[#This Row],[Country]]=Input!$B$39:$C$58))+SUMPRODUCT(--(Table2[[#This Row],[Country]]=Table3[Tool Name]),--(Table3[Selected]&gt;0))</f>
        <v>0</v>
      </c>
      <c r="H27" s="6" t="b">
        <f>IFERROR(MATCH(Table2[[#This Row],[Country]],GSI!F:F,0)&gt;0,FALSE)</f>
        <v>0</v>
      </c>
      <c r="M27" s="120" t="s">
        <v>152</v>
      </c>
      <c r="N27" s="11" t="s">
        <v>152</v>
      </c>
      <c r="O27" s="11" t="s">
        <v>196</v>
      </c>
      <c r="Q27" t="s">
        <v>197</v>
      </c>
      <c r="R27" s="120" t="s">
        <v>710</v>
      </c>
      <c r="S27" s="42">
        <f>SIGN(SUMPRODUCT($T$3:$AQ$3,$T27:$AQ27))*(MAX($S$3:S26)+1)</f>
        <v>0</v>
      </c>
      <c r="T27" s="31"/>
      <c r="U27" s="31"/>
      <c r="V27" s="31"/>
      <c r="W27" s="31"/>
      <c r="X27" s="31"/>
      <c r="Y27" s="31"/>
      <c r="Z27" s="31"/>
      <c r="AA27" s="31"/>
      <c r="AB27" s="31">
        <v>1</v>
      </c>
      <c r="AC27" s="31"/>
      <c r="AD27" s="31"/>
      <c r="AE27" s="31"/>
      <c r="AF27" s="31"/>
      <c r="AG27" s="31"/>
      <c r="AH27" s="31"/>
      <c r="AI27" s="31"/>
      <c r="AJ27" s="31"/>
      <c r="AK27" s="31"/>
      <c r="AL27" s="31"/>
      <c r="AM27" s="31"/>
      <c r="AN27" s="31"/>
      <c r="AO27" s="31"/>
      <c r="AP27" s="31"/>
      <c r="AQ27" s="31"/>
    </row>
    <row r="28" spans="2:48" x14ac:dyDescent="0.35">
      <c r="B28" s="120" t="s">
        <v>201</v>
      </c>
      <c r="C28">
        <f>IF(B28="","",IFERROR(IFERROR(IFERROR(VLOOKUP(B28,Table6[[Tool Name]:[MS Prevalence]],2,FALSE),VLOOKUP(B28,Table3[[Typed Name]:[MS Prevalence]],3,FALSE)),VLOOKUP(B28,Table4[[Country]:[Estimated prevalence of modern slavery per 1,000 population]],2,FALSE)),0))</f>
        <v>3.7013916969299321</v>
      </c>
      <c r="D28" s="20" t="s">
        <v>201</v>
      </c>
      <c r="E28" s="22">
        <f>IFERROR(VLOOKUP(Table2[[#This Row],[Country]],Table6[[Tool Name]:[MS Prevalence]],2,FALSE),999)</f>
        <v>3.7013916969299321</v>
      </c>
      <c r="F28" s="6" t="str">
        <f>LEFT(Table2[[#This Row],[Country]],4)</f>
        <v>Burk</v>
      </c>
      <c r="G28" s="6" cm="1">
        <f t="array" ref="G28">SUMPRODUCT(--(Table2[[#This Row],[Country]]=Input!$B$39:$C$58))+SUMPRODUCT(--(Table2[[#This Row],[Country]]=Table3[Tool Name]),--(Table3[Selected]&gt;0))</f>
        <v>0</v>
      </c>
      <c r="H28" s="6" t="b">
        <f>IFERROR(MATCH(Table2[[#This Row],[Country]],GSI!F:F,0)&gt;0,FALSE)</f>
        <v>0</v>
      </c>
      <c r="M28" s="120" t="s">
        <v>152</v>
      </c>
      <c r="N28" s="11" t="s">
        <v>152</v>
      </c>
      <c r="O28" s="11" t="s">
        <v>199</v>
      </c>
      <c r="Q28" t="s">
        <v>200</v>
      </c>
      <c r="R28" s="120" t="s">
        <v>254</v>
      </c>
      <c r="S28" s="42">
        <f>SIGN(SUMPRODUCT($T$3:$AQ$3,$T28:$AQ28))*(MAX($S$3:S27)+1)</f>
        <v>0</v>
      </c>
      <c r="T28" s="31"/>
      <c r="U28" s="31"/>
      <c r="V28" s="31"/>
      <c r="W28" s="31"/>
      <c r="X28" s="31"/>
      <c r="Y28" s="31"/>
      <c r="Z28" s="31"/>
      <c r="AA28" s="31"/>
      <c r="AB28" s="31">
        <v>1</v>
      </c>
      <c r="AC28" s="31"/>
      <c r="AD28" s="31"/>
      <c r="AE28" s="31"/>
      <c r="AF28" s="31"/>
      <c r="AG28" s="31"/>
      <c r="AH28" s="31"/>
      <c r="AI28" s="31"/>
      <c r="AJ28" s="31"/>
      <c r="AK28" s="31"/>
      <c r="AL28" s="31"/>
      <c r="AM28" s="31"/>
      <c r="AN28" s="31"/>
      <c r="AO28" s="31"/>
      <c r="AP28" s="31"/>
      <c r="AQ28" s="31"/>
    </row>
    <row r="29" spans="2:48" x14ac:dyDescent="0.35">
      <c r="B29" s="120" t="s">
        <v>204</v>
      </c>
      <c r="C29">
        <f>IF(B29="","",IFERROR(IFERROR(IFERROR(VLOOKUP(B29,Table6[[Tool Name]:[MS Prevalence]],2,FALSE),VLOOKUP(B29,Table3[[Typed Name]:[MS Prevalence]],3,FALSE)),VLOOKUP(B29,Table4[[Country]:[Estimated prevalence of modern slavery per 1,000 population]],2,FALSE)),0))</f>
        <v>7.5060715675354004</v>
      </c>
      <c r="D29" s="20" t="s">
        <v>204</v>
      </c>
      <c r="E29" s="22">
        <f>IFERROR(VLOOKUP(Table2[[#This Row],[Country]],Table6[[Tool Name]:[MS Prevalence]],2,FALSE),999)</f>
        <v>7.5060715675354004</v>
      </c>
      <c r="F29" s="6" t="str">
        <f>LEFT(Table2[[#This Row],[Country]],4)</f>
        <v>Buru</v>
      </c>
      <c r="G29" s="6" cm="1">
        <f t="array" ref="G29">SUMPRODUCT(--(Table2[[#This Row],[Country]]=Input!$B$39:$C$58))+SUMPRODUCT(--(Table2[[#This Row],[Country]]=Table3[Tool Name]),--(Table3[Selected]&gt;0))</f>
        <v>0</v>
      </c>
      <c r="H29" s="6" t="b">
        <f>IFERROR(MATCH(Table2[[#This Row],[Country]],GSI!F:F,0)&gt;0,FALSE)</f>
        <v>0</v>
      </c>
      <c r="M29" s="120" t="s">
        <v>152</v>
      </c>
      <c r="N29" s="11" t="s">
        <v>152</v>
      </c>
      <c r="O29" s="11" t="s">
        <v>202</v>
      </c>
      <c r="Q29" t="s">
        <v>203</v>
      </c>
      <c r="R29" s="120" t="s">
        <v>356</v>
      </c>
      <c r="S29" s="42">
        <f>SIGN(SUMPRODUCT($T$3:$AQ$3,$T29:$AQ29))*(MAX($S$3:S28)+1)</f>
        <v>0</v>
      </c>
      <c r="T29" s="31"/>
      <c r="U29" s="31"/>
      <c r="V29" s="31"/>
      <c r="W29" s="31"/>
      <c r="X29" s="31"/>
      <c r="Y29" s="31"/>
      <c r="Z29" s="31"/>
      <c r="AA29" s="31"/>
      <c r="AB29" s="31">
        <v>1</v>
      </c>
      <c r="AC29" s="31"/>
      <c r="AD29" s="31"/>
      <c r="AE29" s="31"/>
      <c r="AF29" s="31"/>
      <c r="AG29" s="31"/>
      <c r="AH29" s="31"/>
      <c r="AI29" s="31"/>
      <c r="AJ29" s="31"/>
      <c r="AK29" s="31"/>
      <c r="AL29" s="31"/>
      <c r="AM29" s="31"/>
      <c r="AN29" s="31"/>
      <c r="AO29" s="31"/>
      <c r="AP29" s="31"/>
      <c r="AQ29" s="31"/>
    </row>
    <row r="30" spans="2:48" x14ac:dyDescent="0.35">
      <c r="B30" s="120" t="s">
        <v>207</v>
      </c>
      <c r="C30">
        <f>IF(B30="","",IFERROR(IFERROR(IFERROR(VLOOKUP(B30,Table6[[Tool Name]:[MS Prevalence]],2,FALSE),VLOOKUP(B30,Table3[[Typed Name]:[MS Prevalence]],3,FALSE)),VLOOKUP(B30,Table4[[Country]:[Estimated prevalence of modern slavery per 1,000 population]],2,FALSE)),0))</f>
        <v>4.9826292991638184</v>
      </c>
      <c r="D30" s="20" t="s">
        <v>207</v>
      </c>
      <c r="E30" s="22">
        <f>IFERROR(VLOOKUP(Table2[[#This Row],[Country]],Table6[[Tool Name]:[MS Prevalence]],2,FALSE),999)</f>
        <v>4.9826292991638184</v>
      </c>
      <c r="F30" s="6" t="str">
        <f>LEFT(Table2[[#This Row],[Country]],4)</f>
        <v>Camb</v>
      </c>
      <c r="G30" s="6" cm="1">
        <f t="array" ref="G30">SUMPRODUCT(--(Table2[[#This Row],[Country]]=Input!$B$39:$C$58))+SUMPRODUCT(--(Table2[[#This Row],[Country]]=Table3[Tool Name]),--(Table3[Selected]&gt;0))</f>
        <v>0</v>
      </c>
      <c r="H30" s="6" t="b">
        <f>IFERROR(MATCH(Table2[[#This Row],[Country]],GSI!F:F,0)&gt;0,FALSE)</f>
        <v>0</v>
      </c>
      <c r="M30" s="120" t="s">
        <v>152</v>
      </c>
      <c r="N30" s="11" t="s">
        <v>152</v>
      </c>
      <c r="O30" s="11" t="s">
        <v>205</v>
      </c>
      <c r="Q30" t="s">
        <v>206</v>
      </c>
      <c r="R30" s="120" t="s">
        <v>711</v>
      </c>
      <c r="S30" s="42">
        <f>SIGN(SUMPRODUCT($T$3:$AQ$3,$T30:$AQ30))*(MAX($S$3:S29)+1)</f>
        <v>0</v>
      </c>
      <c r="T30" s="31"/>
      <c r="U30" s="31"/>
      <c r="V30" s="31"/>
      <c r="W30" s="31"/>
      <c r="X30" s="31"/>
      <c r="Y30" s="31"/>
      <c r="Z30" s="31"/>
      <c r="AA30" s="31"/>
      <c r="AB30" s="31">
        <v>1</v>
      </c>
      <c r="AC30" s="31"/>
      <c r="AD30" s="31"/>
      <c r="AE30" s="31"/>
      <c r="AF30" s="31"/>
      <c r="AG30" s="31"/>
      <c r="AH30" s="31"/>
      <c r="AI30" s="31"/>
      <c r="AJ30" s="31"/>
      <c r="AK30" s="31"/>
      <c r="AL30" s="31"/>
      <c r="AM30" s="31"/>
      <c r="AN30" s="31"/>
      <c r="AO30" s="31"/>
      <c r="AP30" s="31"/>
      <c r="AQ30" s="31"/>
    </row>
    <row r="31" spans="2:48" x14ac:dyDescent="0.35">
      <c r="B31" s="120" t="s">
        <v>209</v>
      </c>
      <c r="C31">
        <f>IF(B31="","",IFERROR(IFERROR(IFERROR(VLOOKUP(B31,Table6[[Tool Name]:[MS Prevalence]],2,FALSE),VLOOKUP(B31,Table3[[Typed Name]:[MS Prevalence]],3,FALSE)),VLOOKUP(B31,Table4[[Country]:[Estimated prevalence of modern slavery per 1,000 population]],2,FALSE)),0))</f>
        <v>5.8461923599243164</v>
      </c>
      <c r="D31" s="20" t="s">
        <v>209</v>
      </c>
      <c r="E31" s="22">
        <f>IFERROR(VLOOKUP(Table2[[#This Row],[Country]],Table6[[Tool Name]:[MS Prevalence]],2,FALSE),999)</f>
        <v>5.8461923599243164</v>
      </c>
      <c r="F31" s="6" t="str">
        <f>LEFT(Table2[[#This Row],[Country]],4)</f>
        <v>Came</v>
      </c>
      <c r="G31" s="6" cm="1">
        <f t="array" ref="G31">SUMPRODUCT(--(Table2[[#This Row],[Country]]=Input!$B$39:$C$58))+SUMPRODUCT(--(Table2[[#This Row],[Country]]=Table3[Tool Name]),--(Table3[Selected]&gt;0))</f>
        <v>0</v>
      </c>
      <c r="H31" s="6" t="b">
        <f>IFERROR(MATCH(Table2[[#This Row],[Country]],GSI!F:F,0)&gt;0,FALSE)</f>
        <v>0</v>
      </c>
      <c r="M31" s="120" t="s">
        <v>152</v>
      </c>
      <c r="N31" s="11" t="s">
        <v>152</v>
      </c>
      <c r="O31" s="11" t="s">
        <v>110</v>
      </c>
      <c r="Q31" t="s">
        <v>208</v>
      </c>
      <c r="R31" s="120" t="s">
        <v>456</v>
      </c>
      <c r="S31" s="42">
        <f>SIGN(SUMPRODUCT($T$3:$AQ$3,$T31:$AQ31))*(MAX($S$3:S30)+1)</f>
        <v>0</v>
      </c>
      <c r="T31" s="31"/>
      <c r="U31" s="31"/>
      <c r="V31" s="31"/>
      <c r="W31" s="31"/>
      <c r="X31" s="31"/>
      <c r="Y31" s="31"/>
      <c r="Z31" s="31"/>
      <c r="AA31" s="31"/>
      <c r="AB31" s="31">
        <v>1</v>
      </c>
      <c r="AC31" s="31"/>
      <c r="AD31" s="31"/>
      <c r="AE31" s="31"/>
      <c r="AF31" s="31"/>
      <c r="AG31" s="31"/>
      <c r="AH31" s="31"/>
      <c r="AI31" s="31"/>
      <c r="AJ31" s="31"/>
      <c r="AK31" s="31"/>
      <c r="AL31" s="31"/>
      <c r="AM31" s="31"/>
      <c r="AN31" s="31"/>
      <c r="AO31" s="31"/>
      <c r="AP31" s="31"/>
      <c r="AQ31" s="31"/>
    </row>
    <row r="32" spans="2:48" x14ac:dyDescent="0.35">
      <c r="B32" s="120" t="s">
        <v>210</v>
      </c>
      <c r="C32">
        <f>IF(B32="","",IFERROR(IFERROR(IFERROR(VLOOKUP(B32,Table6[[Tool Name]:[MS Prevalence]],2,FALSE),VLOOKUP(B32,Table3[[Typed Name]:[MS Prevalence]],3,FALSE)),VLOOKUP(B32,Table4[[Country]:[Estimated prevalence of modern slavery per 1,000 population]],2,FALSE)),0))</f>
        <v>1.82606041431427</v>
      </c>
      <c r="D32" s="20" t="s">
        <v>210</v>
      </c>
      <c r="E32" s="22">
        <f>IFERROR(VLOOKUP(Table2[[#This Row],[Country]],Table6[[Tool Name]:[MS Prevalence]],2,FALSE),999)</f>
        <v>1.82606041431427</v>
      </c>
      <c r="F32" s="6" t="str">
        <f>LEFT(Table2[[#This Row],[Country]],4)</f>
        <v>Cana</v>
      </c>
      <c r="G32" s="6" cm="1">
        <f t="array" ref="G32">SUMPRODUCT(--(Table2[[#This Row],[Country]]=Input!$B$39:$C$58))+SUMPRODUCT(--(Table2[[#This Row],[Country]]=Table3[Tool Name]),--(Table3[Selected]&gt;0))</f>
        <v>0</v>
      </c>
      <c r="H32" s="6" t="b">
        <f>IFERROR(MATCH(Table2[[#This Row],[Country]],GSI!F:F,0)&gt;0,FALSE)</f>
        <v>0</v>
      </c>
      <c r="M32" s="120" t="s">
        <v>152</v>
      </c>
      <c r="N32" s="11" t="s">
        <v>152</v>
      </c>
      <c r="O32" s="11" t="s">
        <v>139</v>
      </c>
      <c r="Q32" t="s">
        <v>118</v>
      </c>
      <c r="R32" s="120" t="s">
        <v>712</v>
      </c>
      <c r="S32" s="42">
        <f>SIGN(SUMPRODUCT($T$3:$AQ$3,$T32:$AQ32))*(MAX($S$3:S31)+1)</f>
        <v>0</v>
      </c>
      <c r="T32" s="31"/>
      <c r="U32" s="31"/>
      <c r="V32" s="31"/>
      <c r="W32" s="31"/>
      <c r="X32" s="31"/>
      <c r="Y32" s="31"/>
      <c r="Z32" s="31"/>
      <c r="AA32" s="31"/>
      <c r="AB32" s="31">
        <v>1</v>
      </c>
      <c r="AC32" s="31"/>
      <c r="AD32" s="31"/>
      <c r="AE32" s="31"/>
      <c r="AF32" s="31">
        <v>1</v>
      </c>
      <c r="AG32" s="31"/>
      <c r="AH32" s="31"/>
      <c r="AI32" s="31"/>
      <c r="AJ32" s="31"/>
      <c r="AK32" s="31"/>
      <c r="AL32" s="31"/>
      <c r="AM32" s="31"/>
      <c r="AN32" s="31"/>
      <c r="AO32" s="31"/>
      <c r="AP32" s="31"/>
      <c r="AQ32" s="31"/>
    </row>
    <row r="33" spans="2:43" x14ac:dyDescent="0.35">
      <c r="B33" s="120" t="s">
        <v>213</v>
      </c>
      <c r="C33">
        <f>IF(B33="","",IFERROR(IFERROR(IFERROR(VLOOKUP(B33,Table6[[Tool Name]:[MS Prevalence]],2,FALSE),VLOOKUP(B33,Table3[[Typed Name]:[MS Prevalence]],3,FALSE)),VLOOKUP(B33,Table4[[Country]:[Estimated prevalence of modern slavery per 1,000 population]],2,FALSE)),0))</f>
        <v>0</v>
      </c>
      <c r="D33" s="20" t="s">
        <v>213</v>
      </c>
      <c r="E33" s="22">
        <f>IFERROR(VLOOKUP(Table2[[#This Row],[Country]],Table6[[Tool Name]:[MS Prevalence]],2,FALSE),999)</f>
        <v>0</v>
      </c>
      <c r="F33" s="6" t="str">
        <f>LEFT(Table2[[#This Row],[Country]],4)</f>
        <v>Cape</v>
      </c>
      <c r="G33" s="6" cm="1">
        <f t="array" ref="G33">SUMPRODUCT(--(Table2[[#This Row],[Country]]=Input!$B$39:$C$58))+SUMPRODUCT(--(Table2[[#This Row],[Country]]=Table3[Tool Name]),--(Table3[Selected]&gt;0))</f>
        <v>0</v>
      </c>
      <c r="H33" s="6" t="b">
        <f>IFERROR(MATCH(Table2[[#This Row],[Country]],GSI!F:F,0)&gt;0,FALSE)</f>
        <v>0</v>
      </c>
      <c r="M33" s="120" t="s">
        <v>152</v>
      </c>
      <c r="N33" s="11" t="s">
        <v>152</v>
      </c>
      <c r="O33" s="11" t="s">
        <v>211</v>
      </c>
      <c r="Q33" t="s">
        <v>212</v>
      </c>
      <c r="R33" s="120" t="s">
        <v>182</v>
      </c>
      <c r="S33" s="42">
        <f>SIGN(SUMPRODUCT($T$3:$AQ$3,$T33:$AQ33))*(MAX($S$3:S32)+1)</f>
        <v>0</v>
      </c>
      <c r="T33" s="31">
        <v>1</v>
      </c>
      <c r="U33" s="31"/>
      <c r="V33" s="31"/>
      <c r="W33" s="31"/>
      <c r="X33" s="31"/>
      <c r="Y33" s="31"/>
      <c r="Z33" s="31"/>
      <c r="AA33" s="31"/>
      <c r="AB33" s="31">
        <v>1</v>
      </c>
      <c r="AC33" s="31"/>
      <c r="AD33" s="31"/>
      <c r="AE33" s="31"/>
      <c r="AF33" s="31"/>
      <c r="AG33" s="31"/>
      <c r="AH33" s="31"/>
      <c r="AI33" s="31"/>
      <c r="AJ33" s="31"/>
      <c r="AK33" s="31"/>
      <c r="AL33" s="31"/>
      <c r="AM33" s="31"/>
      <c r="AN33" s="31"/>
      <c r="AO33" s="31"/>
      <c r="AP33" s="31"/>
      <c r="AQ33" s="31"/>
    </row>
    <row r="34" spans="2:43" x14ac:dyDescent="0.35">
      <c r="B34" s="120" t="s">
        <v>216</v>
      </c>
      <c r="C34">
        <f>IF(B34="","",IFERROR(IFERROR(IFERROR(VLOOKUP(B34,Table6[[Tool Name]:[MS Prevalence]],2,FALSE),VLOOKUP(B34,Table3[[Typed Name]:[MS Prevalence]],3,FALSE)),VLOOKUP(B34,Table4[[Country]:[Estimated prevalence of modern slavery per 1,000 population]],2,FALSE)),0))</f>
        <v>5.2473850250244141</v>
      </c>
      <c r="D34" s="20" t="s">
        <v>216</v>
      </c>
      <c r="E34" s="22">
        <f>IFERROR(VLOOKUP(Table2[[#This Row],[Country]],Table6[[Tool Name]:[MS Prevalence]],2,FALSE),999)</f>
        <v>5.2473850250244141</v>
      </c>
      <c r="F34" s="6" t="str">
        <f>LEFT(Table2[[#This Row],[Country]],4)</f>
        <v>Cent</v>
      </c>
      <c r="G34" s="6" cm="1">
        <f t="array" ref="G34">SUMPRODUCT(--(Table2[[#This Row],[Country]]=Input!$B$39:$C$58))+SUMPRODUCT(--(Table2[[#This Row],[Country]]=Table3[Tool Name]),--(Table3[Selected]&gt;0))</f>
        <v>0</v>
      </c>
      <c r="H34" s="6" t="b">
        <f>IFERROR(MATCH(Table2[[#This Row],[Country]],GSI!F:F,0)&gt;0,FALSE)</f>
        <v>0</v>
      </c>
      <c r="M34" s="120" t="s">
        <v>152</v>
      </c>
      <c r="N34" s="11" t="s">
        <v>152</v>
      </c>
      <c r="O34" s="11" t="s">
        <v>214</v>
      </c>
      <c r="Q34" t="s">
        <v>215</v>
      </c>
      <c r="R34" s="120" t="s">
        <v>713</v>
      </c>
      <c r="S34" s="42">
        <f>SIGN(SUMPRODUCT($T$3:$AQ$3,$T34:$AQ34))*(MAX($S$3:S33)+1)</f>
        <v>0</v>
      </c>
      <c r="T34" s="31"/>
      <c r="U34" s="31"/>
      <c r="V34" s="31"/>
      <c r="W34" s="31"/>
      <c r="X34" s="31"/>
      <c r="Y34" s="31"/>
      <c r="Z34" s="31"/>
      <c r="AA34" s="31"/>
      <c r="AB34" s="31">
        <v>1</v>
      </c>
      <c r="AC34" s="31"/>
      <c r="AD34" s="31"/>
      <c r="AE34" s="31"/>
      <c r="AF34" s="31"/>
      <c r="AG34" s="31"/>
      <c r="AH34" s="31"/>
      <c r="AI34" s="31"/>
      <c r="AJ34" s="31"/>
      <c r="AK34" s="31"/>
      <c r="AL34" s="31"/>
      <c r="AM34" s="31"/>
      <c r="AN34" s="31"/>
      <c r="AO34" s="31"/>
      <c r="AP34" s="31"/>
      <c r="AQ34" s="31"/>
    </row>
    <row r="35" spans="2:43" x14ac:dyDescent="0.35">
      <c r="B35" s="120" t="s">
        <v>219</v>
      </c>
      <c r="C35">
        <f>IF(B35="","",IFERROR(IFERROR(IFERROR(VLOOKUP(B35,Table6[[Tool Name]:[MS Prevalence]],2,FALSE),VLOOKUP(B35,Table3[[Typed Name]:[MS Prevalence]],3,FALSE)),VLOOKUP(B35,Table4[[Country]:[Estimated prevalence of modern slavery per 1,000 population]],2,FALSE)),0))</f>
        <v>5.881432056427002</v>
      </c>
      <c r="D35" s="20" t="s">
        <v>219</v>
      </c>
      <c r="E35" s="22">
        <f>IFERROR(VLOOKUP(Table2[[#This Row],[Country]],Table6[[Tool Name]:[MS Prevalence]],2,FALSE),999)</f>
        <v>5.881432056427002</v>
      </c>
      <c r="F35" s="6" t="str">
        <f>LEFT(Table2[[#This Row],[Country]],4)</f>
        <v>Chad</v>
      </c>
      <c r="G35" s="6" cm="1">
        <f t="array" ref="G35">SUMPRODUCT(--(Table2[[#This Row],[Country]]=Input!$B$39:$C$58))+SUMPRODUCT(--(Table2[[#This Row],[Country]]=Table3[Tool Name]),--(Table3[Selected]&gt;0))</f>
        <v>0</v>
      </c>
      <c r="H35" s="6" t="b">
        <f>IFERROR(MATCH(Table2[[#This Row],[Country]],GSI!F:F,0)&gt;0,FALSE)</f>
        <v>0</v>
      </c>
      <c r="M35" s="120" t="s">
        <v>161</v>
      </c>
      <c r="N35" s="11" t="s">
        <v>161</v>
      </c>
      <c r="O35" s="11" t="s">
        <v>217</v>
      </c>
      <c r="Q35" t="s">
        <v>218</v>
      </c>
      <c r="R35" s="120" t="s">
        <v>356</v>
      </c>
      <c r="S35" s="42">
        <f>SIGN(SUMPRODUCT($T$3:$AQ$3,$T35:$AQ35))*(MAX($S$3:S34)+1)</f>
        <v>0</v>
      </c>
      <c r="T35" s="31"/>
      <c r="U35" s="31"/>
      <c r="V35" s="31"/>
      <c r="W35" s="31"/>
      <c r="X35" s="31"/>
      <c r="Y35" s="31"/>
      <c r="Z35" s="31"/>
      <c r="AA35" s="31"/>
      <c r="AB35" s="31">
        <v>1</v>
      </c>
      <c r="AC35" s="31"/>
      <c r="AD35" s="31"/>
      <c r="AE35" s="31"/>
      <c r="AF35" s="31"/>
      <c r="AG35" s="31"/>
      <c r="AH35" s="31"/>
      <c r="AI35" s="31"/>
      <c r="AJ35" s="31"/>
      <c r="AK35" s="31"/>
      <c r="AL35" s="31"/>
      <c r="AM35" s="31"/>
      <c r="AN35" s="31"/>
      <c r="AO35" s="31"/>
      <c r="AP35" s="31"/>
      <c r="AQ35" s="31"/>
    </row>
    <row r="36" spans="2:43" x14ac:dyDescent="0.35">
      <c r="B36" s="120" t="s">
        <v>222</v>
      </c>
      <c r="C36">
        <f>IF(B36="","",IFERROR(IFERROR(IFERROR(VLOOKUP(B36,Table6[[Tool Name]:[MS Prevalence]],2,FALSE),VLOOKUP(B36,Table3[[Typed Name]:[MS Prevalence]],3,FALSE)),VLOOKUP(B36,Table4[[Country]:[Estimated prevalence of modern slavery per 1,000 population]],2,FALSE)),0))</f>
        <v>3.1733758449554439</v>
      </c>
      <c r="D36" s="20" t="s">
        <v>222</v>
      </c>
      <c r="E36" s="22">
        <f>IFERROR(VLOOKUP(Table2[[#This Row],[Country]],Table6[[Tool Name]:[MS Prevalence]],2,FALSE),999)</f>
        <v>3.1733758449554439</v>
      </c>
      <c r="F36" s="6" t="str">
        <f>LEFT(Table2[[#This Row],[Country]],4)</f>
        <v>Chil</v>
      </c>
      <c r="G36" s="6" cm="1">
        <f t="array" ref="G36">SUMPRODUCT(--(Table2[[#This Row],[Country]]=Input!$B$39:$C$58))+SUMPRODUCT(--(Table2[[#This Row],[Country]]=Table3[Tool Name]),--(Table3[Selected]&gt;0))</f>
        <v>0</v>
      </c>
      <c r="H36" s="6" t="b">
        <f>IFERROR(MATCH(Table2[[#This Row],[Country]],GSI!F:F,0)&gt;0,FALSE)</f>
        <v>0</v>
      </c>
      <c r="M36" s="120" t="s">
        <v>161</v>
      </c>
      <c r="N36" s="11" t="s">
        <v>161</v>
      </c>
      <c r="O36" s="11" t="s">
        <v>220</v>
      </c>
      <c r="Q36" t="s">
        <v>221</v>
      </c>
      <c r="R36" s="120" t="s">
        <v>462</v>
      </c>
      <c r="S36" s="42">
        <f>SIGN(SUMPRODUCT($T$3:$AQ$3,$T36:$AQ36))*(MAX($S$3:S35)+1)</f>
        <v>0</v>
      </c>
      <c r="T36" s="31"/>
      <c r="U36" s="31"/>
      <c r="V36" s="31"/>
      <c r="W36" s="31"/>
      <c r="X36" s="31"/>
      <c r="Y36" s="31"/>
      <c r="Z36" s="31"/>
      <c r="AA36" s="31"/>
      <c r="AB36" s="31">
        <v>1</v>
      </c>
      <c r="AC36" s="31"/>
      <c r="AD36" s="31"/>
      <c r="AE36" s="31"/>
      <c r="AF36" s="31"/>
      <c r="AG36" s="31"/>
      <c r="AH36" s="31"/>
      <c r="AI36" s="31"/>
      <c r="AJ36" s="31"/>
      <c r="AK36" s="31"/>
      <c r="AL36" s="31"/>
      <c r="AM36" s="31"/>
      <c r="AN36" s="31"/>
      <c r="AO36" s="31"/>
      <c r="AP36" s="31"/>
      <c r="AQ36" s="31"/>
    </row>
    <row r="37" spans="2:43" x14ac:dyDescent="0.35">
      <c r="B37" s="120" t="s">
        <v>97</v>
      </c>
      <c r="C37">
        <f>IF(B37="","",IFERROR(IFERROR(IFERROR(VLOOKUP(B37,Table6[[Tool Name]:[MS Prevalence]],2,FALSE),VLOOKUP(B37,Table3[[Typed Name]:[MS Prevalence]],3,FALSE)),VLOOKUP(B37,Table4[[Country]:[Estimated prevalence of modern slavery per 1,000 population]],2,FALSE)),0))</f>
        <v>4.0098066329956046</v>
      </c>
      <c r="D37" s="20" t="s">
        <v>97</v>
      </c>
      <c r="E37" s="22">
        <f>IFERROR(VLOOKUP(Table2[[#This Row],[Country]],Table6[[Tool Name]:[MS Prevalence]],2,FALSE),999)</f>
        <v>4.0098066329956046</v>
      </c>
      <c r="F37" s="6" t="str">
        <f>LEFT(Table2[[#This Row],[Country]],4)</f>
        <v>Chin</v>
      </c>
      <c r="G37" s="6" cm="1">
        <f t="array" ref="G37">SUMPRODUCT(--(Table2[[#This Row],[Country]]=Input!$B$39:$C$58))+SUMPRODUCT(--(Table2[[#This Row],[Country]]=Table3[Tool Name]),--(Table3[Selected]&gt;0))</f>
        <v>0</v>
      </c>
      <c r="H37" s="6" t="b">
        <f>IFERROR(MATCH(Table2[[#This Row],[Country]],GSI!F:F,0)&gt;0,FALSE)</f>
        <v>0</v>
      </c>
      <c r="M37" s="120" t="s">
        <v>169</v>
      </c>
      <c r="N37" s="11" t="s">
        <v>169</v>
      </c>
      <c r="O37" s="11" t="s">
        <v>163</v>
      </c>
      <c r="Q37" t="s">
        <v>223</v>
      </c>
      <c r="R37" s="120" t="s">
        <v>397</v>
      </c>
      <c r="S37" s="42">
        <f>SIGN(SUMPRODUCT($T$3:$AQ$3,$T37:$AQ37))*(MAX($S$3:S36)+1)</f>
        <v>0</v>
      </c>
      <c r="T37" s="31"/>
      <c r="U37" s="31"/>
      <c r="V37" s="31"/>
      <c r="W37" s="31"/>
      <c r="X37" s="31"/>
      <c r="Y37" s="31"/>
      <c r="Z37" s="31"/>
      <c r="AA37" s="31"/>
      <c r="AB37" s="31">
        <v>1</v>
      </c>
      <c r="AC37" s="31"/>
      <c r="AD37" s="31"/>
      <c r="AE37" s="31"/>
      <c r="AF37" s="31"/>
      <c r="AG37" s="31"/>
      <c r="AH37" s="31"/>
      <c r="AI37" s="31"/>
      <c r="AJ37" s="31"/>
      <c r="AK37" s="31"/>
      <c r="AL37" s="31"/>
      <c r="AM37" s="31"/>
      <c r="AN37" s="31"/>
      <c r="AO37" s="31"/>
      <c r="AP37" s="31"/>
      <c r="AQ37" s="31"/>
    </row>
    <row r="38" spans="2:43" x14ac:dyDescent="0.35">
      <c r="B38" s="120" t="s">
        <v>224</v>
      </c>
      <c r="C38">
        <f>IF(B38="","",IFERROR(IFERROR(IFERROR(VLOOKUP(B38,Table6[[Tool Name]:[MS Prevalence]],2,FALSE),VLOOKUP(B38,Table3[[Typed Name]:[MS Prevalence]],3,FALSE)),VLOOKUP(B38,Table4[[Country]:[Estimated prevalence of modern slavery per 1,000 population]],2,FALSE)),0))</f>
        <v>7.8080353736877441</v>
      </c>
      <c r="D38" s="20" t="s">
        <v>224</v>
      </c>
      <c r="E38" s="22">
        <f>IFERROR(VLOOKUP(Table2[[#This Row],[Country]],Table6[[Tool Name]:[MS Prevalence]],2,FALSE),999)</f>
        <v>7.8080353736877441</v>
      </c>
      <c r="F38" s="6" t="str">
        <f>LEFT(Table2[[#This Row],[Country]],4)</f>
        <v>Colo</v>
      </c>
      <c r="G38" s="6" cm="1">
        <f t="array" ref="G38">SUMPRODUCT(--(Table2[[#This Row],[Country]]=Input!$B$39:$C$58))+SUMPRODUCT(--(Table2[[#This Row],[Country]]=Table3[Tool Name]),--(Table3[Selected]&gt;0))</f>
        <v>0</v>
      </c>
      <c r="H38" s="6" t="b">
        <f>IFERROR(MATCH(Table2[[#This Row],[Country]],GSI!F:F,0)&gt;0,FALSE)</f>
        <v>0</v>
      </c>
      <c r="M38" s="120" t="s">
        <v>169</v>
      </c>
      <c r="N38" s="11" t="s">
        <v>169</v>
      </c>
      <c r="O38" s="11" t="s">
        <v>206</v>
      </c>
      <c r="Q38" t="s">
        <v>177</v>
      </c>
      <c r="R38" s="120" t="s">
        <v>152</v>
      </c>
      <c r="S38" s="42">
        <f>SIGN(SUMPRODUCT($T$3:$AQ$3,$T38:$AQ38))*(MAX($S$3:S37)+1)</f>
        <v>0</v>
      </c>
      <c r="T38" s="31"/>
      <c r="U38" s="31"/>
      <c r="V38" s="31"/>
      <c r="W38" s="31"/>
      <c r="X38" s="31"/>
      <c r="Y38" s="31"/>
      <c r="Z38" s="31"/>
      <c r="AA38" s="31"/>
      <c r="AB38" s="31">
        <v>1</v>
      </c>
      <c r="AC38" s="31"/>
      <c r="AD38" s="31"/>
      <c r="AE38" s="31"/>
      <c r="AF38" s="31"/>
      <c r="AG38" s="31"/>
      <c r="AH38" s="31"/>
      <c r="AI38" s="31"/>
      <c r="AJ38" s="31"/>
      <c r="AK38" s="31"/>
      <c r="AL38" s="31"/>
      <c r="AM38" s="31"/>
      <c r="AN38" s="31"/>
      <c r="AO38" s="31"/>
      <c r="AP38" s="31"/>
      <c r="AQ38" s="31"/>
    </row>
    <row r="39" spans="2:43" x14ac:dyDescent="0.35">
      <c r="B39" s="120" t="s">
        <v>226</v>
      </c>
      <c r="C39">
        <f>IF(B39="","",IFERROR(IFERROR(IFERROR(VLOOKUP(B39,Table6[[Tool Name]:[MS Prevalence]],2,FALSE),VLOOKUP(B39,Table3[[Typed Name]:[MS Prevalence]],3,FALSE)),VLOOKUP(B39,Table4[[Country]:[Estimated prevalence of modern slavery per 1,000 population]],2,FALSE)),0))</f>
        <v>0</v>
      </c>
      <c r="D39" s="20" t="s">
        <v>226</v>
      </c>
      <c r="E39" s="22">
        <f>IFERROR(VLOOKUP(Table2[[#This Row],[Country]],Table6[[Tool Name]:[MS Prevalence]],2,FALSE),999)</f>
        <v>0</v>
      </c>
      <c r="F39" s="6" t="str">
        <f>LEFT(Table2[[#This Row],[Country]],4)</f>
        <v>Como</v>
      </c>
      <c r="G39" s="6" cm="1">
        <f t="array" ref="G39">SUMPRODUCT(--(Table2[[#This Row],[Country]]=Input!$B$39:$C$58))+SUMPRODUCT(--(Table2[[#This Row],[Country]]=Table3[Tool Name]),--(Table3[Selected]&gt;0))</f>
        <v>0</v>
      </c>
      <c r="H39" s="6" t="b">
        <f>IFERROR(MATCH(Table2[[#This Row],[Country]],GSI!F:F,0)&gt;0,FALSE)</f>
        <v>0</v>
      </c>
      <c r="M39" s="120" t="s">
        <v>169</v>
      </c>
      <c r="N39" s="11" t="s">
        <v>169</v>
      </c>
      <c r="O39" s="11" t="s">
        <v>145</v>
      </c>
      <c r="Q39" t="s">
        <v>225</v>
      </c>
      <c r="R39" s="120" t="s">
        <v>356</v>
      </c>
      <c r="S39" s="42">
        <f>SIGN(SUMPRODUCT($T$3:$AQ$3,$T39:$AQ39))*(MAX($S$3:S38)+1)</f>
        <v>0</v>
      </c>
      <c r="T39" s="31"/>
      <c r="U39" s="31"/>
      <c r="V39" s="31"/>
      <c r="W39" s="31"/>
      <c r="X39" s="31"/>
      <c r="Y39" s="31"/>
      <c r="Z39" s="31"/>
      <c r="AA39" s="31"/>
      <c r="AB39" s="31">
        <v>1</v>
      </c>
      <c r="AC39" s="31"/>
      <c r="AD39" s="31"/>
      <c r="AE39" s="31"/>
      <c r="AF39" s="31"/>
      <c r="AG39" s="31"/>
      <c r="AH39" s="31"/>
      <c r="AI39" s="31"/>
      <c r="AJ39" s="31"/>
      <c r="AK39" s="31"/>
      <c r="AL39" s="31"/>
      <c r="AM39" s="31"/>
      <c r="AN39" s="31"/>
      <c r="AO39" s="31"/>
      <c r="AP39" s="31"/>
      <c r="AQ39" s="31"/>
    </row>
    <row r="40" spans="2:43" x14ac:dyDescent="0.35">
      <c r="B40" s="120" t="s">
        <v>412</v>
      </c>
      <c r="C40">
        <f>IF(B40="","",IFERROR(IFERROR(IFERROR(VLOOKUP(B40,Table6[[Tool Name]:[MS Prevalence]],2,FALSE),VLOOKUP(B40,Table3[[Typed Name]:[MS Prevalence]],3,FALSE)),VLOOKUP(B40,Table4[[Country]:[Estimated prevalence of modern slavery per 1,000 population]],2,FALSE)),0))</f>
        <v>7.990757942199707</v>
      </c>
      <c r="D40" s="20" t="s">
        <v>412</v>
      </c>
      <c r="E40" s="22">
        <f>IFERROR(VLOOKUP(Table2[[#This Row],[Country]],Table6[[Tool Name]:[MS Prevalence]],2,FALSE),999)</f>
        <v>7.990757942199707</v>
      </c>
      <c r="F40" s="6" t="str">
        <f>LEFT(Table2[[#This Row],[Country]],4)</f>
        <v>Cong</v>
      </c>
      <c r="G40" s="6" cm="1">
        <f t="array" ref="G40">SUMPRODUCT(--(Table2[[#This Row],[Country]]=Input!$B$39:$C$58))+SUMPRODUCT(--(Table2[[#This Row],[Country]]=Table3[Tool Name]),--(Table3[Selected]&gt;0))</f>
        <v>0</v>
      </c>
      <c r="H40" s="6" t="b">
        <f>IFERROR(MATCH(Table2[[#This Row],[Country]],GSI!F:F,0)&gt;0,FALSE)</f>
        <v>0</v>
      </c>
      <c r="M40" s="120" t="s">
        <v>173</v>
      </c>
      <c r="N40" s="11" t="s">
        <v>173</v>
      </c>
      <c r="O40" s="11" t="s">
        <v>103</v>
      </c>
      <c r="Q40" t="s">
        <v>227</v>
      </c>
      <c r="R40" s="120" t="s">
        <v>224</v>
      </c>
      <c r="S40" s="42">
        <f>SIGN(SUMPRODUCT($T$3:$AQ$3,$T40:$AQ40))*(MAX($S$3:S39)+1)</f>
        <v>0</v>
      </c>
      <c r="T40" s="31"/>
      <c r="U40" s="31"/>
      <c r="V40" s="31"/>
      <c r="W40" s="31"/>
      <c r="X40" s="31"/>
      <c r="Y40" s="31"/>
      <c r="Z40" s="31"/>
      <c r="AA40" s="31"/>
      <c r="AB40" s="31">
        <v>1</v>
      </c>
      <c r="AC40" s="31"/>
      <c r="AD40" s="31"/>
      <c r="AE40" s="31"/>
      <c r="AF40" s="31"/>
      <c r="AG40" s="31"/>
      <c r="AH40" s="31"/>
      <c r="AI40" s="31"/>
      <c r="AJ40" s="31"/>
      <c r="AK40" s="31"/>
      <c r="AL40" s="31"/>
      <c r="AM40" s="31"/>
      <c r="AN40" s="31"/>
      <c r="AO40" s="31"/>
      <c r="AP40" s="31"/>
      <c r="AQ40" s="31"/>
    </row>
    <row r="41" spans="2:43" x14ac:dyDescent="0.35">
      <c r="B41" s="120" t="s">
        <v>228</v>
      </c>
      <c r="C41">
        <f>IF(B41="","",IFERROR(IFERROR(IFERROR(VLOOKUP(B41,Table6[[Tool Name]:[MS Prevalence]],2,FALSE),VLOOKUP(B41,Table3[[Typed Name]:[MS Prevalence]],3,FALSE)),VLOOKUP(B41,Table4[[Country]:[Estimated prevalence of modern slavery per 1,000 population]],2,FALSE)),0))</f>
        <v>3.1939973831176758</v>
      </c>
      <c r="D41" s="20" t="s">
        <v>228</v>
      </c>
      <c r="E41" s="22">
        <f>IFERROR(VLOOKUP(Table2[[#This Row],[Country]],Table6[[Tool Name]:[MS Prevalence]],2,FALSE),999)</f>
        <v>3.1939973831176758</v>
      </c>
      <c r="F41" s="6" t="str">
        <f>LEFT(Table2[[#This Row],[Country]],4)</f>
        <v>Cost</v>
      </c>
      <c r="G41" s="6" cm="1">
        <f t="array" ref="G41">SUMPRODUCT(--(Table2[[#This Row],[Country]]=Input!$B$39:$C$58))+SUMPRODUCT(--(Table2[[#This Row],[Country]]=Table3[Tool Name]),--(Table3[Selected]&gt;0))</f>
        <v>0</v>
      </c>
      <c r="H41" s="6" t="b">
        <f>IFERROR(MATCH(Table2[[#This Row],[Country]],GSI!F:F,0)&gt;0,FALSE)</f>
        <v>0</v>
      </c>
      <c r="M41" s="120" t="s">
        <v>173</v>
      </c>
      <c r="N41" s="11" t="s">
        <v>173</v>
      </c>
      <c r="O41" s="11" t="s">
        <v>229</v>
      </c>
      <c r="Q41" t="s">
        <v>129</v>
      </c>
      <c r="R41" s="120" t="s">
        <v>120</v>
      </c>
      <c r="S41" s="42">
        <f>SIGN(SUMPRODUCT($T$3:$AQ$3,$T41:$AQ41))*(MAX($S$3:S40)+1)</f>
        <v>0</v>
      </c>
      <c r="T41" s="31"/>
      <c r="U41" s="31"/>
      <c r="V41" s="31"/>
      <c r="W41" s="31"/>
      <c r="X41" s="31"/>
      <c r="Y41" s="31"/>
      <c r="Z41" s="31"/>
      <c r="AA41" s="31"/>
      <c r="AB41" s="31">
        <v>1</v>
      </c>
      <c r="AC41" s="31"/>
      <c r="AD41" s="31"/>
      <c r="AE41" s="31"/>
      <c r="AF41" s="31"/>
      <c r="AG41" s="31"/>
      <c r="AH41" s="31"/>
      <c r="AI41" s="31"/>
      <c r="AJ41" s="31"/>
      <c r="AK41" s="31"/>
      <c r="AL41" s="31"/>
      <c r="AM41" s="31"/>
      <c r="AN41" s="31"/>
      <c r="AO41" s="31"/>
      <c r="AP41" s="31"/>
      <c r="AQ41" s="31"/>
    </row>
    <row r="42" spans="2:43" x14ac:dyDescent="0.35">
      <c r="B42" s="120" t="s">
        <v>231</v>
      </c>
      <c r="C42">
        <f>IF(B42="","",IFERROR(IFERROR(IFERROR(VLOOKUP(B42,Table6[[Tool Name]:[MS Prevalence]],2,FALSE),VLOOKUP(B42,Table3[[Typed Name]:[MS Prevalence]],3,FALSE)),VLOOKUP(B42,Table4[[Country]:[Estimated prevalence of modern slavery per 1,000 population]],2,FALSE)),0))</f>
        <v>5.2431674003601074</v>
      </c>
      <c r="D42" s="20" t="s">
        <v>231</v>
      </c>
      <c r="E42" s="22">
        <f>IFERROR(VLOOKUP(Table2[[#This Row],[Country]],Table6[[Tool Name]:[MS Prevalence]],2,FALSE),999)</f>
        <v>5.2431674003601074</v>
      </c>
      <c r="F42" s="6" t="str">
        <f>LEFT(Table2[[#This Row],[Country]],4)</f>
        <v>Croa</v>
      </c>
      <c r="G42" s="6" cm="1">
        <f t="array" ref="G42">SUMPRODUCT(--(Table2[[#This Row],[Country]]=Input!$B$39:$C$58))+SUMPRODUCT(--(Table2[[#This Row],[Country]]=Table3[Tool Name]),--(Table3[Selected]&gt;0))</f>
        <v>0</v>
      </c>
      <c r="H42" s="6" t="b">
        <f>IFERROR(MATCH(Table2[[#This Row],[Country]],GSI!F:F,0)&gt;0,FALSE)</f>
        <v>0</v>
      </c>
      <c r="M42" s="120" t="s">
        <v>90</v>
      </c>
      <c r="N42" s="11" t="s">
        <v>90</v>
      </c>
      <c r="O42" s="11" t="s">
        <v>181</v>
      </c>
      <c r="Q42" t="s">
        <v>138</v>
      </c>
      <c r="R42" s="120" t="s">
        <v>714</v>
      </c>
      <c r="S42" s="42">
        <f>SIGN(SUMPRODUCT($T$3:$AQ$3,$T42:$AQ42))*(MAX($S$3:S41)+1)</f>
        <v>0</v>
      </c>
      <c r="T42" s="31"/>
      <c r="U42" s="31"/>
      <c r="V42" s="31"/>
      <c r="W42" s="31"/>
      <c r="X42" s="31"/>
      <c r="Y42" s="31"/>
      <c r="Z42" s="31"/>
      <c r="AA42" s="31"/>
      <c r="AB42" s="31">
        <v>1</v>
      </c>
      <c r="AC42" s="31"/>
      <c r="AD42" s="31"/>
      <c r="AE42" s="31"/>
      <c r="AF42" s="31"/>
      <c r="AG42" s="31"/>
      <c r="AH42" s="31"/>
      <c r="AI42" s="31"/>
      <c r="AJ42" s="31"/>
      <c r="AK42" s="31"/>
      <c r="AL42" s="31"/>
      <c r="AM42" s="31"/>
      <c r="AN42" s="31"/>
      <c r="AO42" s="31"/>
      <c r="AP42" s="31"/>
      <c r="AQ42" s="31"/>
    </row>
    <row r="43" spans="2:43" x14ac:dyDescent="0.35">
      <c r="B43" s="120" t="s">
        <v>233</v>
      </c>
      <c r="C43">
        <f>IF(B43="","",IFERROR(IFERROR(IFERROR(VLOOKUP(B43,Table6[[Tool Name]:[MS Prevalence]],2,FALSE),VLOOKUP(B43,Table3[[Typed Name]:[MS Prevalence]],3,FALSE)),VLOOKUP(B43,Table4[[Country]:[Estimated prevalence of modern slavery per 1,000 population]],2,FALSE)),0))</f>
        <v>5.4061322212219238</v>
      </c>
      <c r="D43" s="20" t="s">
        <v>233</v>
      </c>
      <c r="E43" s="22">
        <f>IFERROR(VLOOKUP(Table2[[#This Row],[Country]],Table6[[Tool Name]:[MS Prevalence]],2,FALSE),999)</f>
        <v>5.4061322212219238</v>
      </c>
      <c r="F43" s="6" t="str">
        <f>LEFT(Table2[[#This Row],[Country]],4)</f>
        <v>Cuba</v>
      </c>
      <c r="G43" s="6" cm="1">
        <f t="array" ref="G43">SUMPRODUCT(--(Table2[[#This Row],[Country]]=Input!$B$39:$C$58))+SUMPRODUCT(--(Table2[[#This Row],[Country]]=Table3[Tool Name]),--(Table3[Selected]&gt;0))</f>
        <v>0</v>
      </c>
      <c r="H43" s="6" t="b">
        <f>IFERROR(MATCH(Table2[[#This Row],[Country]],GSI!F:F,0)&gt;0,FALSE)</f>
        <v>0</v>
      </c>
      <c r="M43" s="120" t="s">
        <v>90</v>
      </c>
      <c r="N43" s="11" t="s">
        <v>90</v>
      </c>
      <c r="O43" s="11" t="s">
        <v>88</v>
      </c>
      <c r="Q43" t="s">
        <v>232</v>
      </c>
      <c r="R43" s="120" t="s">
        <v>462</v>
      </c>
      <c r="S43" s="42">
        <f>SIGN(SUMPRODUCT($T$3:$AQ$3,$T43:$AQ43))*(MAX($S$3:S42)+1)</f>
        <v>0</v>
      </c>
      <c r="T43" s="31"/>
      <c r="U43" s="31"/>
      <c r="V43" s="31"/>
      <c r="W43" s="31"/>
      <c r="X43" s="31"/>
      <c r="Y43" s="31"/>
      <c r="Z43" s="31"/>
      <c r="AA43" s="31"/>
      <c r="AB43" s="31">
        <v>1</v>
      </c>
      <c r="AC43" s="31"/>
      <c r="AD43" s="31"/>
      <c r="AE43" s="31"/>
      <c r="AF43" s="31"/>
      <c r="AG43" s="31"/>
      <c r="AH43" s="31"/>
      <c r="AI43" s="31"/>
      <c r="AJ43" s="31"/>
      <c r="AK43" s="31"/>
      <c r="AL43" s="31"/>
      <c r="AM43" s="31"/>
      <c r="AN43" s="31"/>
      <c r="AO43" s="31"/>
      <c r="AP43" s="31"/>
      <c r="AQ43" s="31"/>
    </row>
    <row r="44" spans="2:43" x14ac:dyDescent="0.35">
      <c r="B44" s="120" t="s">
        <v>235</v>
      </c>
      <c r="C44">
        <f>IF(B44="","",IFERROR(IFERROR(IFERROR(VLOOKUP(B44,Table6[[Tool Name]:[MS Prevalence]],2,FALSE),VLOOKUP(B44,Table3[[Typed Name]:[MS Prevalence]],3,FALSE)),VLOOKUP(B44,Table4[[Country]:[Estimated prevalence of modern slavery per 1,000 population]],2,FALSE)),0))</f>
        <v>8.0444421768188477</v>
      </c>
      <c r="D44" s="20" t="s">
        <v>235</v>
      </c>
      <c r="E44" s="22">
        <f>IFERROR(VLOOKUP(Table2[[#This Row],[Country]],Table6[[Tool Name]:[MS Prevalence]],2,FALSE),999)</f>
        <v>8.0444421768188477</v>
      </c>
      <c r="F44" s="6" t="str">
        <f>LEFT(Table2[[#This Row],[Country]],4)</f>
        <v>Cypr</v>
      </c>
      <c r="G44" s="6" cm="1">
        <f t="array" ref="G44">SUMPRODUCT(--(Table2[[#This Row],[Country]]=Input!$B$39:$C$58))+SUMPRODUCT(--(Table2[[#This Row],[Country]]=Table3[Tool Name]),--(Table3[Selected]&gt;0))</f>
        <v>0</v>
      </c>
      <c r="H44" s="6" t="b">
        <f>IFERROR(MATCH(Table2[[#This Row],[Country]],GSI!F:F,0)&gt;0,FALSE)</f>
        <v>0</v>
      </c>
      <c r="M44" s="120" t="s">
        <v>90</v>
      </c>
      <c r="N44" s="11" t="s">
        <v>90</v>
      </c>
      <c r="O44" s="11" t="s">
        <v>102</v>
      </c>
      <c r="Q44" t="s">
        <v>234</v>
      </c>
      <c r="R44" s="120" t="s">
        <v>403</v>
      </c>
      <c r="S44" s="42">
        <f>SIGN(SUMPRODUCT($T$3:$AQ$3,$T44:$AQ44))*(MAX($S$3:S43)+1)</f>
        <v>0</v>
      </c>
      <c r="T44" s="31"/>
      <c r="U44" s="31"/>
      <c r="V44" s="31"/>
      <c r="W44" s="31"/>
      <c r="X44" s="31"/>
      <c r="Y44" s="31"/>
      <c r="Z44" s="31"/>
      <c r="AA44" s="31"/>
      <c r="AB44" s="31">
        <v>1</v>
      </c>
      <c r="AC44" s="31"/>
      <c r="AD44" s="31"/>
      <c r="AE44" s="31"/>
      <c r="AF44" s="31"/>
      <c r="AG44" s="31"/>
      <c r="AH44" s="31"/>
      <c r="AI44" s="31"/>
      <c r="AJ44" s="31"/>
      <c r="AK44" s="31"/>
      <c r="AL44" s="31"/>
      <c r="AM44" s="31"/>
      <c r="AN44" s="31"/>
      <c r="AO44" s="31"/>
      <c r="AP44" s="31"/>
      <c r="AQ44" s="31"/>
    </row>
    <row r="45" spans="2:43" x14ac:dyDescent="0.35">
      <c r="B45" s="120" t="s">
        <v>238</v>
      </c>
      <c r="C45">
        <f>IF(B45="","",IFERROR(IFERROR(IFERROR(VLOOKUP(B45,Table6[[Tool Name]:[MS Prevalence]],2,FALSE),VLOOKUP(B45,Table3[[Typed Name]:[MS Prevalence]],3,FALSE)),VLOOKUP(B45,Table4[[Country]:[Estimated prevalence of modern slavery per 1,000 population]],2,FALSE)),0))</f>
        <v>4.2401094436645508</v>
      </c>
      <c r="D45" s="20" t="s">
        <v>238</v>
      </c>
      <c r="E45" s="22">
        <f>IFERROR(VLOOKUP(Table2[[#This Row],[Country]],Table6[[Tool Name]:[MS Prevalence]],2,FALSE),999)</f>
        <v>4.2401094436645508</v>
      </c>
      <c r="F45" s="6" t="str">
        <f>LEFT(Table2[[#This Row],[Country]],4)</f>
        <v>Czec</v>
      </c>
      <c r="G45" s="6" cm="1">
        <f t="array" ref="G45">SUMPRODUCT(--(Table2[[#This Row],[Country]]=Input!$B$39:$C$58))+SUMPRODUCT(--(Table2[[#This Row],[Country]]=Table3[Tool Name]),--(Table3[Selected]&gt;0))</f>
        <v>0</v>
      </c>
      <c r="H45" s="6" t="b">
        <f>IFERROR(MATCH(Table2[[#This Row],[Country]],GSI!F:F,0)&gt;0,FALSE)</f>
        <v>0</v>
      </c>
      <c r="M45" s="120" t="s">
        <v>90</v>
      </c>
      <c r="N45" s="11" t="s">
        <v>90</v>
      </c>
      <c r="O45" s="11" t="s">
        <v>236</v>
      </c>
      <c r="Q45" t="s">
        <v>237</v>
      </c>
      <c r="R45" s="120" t="s">
        <v>715</v>
      </c>
      <c r="S45" s="42">
        <f>SIGN(SUMPRODUCT($T$3:$AQ$3,$T45:$AQ45))*(MAX($S$3:S44)+1)</f>
        <v>0</v>
      </c>
      <c r="T45" s="31"/>
      <c r="U45" s="31"/>
      <c r="V45" s="31"/>
      <c r="W45" s="31"/>
      <c r="X45" s="31"/>
      <c r="Y45" s="31"/>
      <c r="Z45" s="31"/>
      <c r="AA45" s="31"/>
      <c r="AB45" s="31">
        <v>1</v>
      </c>
      <c r="AC45" s="31"/>
      <c r="AD45" s="31"/>
      <c r="AE45" s="31"/>
      <c r="AF45" s="31"/>
      <c r="AG45" s="31"/>
      <c r="AH45" s="31"/>
      <c r="AI45" s="31"/>
      <c r="AJ45" s="31"/>
      <c r="AK45" s="31"/>
      <c r="AL45" s="31"/>
      <c r="AM45" s="31"/>
      <c r="AN45" s="31"/>
      <c r="AO45" s="31"/>
      <c r="AP45" s="31"/>
      <c r="AQ45" s="31"/>
    </row>
    <row r="46" spans="2:43" x14ac:dyDescent="0.35">
      <c r="B46" s="120" t="s">
        <v>125</v>
      </c>
      <c r="C46">
        <f>IF(B46="","",IFERROR(IFERROR(IFERROR(VLOOKUP(B46,Table6[[Tool Name]:[MS Prevalence]],2,FALSE),VLOOKUP(B46,Table3[[Typed Name]:[MS Prevalence]],3,FALSE)),VLOOKUP(B46,Table4[[Country]:[Estimated prevalence of modern slavery per 1,000 population]],2,FALSE)),0))</f>
        <v>4.5472292900085449</v>
      </c>
      <c r="D46" s="20" t="s">
        <v>125</v>
      </c>
      <c r="E46" s="22">
        <f>IFERROR(VLOOKUP(Table2[[#This Row],[Country]],Table6[[Tool Name]:[MS Prevalence]],2,FALSE),999)</f>
        <v>4.5472292900085449</v>
      </c>
      <c r="F46" s="6" t="str">
        <f>LEFT(Table2[[#This Row],[Country]],4)</f>
        <v>Demo</v>
      </c>
      <c r="G46" s="6" cm="1">
        <f t="array" ref="G46">SUMPRODUCT(--(Table2[[#This Row],[Country]]=Input!$B$39:$C$58))+SUMPRODUCT(--(Table2[[#This Row],[Country]]=Table3[Tool Name]),--(Table3[Selected]&gt;0))</f>
        <v>0</v>
      </c>
      <c r="H46" s="6" t="b">
        <f>IFERROR(MATCH(Table2[[#This Row],[Country]],GSI!F:F,0)&gt;0,FALSE)</f>
        <v>0</v>
      </c>
      <c r="M46" s="120" t="s">
        <v>90</v>
      </c>
      <c r="N46" s="11" t="s">
        <v>90</v>
      </c>
      <c r="O46" s="11" t="s">
        <v>215</v>
      </c>
      <c r="Q46" t="s">
        <v>239</v>
      </c>
      <c r="R46" s="120" t="s">
        <v>207</v>
      </c>
      <c r="S46" s="42">
        <f>SIGN(SUMPRODUCT($T$3:$AQ$3,$T46:$AQ46))*(MAX($S$3:S45)+1)</f>
        <v>0</v>
      </c>
      <c r="T46" s="31"/>
      <c r="U46" s="31"/>
      <c r="V46" s="31"/>
      <c r="W46" s="31"/>
      <c r="X46" s="31"/>
      <c r="Y46" s="31"/>
      <c r="Z46" s="31"/>
      <c r="AA46" s="31"/>
      <c r="AB46" s="31">
        <v>1</v>
      </c>
      <c r="AC46" s="31"/>
      <c r="AD46" s="31"/>
      <c r="AE46" s="31"/>
      <c r="AF46" s="31"/>
      <c r="AG46" s="31"/>
      <c r="AH46" s="31"/>
      <c r="AI46" s="31"/>
      <c r="AJ46" s="31"/>
      <c r="AK46" s="31"/>
      <c r="AL46" s="31"/>
      <c r="AM46" s="31"/>
      <c r="AN46" s="31"/>
      <c r="AO46" s="31"/>
      <c r="AP46" s="31"/>
      <c r="AQ46" s="31"/>
    </row>
    <row r="47" spans="2:43" x14ac:dyDescent="0.35">
      <c r="B47" s="120" t="s">
        <v>242</v>
      </c>
      <c r="C47">
        <f>IF(B47="","",IFERROR(IFERROR(IFERROR(VLOOKUP(B47,Table6[[Tool Name]:[MS Prevalence]],2,FALSE),VLOOKUP(B47,Table3[[Typed Name]:[MS Prevalence]],3,FALSE)),VLOOKUP(B47,Table4[[Country]:[Estimated prevalence of modern slavery per 1,000 population]],2,FALSE)),0))</f>
        <v>0.64204007387161255</v>
      </c>
      <c r="D47" s="20" t="s">
        <v>242</v>
      </c>
      <c r="E47" s="22">
        <f>IFERROR(VLOOKUP(Table2[[#This Row],[Country]],Table6[[Tool Name]:[MS Prevalence]],2,FALSE),999)</f>
        <v>0.64204007387161255</v>
      </c>
      <c r="F47" s="6" t="str">
        <f>LEFT(Table2[[#This Row],[Country]],4)</f>
        <v>Denm</v>
      </c>
      <c r="G47" s="6" cm="1">
        <f t="array" ref="G47">SUMPRODUCT(--(Table2[[#This Row],[Country]]=Input!$B$39:$C$58))+SUMPRODUCT(--(Table2[[#This Row],[Country]]=Table3[Tool Name]),--(Table3[Selected]&gt;0))</f>
        <v>0</v>
      </c>
      <c r="H47" s="6" t="b">
        <f>IFERROR(MATCH(Table2[[#This Row],[Country]],GSI!F:F,0)&gt;0,FALSE)</f>
        <v>0</v>
      </c>
      <c r="M47" s="120" t="s">
        <v>90</v>
      </c>
      <c r="N47" s="11" t="s">
        <v>90</v>
      </c>
      <c r="O47" s="11" t="s">
        <v>240</v>
      </c>
      <c r="Q47" t="s">
        <v>241</v>
      </c>
      <c r="R47" s="120" t="s">
        <v>716</v>
      </c>
      <c r="S47" s="42">
        <f>SIGN(SUMPRODUCT($T$3:$AQ$3,$T47:$AQ47))*(MAX($S$3:S46)+1)</f>
        <v>0</v>
      </c>
      <c r="T47" s="31"/>
      <c r="U47" s="31"/>
      <c r="V47" s="31"/>
      <c r="W47" s="31"/>
      <c r="X47" s="31"/>
      <c r="Y47" s="31"/>
      <c r="Z47" s="31"/>
      <c r="AA47" s="31"/>
      <c r="AB47" s="31">
        <v>1</v>
      </c>
      <c r="AC47" s="31"/>
      <c r="AD47" s="31"/>
      <c r="AE47" s="31"/>
      <c r="AF47" s="31"/>
      <c r="AG47" s="31"/>
      <c r="AH47" s="31"/>
      <c r="AI47" s="31"/>
      <c r="AJ47" s="31"/>
      <c r="AK47" s="31"/>
      <c r="AL47" s="31"/>
      <c r="AM47" s="31"/>
      <c r="AN47" s="31"/>
      <c r="AO47" s="31"/>
      <c r="AP47" s="31"/>
      <c r="AQ47" s="31"/>
    </row>
    <row r="48" spans="2:43" x14ac:dyDescent="0.35">
      <c r="B48" s="120" t="s">
        <v>244</v>
      </c>
      <c r="C48">
        <f>IF(B48="","",IFERROR(IFERROR(IFERROR(VLOOKUP(B48,Table6[[Tool Name]:[MS Prevalence]],2,FALSE),VLOOKUP(B48,Table3[[Typed Name]:[MS Prevalence]],3,FALSE)),VLOOKUP(B48,Table4[[Country]:[Estimated prevalence of modern slavery per 1,000 population]],2,FALSE)),0))</f>
        <v>7.1356101036071777</v>
      </c>
      <c r="D48" s="20" t="s">
        <v>244</v>
      </c>
      <c r="E48" s="22">
        <f>IFERROR(VLOOKUP(Table2[[#This Row],[Country]],Table6[[Tool Name]:[MS Prevalence]],2,FALSE),999)</f>
        <v>7.1356101036071777</v>
      </c>
      <c r="F48" s="6" t="str">
        <f>LEFT(Table2[[#This Row],[Country]],4)</f>
        <v>Djib</v>
      </c>
      <c r="G48" s="6" cm="1">
        <f t="array" ref="G48">SUMPRODUCT(--(Table2[[#This Row],[Country]]=Input!$B$39:$C$58))+SUMPRODUCT(--(Table2[[#This Row],[Country]]=Table3[Tool Name]),--(Table3[Selected]&gt;0))</f>
        <v>0</v>
      </c>
      <c r="H48" s="6" t="b">
        <f>IFERROR(MATCH(Table2[[#This Row],[Country]],GSI!F:F,0)&gt;0,FALSE)</f>
        <v>0</v>
      </c>
      <c r="M48" s="120" t="s">
        <v>90</v>
      </c>
      <c r="N48" s="11" t="s">
        <v>90</v>
      </c>
      <c r="O48" s="11" t="s">
        <v>243</v>
      </c>
      <c r="Q48" t="s">
        <v>142</v>
      </c>
      <c r="R48" s="120" t="s">
        <v>120</v>
      </c>
      <c r="S48" s="42">
        <f>SIGN(SUMPRODUCT($T$3:$AQ$3,$T48:$AQ48))*(MAX($S$3:S47)+1)</f>
        <v>0</v>
      </c>
      <c r="T48" s="31"/>
      <c r="U48" s="31"/>
      <c r="V48" s="31"/>
      <c r="W48" s="31"/>
      <c r="X48" s="31"/>
      <c r="Y48" s="31"/>
      <c r="Z48" s="31"/>
      <c r="AA48" s="31"/>
      <c r="AB48" s="31">
        <v>1</v>
      </c>
      <c r="AC48" s="31"/>
      <c r="AD48" s="31"/>
      <c r="AE48" s="31"/>
      <c r="AF48" s="31"/>
      <c r="AG48" s="31"/>
      <c r="AH48" s="31"/>
      <c r="AI48" s="31"/>
      <c r="AJ48" s="31"/>
      <c r="AK48" s="31"/>
      <c r="AL48" s="31"/>
      <c r="AM48" s="31"/>
      <c r="AN48" s="31"/>
      <c r="AO48" s="31"/>
      <c r="AP48" s="31"/>
      <c r="AQ48" s="31"/>
    </row>
    <row r="49" spans="2:43" x14ac:dyDescent="0.35">
      <c r="B49" s="120" t="s">
        <v>247</v>
      </c>
      <c r="C49">
        <f>IF(B49="","",IFERROR(IFERROR(IFERROR(VLOOKUP(B49,Table6[[Tool Name]:[MS Prevalence]],2,FALSE),VLOOKUP(B49,Table3[[Typed Name]:[MS Prevalence]],3,FALSE)),VLOOKUP(B49,Table4[[Country]:[Estimated prevalence of modern slavery per 1,000 population]],2,FALSE)),0))</f>
        <v>0</v>
      </c>
      <c r="D49" s="20" t="s">
        <v>247</v>
      </c>
      <c r="E49" s="22">
        <f>IFERROR(VLOOKUP(Table2[[#This Row],[Country]],Table6[[Tool Name]:[MS Prevalence]],2,FALSE),999)</f>
        <v>0</v>
      </c>
      <c r="F49" s="6" t="str">
        <f>LEFT(Table2[[#This Row],[Country]],4)</f>
        <v>Domi</v>
      </c>
      <c r="G49" s="6" cm="1">
        <f t="array" ref="G49">SUMPRODUCT(--(Table2[[#This Row],[Country]]=Input!$B$39:$C$58))+SUMPRODUCT(--(Table2[[#This Row],[Country]]=Table3[Tool Name]),--(Table3[Selected]&gt;0))</f>
        <v>0</v>
      </c>
      <c r="H49" s="6" t="b">
        <f>IFERROR(MATCH(Table2[[#This Row],[Country]],GSI!F:F,0)&gt;0,FALSE)</f>
        <v>0</v>
      </c>
      <c r="M49" s="120" t="s">
        <v>90</v>
      </c>
      <c r="N49" s="11" t="s">
        <v>90</v>
      </c>
      <c r="O49" s="11" t="s">
        <v>245</v>
      </c>
      <c r="Q49" t="s">
        <v>246</v>
      </c>
      <c r="R49" s="120" t="s">
        <v>717</v>
      </c>
      <c r="S49" s="42">
        <f>SIGN(SUMPRODUCT($T$3:$AQ$3,$T49:$AQ49))*(MAX($S$3:S48)+1)</f>
        <v>0</v>
      </c>
      <c r="T49" s="31"/>
      <c r="U49" s="31"/>
      <c r="V49" s="31"/>
      <c r="W49" s="31"/>
      <c r="X49" s="31"/>
      <c r="Y49" s="31"/>
      <c r="Z49" s="31"/>
      <c r="AA49" s="31"/>
      <c r="AB49" s="31">
        <v>1</v>
      </c>
      <c r="AC49" s="31"/>
      <c r="AD49" s="31"/>
      <c r="AE49" s="31"/>
      <c r="AF49" s="31"/>
      <c r="AG49" s="31"/>
      <c r="AH49" s="31"/>
      <c r="AI49" s="31"/>
      <c r="AJ49" s="31"/>
      <c r="AK49" s="31"/>
      <c r="AL49" s="31"/>
      <c r="AM49" s="31"/>
      <c r="AN49" s="31"/>
      <c r="AO49" s="31"/>
      <c r="AP49" s="31"/>
      <c r="AQ49" s="31"/>
    </row>
    <row r="50" spans="2:43" x14ac:dyDescent="0.35">
      <c r="B50" s="120" t="s">
        <v>144</v>
      </c>
      <c r="C50">
        <f>IF(B50="","",IFERROR(IFERROR(IFERROR(VLOOKUP(B50,Table6[[Tool Name]:[MS Prevalence]],2,FALSE),VLOOKUP(B50,Table3[[Typed Name]:[MS Prevalence]],3,FALSE)),VLOOKUP(B50,Table4[[Country]:[Estimated prevalence of modern slavery per 1,000 population]],2,FALSE)),0))</f>
        <v>6.6326408386230469</v>
      </c>
      <c r="D50" s="20" t="s">
        <v>144</v>
      </c>
      <c r="E50" s="22">
        <f>IFERROR(VLOOKUP(Table2[[#This Row],[Country]],Table6[[Tool Name]:[MS Prevalence]],2,FALSE),999)</f>
        <v>6.6326408386230469</v>
      </c>
      <c r="F50" s="6" t="str">
        <f>LEFT(Table2[[#This Row],[Country]],4)</f>
        <v>Domi</v>
      </c>
      <c r="G50" s="6" cm="1">
        <f t="array" ref="G50">SUMPRODUCT(--(Table2[[#This Row],[Country]]=Input!$B$39:$C$58))+SUMPRODUCT(--(Table2[[#This Row],[Country]]=Table3[Tool Name]),--(Table3[Selected]&gt;0))</f>
        <v>0</v>
      </c>
      <c r="H50" s="6" t="b">
        <f>IFERROR(MATCH(Table2[[#This Row],[Country]],GSI!F:F,0)&gt;0,FALSE)</f>
        <v>0</v>
      </c>
      <c r="M50" s="120" t="s">
        <v>90</v>
      </c>
      <c r="N50" s="11" t="s">
        <v>90</v>
      </c>
      <c r="O50" s="11" t="s">
        <v>248</v>
      </c>
      <c r="Q50" t="s">
        <v>159</v>
      </c>
      <c r="R50" s="120" t="s">
        <v>718</v>
      </c>
      <c r="S50" s="42">
        <f>SIGN(SUMPRODUCT($T$3:$AQ$3,$T50:$AQ50))*(MAX($S$3:S49)+1)</f>
        <v>0</v>
      </c>
      <c r="T50" s="31">
        <v>1</v>
      </c>
      <c r="U50" s="31"/>
      <c r="V50" s="31"/>
      <c r="W50" s="31"/>
      <c r="X50" s="31"/>
      <c r="Y50" s="31"/>
      <c r="Z50" s="31"/>
      <c r="AA50" s="31"/>
      <c r="AB50" s="31">
        <v>1</v>
      </c>
      <c r="AC50" s="31">
        <v>1</v>
      </c>
      <c r="AD50" s="31"/>
      <c r="AE50" s="31"/>
      <c r="AF50" s="31">
        <v>1</v>
      </c>
      <c r="AG50" s="31"/>
      <c r="AH50" s="31"/>
      <c r="AI50" s="31"/>
      <c r="AJ50" s="31"/>
      <c r="AK50" s="31"/>
      <c r="AL50" s="31"/>
      <c r="AM50" s="31"/>
      <c r="AN50" s="31"/>
      <c r="AO50" s="31"/>
      <c r="AP50" s="31"/>
      <c r="AQ50" s="31"/>
    </row>
    <row r="51" spans="2:43" x14ac:dyDescent="0.35">
      <c r="B51" s="120" t="s">
        <v>249</v>
      </c>
      <c r="C51">
        <f>IF(B51="","",IFERROR(IFERROR(IFERROR(VLOOKUP(B51,Table6[[Tool Name]:[MS Prevalence]],2,FALSE),VLOOKUP(B51,Table3[[Typed Name]:[MS Prevalence]],3,FALSE)),VLOOKUP(B51,Table4[[Country]:[Estimated prevalence of modern slavery per 1,000 population]],2,FALSE)),0))</f>
        <v>7.6345400810241699</v>
      </c>
      <c r="D51" s="20" t="s">
        <v>249</v>
      </c>
      <c r="E51" s="22">
        <f>IFERROR(VLOOKUP(Table2[[#This Row],[Country]],Table6[[Tool Name]:[MS Prevalence]],2,FALSE),999)</f>
        <v>7.6345400810241699</v>
      </c>
      <c r="F51" s="6" t="str">
        <f>LEFT(Table2[[#This Row],[Country]],4)</f>
        <v>Ecua</v>
      </c>
      <c r="G51" s="6" cm="1">
        <f t="array" ref="G51">SUMPRODUCT(--(Table2[[#This Row],[Country]]=Input!$B$39:$C$58))+SUMPRODUCT(--(Table2[[#This Row],[Country]]=Table3[Tool Name]),--(Table3[Selected]&gt;0))</f>
        <v>0</v>
      </c>
      <c r="H51" s="6" t="b">
        <f>IFERROR(MATCH(Table2[[#This Row],[Country]],GSI!F:F,0)&gt;0,FALSE)</f>
        <v>0</v>
      </c>
      <c r="M51" s="120" t="s">
        <v>90</v>
      </c>
      <c r="N51" s="11" t="s">
        <v>90</v>
      </c>
      <c r="O51" s="12" t="s">
        <v>145</v>
      </c>
      <c r="Q51" t="s">
        <v>245</v>
      </c>
      <c r="R51" s="120" t="s">
        <v>719</v>
      </c>
      <c r="S51" s="42">
        <f>SIGN(SUMPRODUCT($T$3:$AQ$3,$T51:$AQ51))*(MAX($S$3:S50)+1)</f>
        <v>0</v>
      </c>
      <c r="T51" s="31"/>
      <c r="U51" s="31"/>
      <c r="V51" s="31"/>
      <c r="W51" s="31"/>
      <c r="X51" s="31"/>
      <c r="Y51" s="31"/>
      <c r="Z51" s="31"/>
      <c r="AA51" s="31"/>
      <c r="AB51" s="31">
        <v>1</v>
      </c>
      <c r="AC51" s="31"/>
      <c r="AD51" s="31"/>
      <c r="AE51" s="31"/>
      <c r="AF51" s="31"/>
      <c r="AG51" s="31"/>
      <c r="AH51" s="31"/>
      <c r="AI51" s="31"/>
      <c r="AJ51" s="31"/>
      <c r="AK51" s="31"/>
      <c r="AL51" s="31"/>
      <c r="AM51" s="31"/>
      <c r="AN51" s="31"/>
      <c r="AO51" s="31"/>
      <c r="AP51" s="31"/>
      <c r="AQ51" s="31"/>
    </row>
    <row r="52" spans="2:43" x14ac:dyDescent="0.35">
      <c r="B52" s="120" t="s">
        <v>252</v>
      </c>
      <c r="C52">
        <f>IF(B52="","",IFERROR(IFERROR(IFERROR(VLOOKUP(B52,Table6[[Tool Name]:[MS Prevalence]],2,FALSE),VLOOKUP(B52,Table3[[Typed Name]:[MS Prevalence]],3,FALSE)),VLOOKUP(B52,Table4[[Country]:[Estimated prevalence of modern slavery per 1,000 population]],2,FALSE)),0))</f>
        <v>4.315521240234375</v>
      </c>
      <c r="D52" s="20" t="s">
        <v>252</v>
      </c>
      <c r="E52" s="22">
        <f>IFERROR(VLOOKUP(Table2[[#This Row],[Country]],Table6[[Tool Name]:[MS Prevalence]],2,FALSE),999)</f>
        <v>4.315521240234375</v>
      </c>
      <c r="F52" s="6" t="str">
        <f>LEFT(Table2[[#This Row],[Country]],4)</f>
        <v>Egyp</v>
      </c>
      <c r="G52" s="6" cm="1">
        <f t="array" ref="G52">SUMPRODUCT(--(Table2[[#This Row],[Country]]=Input!$B$39:$C$58))+SUMPRODUCT(--(Table2[[#This Row],[Country]]=Table3[Tool Name]),--(Table3[Selected]&gt;0))</f>
        <v>0</v>
      </c>
      <c r="H52" s="6" t="b">
        <f>IFERROR(MATCH(Table2[[#This Row],[Country]],GSI!F:F,0)&gt;0,FALSE)</f>
        <v>0</v>
      </c>
      <c r="M52" s="120" t="s">
        <v>90</v>
      </c>
      <c r="N52" s="11" t="s">
        <v>90</v>
      </c>
      <c r="O52" s="11" t="s">
        <v>250</v>
      </c>
      <c r="Q52" t="s">
        <v>251</v>
      </c>
      <c r="R52" s="120" t="s">
        <v>475</v>
      </c>
      <c r="S52" s="42">
        <f>SIGN(SUMPRODUCT($T$3:$AQ$3,$T52:$AQ52))*(MAX($S$3:S51)+1)</f>
        <v>0</v>
      </c>
      <c r="T52" s="31"/>
      <c r="U52" s="31"/>
      <c r="V52" s="31"/>
      <c r="W52" s="31"/>
      <c r="X52" s="31"/>
      <c r="Y52" s="31"/>
      <c r="Z52" s="31"/>
      <c r="AA52" s="31"/>
      <c r="AB52" s="31">
        <v>1</v>
      </c>
      <c r="AC52" s="31"/>
      <c r="AD52" s="31"/>
      <c r="AE52" s="31"/>
      <c r="AF52" s="31"/>
      <c r="AG52" s="31"/>
      <c r="AH52" s="31"/>
      <c r="AI52" s="31"/>
      <c r="AJ52" s="31"/>
      <c r="AK52" s="31"/>
      <c r="AL52" s="31"/>
      <c r="AM52" s="31"/>
      <c r="AN52" s="31"/>
      <c r="AO52" s="31"/>
      <c r="AP52" s="31"/>
      <c r="AQ52" s="31"/>
    </row>
    <row r="53" spans="2:43" x14ac:dyDescent="0.35">
      <c r="B53" s="120" t="s">
        <v>254</v>
      </c>
      <c r="C53">
        <f>IF(B53="","",IFERROR(IFERROR(IFERROR(VLOOKUP(B53,Table6[[Tool Name]:[MS Prevalence]],2,FALSE),VLOOKUP(B53,Table3[[Typed Name]:[MS Prevalence]],3,FALSE)),VLOOKUP(B53,Table4[[Country]:[Estimated prevalence of modern slavery per 1,000 population]],2,FALSE)),0))</f>
        <v>8.0829763412475586</v>
      </c>
      <c r="D53" s="20" t="s">
        <v>254</v>
      </c>
      <c r="E53" s="22">
        <f>IFERROR(VLOOKUP(Table2[[#This Row],[Country]],Table6[[Tool Name]:[MS Prevalence]],2,FALSE),999)</f>
        <v>8.0829763412475586</v>
      </c>
      <c r="F53" s="6" t="str">
        <f>LEFT(Table2[[#This Row],[Country]],4)</f>
        <v>El S</v>
      </c>
      <c r="G53" s="6" cm="1">
        <f t="array" ref="G53">SUMPRODUCT(--(Table2[[#This Row],[Country]]=Input!$B$39:$C$58))+SUMPRODUCT(--(Table2[[#This Row],[Country]]=Table3[Tool Name]),--(Table3[Selected]&gt;0))</f>
        <v>0</v>
      </c>
      <c r="H53" s="6" t="b">
        <f>IFERROR(MATCH(Table2[[#This Row],[Country]],GSI!F:F,0)&gt;0,FALSE)</f>
        <v>0</v>
      </c>
      <c r="M53" s="120" t="s">
        <v>90</v>
      </c>
      <c r="N53" s="11" t="s">
        <v>90</v>
      </c>
      <c r="O53" s="11" t="s">
        <v>91</v>
      </c>
      <c r="Q53" t="s">
        <v>253</v>
      </c>
      <c r="R53" s="120" t="s">
        <v>403</v>
      </c>
      <c r="S53" s="42">
        <f>SIGN(SUMPRODUCT($T$3:$AQ$3,$T53:$AQ53))*(MAX($S$3:S52)+1)</f>
        <v>0</v>
      </c>
      <c r="T53" s="31"/>
      <c r="U53" s="31"/>
      <c r="V53" s="31"/>
      <c r="W53" s="31"/>
      <c r="X53" s="31"/>
      <c r="Y53" s="31"/>
      <c r="Z53" s="31"/>
      <c r="AA53" s="31"/>
      <c r="AB53" s="31">
        <v>1</v>
      </c>
      <c r="AC53" s="31"/>
      <c r="AD53" s="31"/>
      <c r="AE53" s="31"/>
      <c r="AF53" s="31"/>
      <c r="AG53" s="31"/>
      <c r="AH53" s="31"/>
      <c r="AI53" s="31"/>
      <c r="AJ53" s="31"/>
      <c r="AK53" s="31"/>
      <c r="AL53" s="31"/>
      <c r="AM53" s="31"/>
      <c r="AN53" s="31"/>
      <c r="AO53" s="31"/>
      <c r="AP53" s="31"/>
      <c r="AQ53" s="31"/>
    </row>
    <row r="54" spans="2:43" x14ac:dyDescent="0.35">
      <c r="B54" s="120" t="s">
        <v>256</v>
      </c>
      <c r="C54">
        <f>IF(B54="","",IFERROR(IFERROR(IFERROR(VLOOKUP(B54,Table6[[Tool Name]:[MS Prevalence]],2,FALSE),VLOOKUP(B54,Table3[[Typed Name]:[MS Prevalence]],3,FALSE)),VLOOKUP(B54,Table4[[Country]:[Estimated prevalence of modern slavery per 1,000 population]],2,FALSE)),0))</f>
        <v>7.8120379447937012</v>
      </c>
      <c r="D54" s="20" t="s">
        <v>256</v>
      </c>
      <c r="E54" s="22">
        <f>IFERROR(VLOOKUP(Table2[[#This Row],[Country]],Table6[[Tool Name]:[MS Prevalence]],2,FALSE),999)</f>
        <v>7.8120379447937012</v>
      </c>
      <c r="F54" s="6" t="str">
        <f>LEFT(Table2[[#This Row],[Country]],4)</f>
        <v>Equa</v>
      </c>
      <c r="G54" s="6" cm="1">
        <f t="array" ref="G54">SUMPRODUCT(--(Table2[[#This Row],[Country]]=Input!$B$39:$C$58))+SUMPRODUCT(--(Table2[[#This Row],[Country]]=Table3[Tool Name]),--(Table3[Selected]&gt;0))</f>
        <v>0</v>
      </c>
      <c r="H54" s="6" t="b">
        <f>IFERROR(MATCH(Table2[[#This Row],[Country]],GSI!F:F,0)&gt;0,FALSE)</f>
        <v>0</v>
      </c>
      <c r="M54" s="120" t="s">
        <v>192</v>
      </c>
      <c r="N54" s="11" t="s">
        <v>192</v>
      </c>
      <c r="O54" s="11" t="s">
        <v>154</v>
      </c>
      <c r="Q54" t="s">
        <v>255</v>
      </c>
      <c r="R54" s="120" t="s">
        <v>192</v>
      </c>
      <c r="S54" s="42">
        <f>SIGN(SUMPRODUCT($T$3:$AQ$3,$T54:$AQ54))*(MAX($S$3:S53)+1)</f>
        <v>0</v>
      </c>
      <c r="T54" s="31"/>
      <c r="U54" s="31"/>
      <c r="V54" s="31"/>
      <c r="W54" s="31"/>
      <c r="X54" s="31"/>
      <c r="Y54" s="31"/>
      <c r="Z54" s="31"/>
      <c r="AA54" s="31"/>
      <c r="AB54" s="31">
        <v>1</v>
      </c>
      <c r="AC54" s="31"/>
      <c r="AD54" s="31"/>
      <c r="AE54" s="31"/>
      <c r="AF54" s="31"/>
      <c r="AG54" s="31"/>
      <c r="AH54" s="31"/>
      <c r="AI54" s="31"/>
      <c r="AJ54" s="31"/>
      <c r="AK54" s="31"/>
      <c r="AL54" s="31"/>
      <c r="AM54" s="31"/>
      <c r="AN54" s="31"/>
      <c r="AO54" s="31"/>
      <c r="AP54" s="31"/>
      <c r="AQ54" s="31"/>
    </row>
    <row r="55" spans="2:43" x14ac:dyDescent="0.35">
      <c r="B55" s="120" t="s">
        <v>258</v>
      </c>
      <c r="C55">
        <f>IF(B55="","",IFERROR(IFERROR(IFERROR(VLOOKUP(B55,Table6[[Tool Name]:[MS Prevalence]],2,FALSE),VLOOKUP(B55,Table3[[Typed Name]:[MS Prevalence]],3,FALSE)),VLOOKUP(B55,Table4[[Country]:[Estimated prevalence of modern slavery per 1,000 population]],2,FALSE)),0))</f>
        <v>90.284866333007813</v>
      </c>
      <c r="D55" s="20" t="s">
        <v>258</v>
      </c>
      <c r="E55" s="22">
        <f>IFERROR(VLOOKUP(Table2[[#This Row],[Country]],Table6[[Tool Name]:[MS Prevalence]],2,FALSE),999)</f>
        <v>90.284866333007813</v>
      </c>
      <c r="F55" s="6" t="str">
        <f>LEFT(Table2[[#This Row],[Country]],4)</f>
        <v>Erit</v>
      </c>
      <c r="G55" s="6" cm="1">
        <f t="array" ref="G55">SUMPRODUCT(--(Table2[[#This Row],[Country]]=Input!$B$39:$C$58))+SUMPRODUCT(--(Table2[[#This Row],[Country]]=Table3[Tool Name]),--(Table3[Selected]&gt;0))</f>
        <v>0</v>
      </c>
      <c r="H55" s="6" t="b">
        <f>IFERROR(MATCH(Table2[[#This Row],[Country]],GSI!F:F,0)&gt;0,FALSE)</f>
        <v>0</v>
      </c>
      <c r="M55" s="120" t="s">
        <v>192</v>
      </c>
      <c r="N55" s="11" t="s">
        <v>192</v>
      </c>
      <c r="O55" s="11" t="s">
        <v>163</v>
      </c>
      <c r="Q55" t="s">
        <v>257</v>
      </c>
      <c r="R55" s="120" t="s">
        <v>333</v>
      </c>
      <c r="S55" s="42">
        <f>SIGN(SUMPRODUCT($T$3:$AQ$3,$T55:$AQ55))*(MAX($S$3:S54)+1)</f>
        <v>0</v>
      </c>
      <c r="T55" s="31"/>
      <c r="U55" s="31"/>
      <c r="V55" s="31"/>
      <c r="W55" s="31"/>
      <c r="X55" s="31"/>
      <c r="Y55" s="31"/>
      <c r="Z55" s="31"/>
      <c r="AA55" s="31"/>
      <c r="AB55" s="31">
        <v>1</v>
      </c>
      <c r="AC55" s="31"/>
      <c r="AD55" s="31"/>
      <c r="AE55" s="31"/>
      <c r="AF55" s="31"/>
      <c r="AG55" s="31"/>
      <c r="AH55" s="31"/>
      <c r="AI55" s="31"/>
      <c r="AJ55" s="31"/>
      <c r="AK55" s="31"/>
      <c r="AL55" s="31"/>
      <c r="AM55" s="31"/>
      <c r="AN55" s="31"/>
      <c r="AO55" s="31"/>
      <c r="AP55" s="31"/>
      <c r="AQ55" s="31"/>
    </row>
    <row r="56" spans="2:43" x14ac:dyDescent="0.35">
      <c r="B56" s="120" t="s">
        <v>259</v>
      </c>
      <c r="C56">
        <f>IF(B56="","",IFERROR(IFERROR(IFERROR(VLOOKUP(B56,Table6[[Tool Name]:[MS Prevalence]],2,FALSE),VLOOKUP(B56,Table3[[Typed Name]:[MS Prevalence]],3,FALSE)),VLOOKUP(B56,Table4[[Country]:[Estimated prevalence of modern slavery per 1,000 population]],2,FALSE)),0))</f>
        <v>4.1133513450622559</v>
      </c>
      <c r="D56" s="20" t="s">
        <v>259</v>
      </c>
      <c r="E56" s="22">
        <f>IFERROR(VLOOKUP(Table2[[#This Row],[Country]],Table6[[Tool Name]:[MS Prevalence]],2,FALSE),999)</f>
        <v>4.1133513450622559</v>
      </c>
      <c r="F56" s="6" t="str">
        <f>LEFT(Table2[[#This Row],[Country]],4)</f>
        <v>Esto</v>
      </c>
      <c r="G56" s="6" cm="1">
        <f t="array" ref="G56">SUMPRODUCT(--(Table2[[#This Row],[Country]]=Input!$B$39:$C$58))+SUMPRODUCT(--(Table2[[#This Row],[Country]]=Table3[Tool Name]),--(Table3[Selected]&gt;0))</f>
        <v>0</v>
      </c>
      <c r="H56" s="6" t="b">
        <f>IFERROR(MATCH(Table2[[#This Row],[Country]],GSI!F:F,0)&gt;0,FALSE)</f>
        <v>0</v>
      </c>
      <c r="M56" s="120" t="s">
        <v>192</v>
      </c>
      <c r="N56" s="11" t="s">
        <v>192</v>
      </c>
      <c r="O56" s="11" t="s">
        <v>178</v>
      </c>
      <c r="Q56" t="s">
        <v>205</v>
      </c>
      <c r="R56" s="120" t="s">
        <v>720</v>
      </c>
      <c r="S56" s="42">
        <f>SIGN(SUMPRODUCT($T$3:$AQ$3,$T56:$AQ56))*(MAX($S$3:S55)+1)</f>
        <v>0</v>
      </c>
      <c r="T56" s="31"/>
      <c r="U56" s="31"/>
      <c r="V56" s="31"/>
      <c r="W56" s="31"/>
      <c r="X56" s="31"/>
      <c r="Y56" s="31"/>
      <c r="Z56" s="31"/>
      <c r="AA56" s="31"/>
      <c r="AB56" s="31">
        <v>1</v>
      </c>
      <c r="AC56" s="31"/>
      <c r="AD56" s="31"/>
      <c r="AE56" s="31"/>
      <c r="AF56" s="31"/>
      <c r="AG56" s="31"/>
      <c r="AH56" s="31"/>
      <c r="AI56" s="31"/>
      <c r="AJ56" s="31"/>
      <c r="AK56" s="31"/>
      <c r="AL56" s="31"/>
      <c r="AM56" s="31"/>
      <c r="AN56" s="31"/>
      <c r="AO56" s="31"/>
      <c r="AP56" s="31"/>
      <c r="AQ56" s="31"/>
    </row>
    <row r="57" spans="2:43" x14ac:dyDescent="0.35">
      <c r="B57" s="120" t="s">
        <v>261</v>
      </c>
      <c r="C57">
        <f>IF(B57="","",IFERROR(IFERROR(IFERROR(VLOOKUP(B57,Table6[[Tool Name]:[MS Prevalence]],2,FALSE),VLOOKUP(B57,Table3[[Typed Name]:[MS Prevalence]],3,FALSE)),VLOOKUP(B57,Table4[[Country]:[Estimated prevalence of modern slavery per 1,000 population]],2,FALSE)),0))</f>
        <v>3.6043319702148442</v>
      </c>
      <c r="D57" s="20" t="s">
        <v>261</v>
      </c>
      <c r="E57" s="22">
        <f>IFERROR(VLOOKUP(Table2[[#This Row],[Country]],Table6[[Tool Name]:[MS Prevalence]],2,FALSE),999)</f>
        <v>3.6043319702148442</v>
      </c>
      <c r="F57" s="6" t="str">
        <f>LEFT(Table2[[#This Row],[Country]],4)</f>
        <v>Eswa</v>
      </c>
      <c r="G57" s="6" cm="1">
        <f t="array" ref="G57">SUMPRODUCT(--(Table2[[#This Row],[Country]]=Input!$B$39:$C$58))+SUMPRODUCT(--(Table2[[#This Row],[Country]]=Table3[Tool Name]),--(Table3[Selected]&gt;0))</f>
        <v>0</v>
      </c>
      <c r="H57" s="6" t="b">
        <f>IFERROR(MATCH(Table2[[#This Row],[Country]],GSI!F:F,0)&gt;0,FALSE)</f>
        <v>0</v>
      </c>
      <c r="M57" s="120" t="s">
        <v>192</v>
      </c>
      <c r="N57" s="11" t="s">
        <v>192</v>
      </c>
      <c r="O57" s="11" t="s">
        <v>88</v>
      </c>
      <c r="Q57" t="s">
        <v>260</v>
      </c>
      <c r="R57" s="120" t="s">
        <v>462</v>
      </c>
      <c r="S57" s="42">
        <f>SIGN(SUMPRODUCT($T$3:$AQ$3,$T57:$AQ57))*(MAX($S$3:S56)+1)</f>
        <v>0</v>
      </c>
      <c r="T57" s="31"/>
      <c r="U57" s="31"/>
      <c r="V57" s="31"/>
      <c r="W57" s="31"/>
      <c r="X57" s="31"/>
      <c r="Y57" s="31"/>
      <c r="Z57" s="31"/>
      <c r="AA57" s="31"/>
      <c r="AB57" s="31">
        <v>1</v>
      </c>
      <c r="AC57" s="31"/>
      <c r="AD57" s="31"/>
      <c r="AE57" s="31"/>
      <c r="AF57" s="31"/>
      <c r="AG57" s="31"/>
      <c r="AH57" s="31"/>
      <c r="AI57" s="31"/>
      <c r="AJ57" s="31"/>
      <c r="AK57" s="31"/>
      <c r="AL57" s="31"/>
      <c r="AM57" s="31"/>
      <c r="AN57" s="31"/>
      <c r="AO57" s="31"/>
      <c r="AP57" s="31"/>
      <c r="AQ57" s="31"/>
    </row>
    <row r="58" spans="2:43" x14ac:dyDescent="0.35">
      <c r="B58" s="120" t="s">
        <v>263</v>
      </c>
      <c r="C58">
        <f>IF(B58="","",IFERROR(IFERROR(IFERROR(VLOOKUP(B58,Table6[[Tool Name]:[MS Prevalence]],2,FALSE),VLOOKUP(B58,Table3[[Typed Name]:[MS Prevalence]],3,FALSE)),VLOOKUP(B58,Table4[[Country]:[Estimated prevalence of modern slavery per 1,000 population]],2,FALSE)),0))</f>
        <v>6.3195614814758301</v>
      </c>
      <c r="D58" s="20" t="s">
        <v>263</v>
      </c>
      <c r="E58" s="22">
        <f>IFERROR(VLOOKUP(Table2[[#This Row],[Country]],Table6[[Tool Name]:[MS Prevalence]],2,FALSE),999)</f>
        <v>6.3195614814758301</v>
      </c>
      <c r="F58" s="6" t="str">
        <f>LEFT(Table2[[#This Row],[Country]],4)</f>
        <v>Ethi</v>
      </c>
      <c r="G58" s="6" cm="1">
        <f t="array" ref="G58">SUMPRODUCT(--(Table2[[#This Row],[Country]]=Input!$B$39:$C$58))+SUMPRODUCT(--(Table2[[#This Row],[Country]]=Table3[Tool Name]),--(Table3[Selected]&gt;0))</f>
        <v>0</v>
      </c>
      <c r="H58" s="6" t="b">
        <f>IFERROR(MATCH(Table2[[#This Row],[Country]],GSI!F:F,0)&gt;0,FALSE)</f>
        <v>0</v>
      </c>
      <c r="M58" s="120" t="s">
        <v>192</v>
      </c>
      <c r="N58" s="11" t="s">
        <v>192</v>
      </c>
      <c r="O58" s="11" t="s">
        <v>197</v>
      </c>
      <c r="Q58" t="s">
        <v>262</v>
      </c>
      <c r="R58" s="120" t="s">
        <v>721</v>
      </c>
      <c r="S58" s="42">
        <f>SIGN(SUMPRODUCT($T$3:$AQ$3,$T58:$AQ58))*(MAX($S$3:S57)+1)</f>
        <v>0</v>
      </c>
      <c r="T58" s="31"/>
      <c r="U58" s="31"/>
      <c r="V58" s="31"/>
      <c r="W58" s="31"/>
      <c r="X58" s="31"/>
      <c r="Y58" s="31"/>
      <c r="Z58" s="31"/>
      <c r="AA58" s="31"/>
      <c r="AB58" s="31">
        <v>1</v>
      </c>
      <c r="AC58" s="31"/>
      <c r="AD58" s="31"/>
      <c r="AE58" s="31"/>
      <c r="AF58" s="31"/>
      <c r="AG58" s="31"/>
      <c r="AH58" s="31"/>
      <c r="AI58" s="31"/>
      <c r="AJ58" s="31"/>
      <c r="AK58" s="31"/>
      <c r="AL58" s="31"/>
      <c r="AM58" s="31"/>
      <c r="AN58" s="31"/>
      <c r="AO58" s="31"/>
      <c r="AP58" s="31"/>
      <c r="AQ58" s="31"/>
    </row>
    <row r="59" spans="2:43" x14ac:dyDescent="0.35">
      <c r="B59" s="120" t="s">
        <v>265</v>
      </c>
      <c r="C59">
        <f>IF(B59="","",IFERROR(IFERROR(IFERROR(VLOOKUP(B59,Table6[[Tool Name]:[MS Prevalence]],2,FALSE),VLOOKUP(B59,Table3[[Typed Name]:[MS Prevalence]],3,FALSE)),VLOOKUP(B59,Table4[[Country]:[Estimated prevalence of modern slavery per 1,000 population]],2,FALSE)),0))</f>
        <v>0</v>
      </c>
      <c r="D59" s="20" t="s">
        <v>265</v>
      </c>
      <c r="E59" s="22">
        <f>IFERROR(VLOOKUP(Table2[[#This Row],[Country]],Table6[[Tool Name]:[MS Prevalence]],2,FALSE),999)</f>
        <v>0</v>
      </c>
      <c r="F59" s="6" t="str">
        <f>LEFT(Table2[[#This Row],[Country]],4)</f>
        <v>Fede</v>
      </c>
      <c r="G59" s="6" cm="1">
        <f t="array" ref="G59">SUMPRODUCT(--(Table2[[#This Row],[Country]]=Input!$B$39:$C$58))+SUMPRODUCT(--(Table2[[#This Row],[Country]]=Table3[Tool Name]),--(Table3[Selected]&gt;0))</f>
        <v>0</v>
      </c>
      <c r="H59" s="6" t="b">
        <f>IFERROR(MATCH(Table2[[#This Row],[Country]],GSI!F:F,0)&gt;0,FALSE)</f>
        <v>0</v>
      </c>
      <c r="M59" s="120" t="s">
        <v>192</v>
      </c>
      <c r="N59" s="11" t="s">
        <v>192</v>
      </c>
      <c r="O59" s="11" t="s">
        <v>102</v>
      </c>
      <c r="Q59" t="s">
        <v>264</v>
      </c>
      <c r="R59" s="120" t="s">
        <v>722</v>
      </c>
      <c r="S59" s="42">
        <f>SIGN(SUMPRODUCT($T$3:$AQ$3,$T59:$AQ59))*(MAX($S$3:S58)+1)</f>
        <v>0</v>
      </c>
      <c r="T59" s="31"/>
      <c r="U59" s="31"/>
      <c r="V59" s="31"/>
      <c r="W59" s="31"/>
      <c r="X59" s="31"/>
      <c r="Y59" s="31"/>
      <c r="Z59" s="31"/>
      <c r="AA59" s="31"/>
      <c r="AB59" s="31">
        <v>1</v>
      </c>
      <c r="AC59" s="31"/>
      <c r="AD59" s="31"/>
      <c r="AE59" s="31"/>
      <c r="AF59" s="31"/>
      <c r="AG59" s="31"/>
      <c r="AH59" s="31"/>
      <c r="AI59" s="31"/>
      <c r="AJ59" s="31"/>
      <c r="AK59" s="31"/>
      <c r="AL59" s="31"/>
      <c r="AM59" s="31"/>
      <c r="AN59" s="31"/>
      <c r="AO59" s="31"/>
      <c r="AP59" s="31"/>
      <c r="AQ59" s="31"/>
    </row>
    <row r="60" spans="2:43" x14ac:dyDescent="0.35">
      <c r="B60" s="120" t="s">
        <v>267</v>
      </c>
      <c r="C60">
        <f>IF(B60="","",IFERROR(IFERROR(IFERROR(VLOOKUP(B60,Table6[[Tool Name]:[MS Prevalence]],2,FALSE),VLOOKUP(B60,Table3[[Typed Name]:[MS Prevalence]],3,FALSE)),VLOOKUP(B60,Table4[[Country]:[Estimated prevalence of modern slavery per 1,000 population]],2,FALSE)),0))</f>
        <v>0</v>
      </c>
      <c r="D60" s="20" t="s">
        <v>267</v>
      </c>
      <c r="E60" s="22">
        <f>IFERROR(VLOOKUP(Table2[[#This Row],[Country]],Table6[[Tool Name]:[MS Prevalence]],2,FALSE),999)</f>
        <v>0</v>
      </c>
      <c r="F60" s="6" t="str">
        <f>LEFT(Table2[[#This Row],[Country]],4)</f>
        <v>Fiji</v>
      </c>
      <c r="G60" s="6" cm="1">
        <f t="array" ref="G60">SUMPRODUCT(--(Table2[[#This Row],[Country]]=Input!$B$39:$C$58))+SUMPRODUCT(--(Table2[[#This Row],[Country]]=Table3[Tool Name]),--(Table3[Selected]&gt;0))</f>
        <v>0</v>
      </c>
      <c r="H60" s="6" t="b">
        <f>IFERROR(MATCH(Table2[[#This Row],[Country]],GSI!F:F,0)&gt;0,FALSE)</f>
        <v>0</v>
      </c>
      <c r="M60" s="120" t="s">
        <v>192</v>
      </c>
      <c r="N60" s="11" t="s">
        <v>192</v>
      </c>
      <c r="O60" s="11" t="s">
        <v>266</v>
      </c>
      <c r="Q60" t="s">
        <v>148</v>
      </c>
      <c r="R60" s="120" t="s">
        <v>120</v>
      </c>
      <c r="S60" s="42">
        <f>SIGN(SUMPRODUCT($T$3:$AQ$3,$T60:$AQ60))*(MAX($S$3:S59)+1)</f>
        <v>0</v>
      </c>
      <c r="T60" s="31"/>
      <c r="U60" s="31"/>
      <c r="V60" s="31"/>
      <c r="W60" s="31"/>
      <c r="X60" s="31"/>
      <c r="Y60" s="31"/>
      <c r="Z60" s="31"/>
      <c r="AA60" s="31"/>
      <c r="AB60" s="31">
        <v>1</v>
      </c>
      <c r="AC60" s="31"/>
      <c r="AD60" s="31"/>
      <c r="AE60" s="31"/>
      <c r="AF60" s="31"/>
      <c r="AG60" s="31"/>
      <c r="AH60" s="31"/>
      <c r="AI60" s="31"/>
      <c r="AJ60" s="31"/>
      <c r="AK60" s="31"/>
      <c r="AL60" s="31"/>
      <c r="AM60" s="31"/>
      <c r="AN60" s="31"/>
      <c r="AO60" s="31"/>
      <c r="AP60" s="31"/>
      <c r="AQ60" s="31"/>
    </row>
    <row r="61" spans="2:43" x14ac:dyDescent="0.35">
      <c r="B61" s="120" t="s">
        <v>270</v>
      </c>
      <c r="C61">
        <f>IF(B61="","",IFERROR(IFERROR(IFERROR(VLOOKUP(B61,Table6[[Tool Name]:[MS Prevalence]],2,FALSE),VLOOKUP(B61,Table3[[Typed Name]:[MS Prevalence]],3,FALSE)),VLOOKUP(B61,Table4[[Country]:[Estimated prevalence of modern slavery per 1,000 population]],2,FALSE)),0))</f>
        <v>1.4125709533691411</v>
      </c>
      <c r="D61" s="20" t="s">
        <v>270</v>
      </c>
      <c r="E61" s="22">
        <f>IFERROR(VLOOKUP(Table2[[#This Row],[Country]],Table6[[Tool Name]:[MS Prevalence]],2,FALSE),999)</f>
        <v>1.4125709533691411</v>
      </c>
      <c r="F61" s="6" t="str">
        <f>LEFT(Table2[[#This Row],[Country]],4)</f>
        <v>Finl</v>
      </c>
      <c r="G61" s="6" cm="1">
        <f t="array" ref="G61">SUMPRODUCT(--(Table2[[#This Row],[Country]]=Input!$B$39:$C$58))+SUMPRODUCT(--(Table2[[#This Row],[Country]]=Table3[Tool Name]),--(Table3[Selected]&gt;0))</f>
        <v>0</v>
      </c>
      <c r="H61" s="6" t="b">
        <f>IFERROR(MATCH(Table2[[#This Row],[Country]],GSI!F:F,0)&gt;0,FALSE)</f>
        <v>0</v>
      </c>
      <c r="M61" s="120" t="s">
        <v>192</v>
      </c>
      <c r="N61" s="11" t="s">
        <v>192</v>
      </c>
      <c r="O61" s="11" t="s">
        <v>268</v>
      </c>
      <c r="Q61" t="s">
        <v>269</v>
      </c>
      <c r="R61" s="120" t="s">
        <v>462</v>
      </c>
      <c r="S61" s="42">
        <f>SIGN(SUMPRODUCT($T$3:$AQ$3,$T61:$AQ61))*(MAX($S$3:S60)+1)</f>
        <v>0</v>
      </c>
      <c r="T61" s="31"/>
      <c r="U61" s="31"/>
      <c r="V61" s="31"/>
      <c r="W61" s="31"/>
      <c r="X61" s="31"/>
      <c r="Y61" s="31"/>
      <c r="Z61" s="31"/>
      <c r="AA61" s="31"/>
      <c r="AB61" s="31">
        <v>1</v>
      </c>
      <c r="AC61" s="31"/>
      <c r="AD61" s="31"/>
      <c r="AE61" s="31"/>
      <c r="AF61" s="31"/>
      <c r="AG61" s="31"/>
      <c r="AH61" s="31"/>
      <c r="AI61" s="31"/>
      <c r="AJ61" s="31"/>
      <c r="AK61" s="31"/>
      <c r="AL61" s="31"/>
      <c r="AM61" s="31"/>
      <c r="AN61" s="31"/>
      <c r="AO61" s="31"/>
      <c r="AP61" s="31"/>
      <c r="AQ61" s="31"/>
    </row>
    <row r="62" spans="2:43" x14ac:dyDescent="0.35">
      <c r="B62" s="120" t="s">
        <v>271</v>
      </c>
      <c r="C62">
        <f>IF(B62="","",IFERROR(IFERROR(IFERROR(VLOOKUP(B62,Table6[[Tool Name]:[MS Prevalence]],2,FALSE),VLOOKUP(B62,Table3[[Typed Name]:[MS Prevalence]],3,FALSE)),VLOOKUP(B62,Table4[[Country]:[Estimated prevalence of modern slavery per 1,000 population]],2,FALSE)),0))</f>
        <v>2.0612716674804692</v>
      </c>
      <c r="D62" s="20" t="s">
        <v>271</v>
      </c>
      <c r="E62" s="22">
        <f>IFERROR(VLOOKUP(Table2[[#This Row],[Country]],Table6[[Tool Name]:[MS Prevalence]],2,FALSE),999)</f>
        <v>2.0612716674804692</v>
      </c>
      <c r="F62" s="6" t="str">
        <f>LEFT(Table2[[#This Row],[Country]],4)</f>
        <v>Fran</v>
      </c>
      <c r="G62" s="6" cm="1">
        <f t="array" ref="G62">SUMPRODUCT(--(Table2[[#This Row],[Country]]=Input!$B$39:$C$58))+SUMPRODUCT(--(Table2[[#This Row],[Country]]=Table3[Tool Name]),--(Table3[Selected]&gt;0))</f>
        <v>0</v>
      </c>
      <c r="H62" s="6" t="b">
        <f>IFERROR(MATCH(Table2[[#This Row],[Country]],GSI!F:F,0)&gt;0,FALSE)</f>
        <v>0</v>
      </c>
      <c r="M62" s="120" t="s">
        <v>192</v>
      </c>
      <c r="N62" s="11" t="s">
        <v>192</v>
      </c>
      <c r="O62" s="11" t="s">
        <v>118</v>
      </c>
      <c r="Q62" t="s">
        <v>145</v>
      </c>
      <c r="R62" s="120" t="s">
        <v>723</v>
      </c>
      <c r="S62" s="42">
        <f>SIGN(SUMPRODUCT($T$3:$AQ$3,$T62:$AQ62))*(MAX($S$3:S61)+1)</f>
        <v>0</v>
      </c>
      <c r="T62" s="31">
        <v>1</v>
      </c>
      <c r="U62" s="31"/>
      <c r="V62" s="31"/>
      <c r="W62" s="31"/>
      <c r="X62" s="31"/>
      <c r="Y62" s="31"/>
      <c r="Z62" s="31"/>
      <c r="AA62" s="31"/>
      <c r="AB62" s="31">
        <v>1</v>
      </c>
      <c r="AC62" s="31"/>
      <c r="AD62" s="31"/>
      <c r="AE62" s="31"/>
      <c r="AF62" s="31"/>
      <c r="AG62" s="31"/>
      <c r="AH62" s="31"/>
      <c r="AI62" s="31"/>
      <c r="AJ62" s="31"/>
      <c r="AK62" s="31"/>
      <c r="AL62" s="31"/>
      <c r="AM62" s="31"/>
      <c r="AN62" s="31"/>
      <c r="AO62" s="31"/>
      <c r="AP62" s="31"/>
      <c r="AQ62" s="31"/>
    </row>
    <row r="63" spans="2:43" x14ac:dyDescent="0.35">
      <c r="B63" s="120" t="s">
        <v>274</v>
      </c>
      <c r="C63">
        <f>IF(B63="","",IFERROR(IFERROR(IFERROR(VLOOKUP(B63,Table6[[Tool Name]:[MS Prevalence]],2,FALSE),VLOOKUP(B63,Table3[[Typed Name]:[MS Prevalence]],3,FALSE)),VLOOKUP(B63,Table4[[Country]:[Estimated prevalence of modern slavery per 1,000 population]],2,FALSE)),0))</f>
        <v>7.6091694831848136</v>
      </c>
      <c r="D63" s="20" t="s">
        <v>274</v>
      </c>
      <c r="E63" s="22">
        <f>IFERROR(VLOOKUP(Table2[[#This Row],[Country]],Table6[[Tool Name]:[MS Prevalence]],2,FALSE),999)</f>
        <v>7.6091694831848136</v>
      </c>
      <c r="F63" s="6" t="str">
        <f>LEFT(Table2[[#This Row],[Country]],4)</f>
        <v>Gabo</v>
      </c>
      <c r="G63" s="6" cm="1">
        <f t="array" ref="G63">SUMPRODUCT(--(Table2[[#This Row],[Country]]=Input!$B$39:$C$58))+SUMPRODUCT(--(Table2[[#This Row],[Country]]=Table3[Tool Name]),--(Table3[Selected]&gt;0))</f>
        <v>0</v>
      </c>
      <c r="H63" s="6" t="b">
        <f>IFERROR(MATCH(Table2[[#This Row],[Country]],GSI!F:F,0)&gt;0,FALSE)</f>
        <v>0</v>
      </c>
      <c r="M63" s="120" t="s">
        <v>192</v>
      </c>
      <c r="N63" s="11" t="s">
        <v>192</v>
      </c>
      <c r="O63" s="11" t="s">
        <v>272</v>
      </c>
      <c r="Q63" t="s">
        <v>273</v>
      </c>
      <c r="R63" s="120" t="s">
        <v>403</v>
      </c>
      <c r="S63" s="42">
        <f>SIGN(SUMPRODUCT($T$3:$AQ$3,$T63:$AQ63))*(MAX($S$3:S62)+1)</f>
        <v>0</v>
      </c>
      <c r="T63" s="31"/>
      <c r="U63" s="31"/>
      <c r="V63" s="31"/>
      <c r="W63" s="31"/>
      <c r="X63" s="31"/>
      <c r="Y63" s="31"/>
      <c r="Z63" s="31"/>
      <c r="AA63" s="31"/>
      <c r="AB63" s="31">
        <v>1</v>
      </c>
      <c r="AC63" s="31"/>
      <c r="AD63" s="31"/>
      <c r="AE63" s="31"/>
      <c r="AF63" s="31"/>
      <c r="AG63" s="31"/>
      <c r="AH63" s="31"/>
      <c r="AI63" s="31"/>
      <c r="AJ63" s="31"/>
      <c r="AK63" s="31"/>
      <c r="AL63" s="31"/>
      <c r="AM63" s="31"/>
      <c r="AN63" s="31"/>
      <c r="AO63" s="31"/>
      <c r="AP63" s="31"/>
      <c r="AQ63" s="31"/>
    </row>
    <row r="64" spans="2:43" x14ac:dyDescent="0.35">
      <c r="B64" s="120" t="s">
        <v>277</v>
      </c>
      <c r="C64">
        <f>IF(B64="","",IFERROR(IFERROR(IFERROR(VLOOKUP(B64,Table6[[Tool Name]:[MS Prevalence]],2,FALSE),VLOOKUP(B64,Table3[[Typed Name]:[MS Prevalence]],3,FALSE)),VLOOKUP(B64,Table4[[Country]:[Estimated prevalence of modern slavery per 1,000 population]],2,FALSE)),0))</f>
        <v>7.7936620712280273</v>
      </c>
      <c r="D64" s="20" t="s">
        <v>277</v>
      </c>
      <c r="E64" s="22">
        <f>IFERROR(VLOOKUP(Table2[[#This Row],[Country]],Table6[[Tool Name]:[MS Prevalence]],2,FALSE),999)</f>
        <v>7.7936620712280273</v>
      </c>
      <c r="F64" s="6" t="str">
        <f>LEFT(Table2[[#This Row],[Country]],4)</f>
        <v>Geor</v>
      </c>
      <c r="G64" s="6" cm="1">
        <f t="array" ref="G64">SUMPRODUCT(--(Table2[[#This Row],[Country]]=Input!$B$39:$C$58))+SUMPRODUCT(--(Table2[[#This Row],[Country]]=Table3[Tool Name]),--(Table3[Selected]&gt;0))</f>
        <v>0</v>
      </c>
      <c r="H64" s="6" t="b">
        <f>IFERROR(MATCH(Table2[[#This Row],[Country]],GSI!F:F,0)&gt;0,FALSE)</f>
        <v>0</v>
      </c>
      <c r="M64" s="120" t="s">
        <v>192</v>
      </c>
      <c r="N64" s="11" t="s">
        <v>192</v>
      </c>
      <c r="O64" s="11" t="s">
        <v>215</v>
      </c>
      <c r="Q64" t="s">
        <v>275</v>
      </c>
      <c r="R64" s="120" t="s">
        <v>97</v>
      </c>
      <c r="S64" s="42">
        <f>SIGN(SUMPRODUCT($T$3:$AQ$3,$T64:$AQ64))*(MAX($S$3:S63)+1)</f>
        <v>0</v>
      </c>
      <c r="T64" s="31"/>
      <c r="U64" s="31"/>
      <c r="V64" s="31"/>
      <c r="W64" s="31"/>
      <c r="X64" s="31"/>
      <c r="Y64" s="31"/>
      <c r="Z64" s="31"/>
      <c r="AA64" s="31"/>
      <c r="AB64" s="31">
        <v>1</v>
      </c>
      <c r="AC64" s="31"/>
      <c r="AD64" s="31"/>
      <c r="AE64" s="31"/>
      <c r="AF64" s="31"/>
      <c r="AG64" s="31"/>
      <c r="AH64" s="31"/>
      <c r="AI64" s="31"/>
      <c r="AJ64" s="31"/>
      <c r="AK64" s="31"/>
      <c r="AL64" s="31"/>
      <c r="AM64" s="31"/>
      <c r="AN64" s="31"/>
      <c r="AO64" s="31"/>
      <c r="AP64" s="31"/>
      <c r="AQ64" s="31"/>
    </row>
    <row r="65" spans="2:43" x14ac:dyDescent="0.35">
      <c r="B65" s="120" t="s">
        <v>279</v>
      </c>
      <c r="C65">
        <f>IF(B65="","",IFERROR(IFERROR(IFERROR(VLOOKUP(B65,Table6[[Tool Name]:[MS Prevalence]],2,FALSE),VLOOKUP(B65,Table3[[Typed Name]:[MS Prevalence]],3,FALSE)),VLOOKUP(B65,Table4[[Country]:[Estimated prevalence of modern slavery per 1,000 population]],2,FALSE)),0))</f>
        <v>0.56499791145324707</v>
      </c>
      <c r="D65" s="20" t="s">
        <v>279</v>
      </c>
      <c r="E65" s="22">
        <f>IFERROR(VLOOKUP(Table2[[#This Row],[Country]],Table6[[Tool Name]:[MS Prevalence]],2,FALSE),999)</f>
        <v>0.56499791145324707</v>
      </c>
      <c r="F65" s="6" t="str">
        <f>LEFT(Table2[[#This Row],[Country]],4)</f>
        <v>Germ</v>
      </c>
      <c r="G65" s="6" cm="1">
        <f t="array" ref="G65">SUMPRODUCT(--(Table2[[#This Row],[Country]]=Input!$B$39:$C$58))+SUMPRODUCT(--(Table2[[#This Row],[Country]]=Table3[Tool Name]),--(Table3[Selected]&gt;0))</f>
        <v>0</v>
      </c>
      <c r="H65" s="6" t="b">
        <f>IFERROR(MATCH(Table2[[#This Row],[Country]],GSI!F:F,0)&gt;0,FALSE)</f>
        <v>0</v>
      </c>
      <c r="M65" s="120" t="s">
        <v>192</v>
      </c>
      <c r="N65" s="11" t="s">
        <v>192</v>
      </c>
      <c r="O65" s="11" t="s">
        <v>103</v>
      </c>
      <c r="Q65" t="s">
        <v>156</v>
      </c>
      <c r="R65" s="120" t="s">
        <v>724</v>
      </c>
      <c r="S65" s="42">
        <f>SIGN(SUMPRODUCT($T$3:$AQ$3,$T65:$AQ65))*(MAX($S$3:S64)+1)</f>
        <v>0</v>
      </c>
      <c r="T65" s="31"/>
      <c r="U65" s="31"/>
      <c r="V65" s="31"/>
      <c r="W65" s="31"/>
      <c r="X65" s="31"/>
      <c r="Y65" s="31"/>
      <c r="Z65" s="31"/>
      <c r="AA65" s="31"/>
      <c r="AB65" s="31">
        <v>1</v>
      </c>
      <c r="AC65" s="31"/>
      <c r="AD65" s="31"/>
      <c r="AE65" s="31"/>
      <c r="AF65" s="31"/>
      <c r="AG65" s="31"/>
      <c r="AH65" s="31"/>
      <c r="AI65" s="31"/>
      <c r="AJ65" s="31"/>
      <c r="AK65" s="31"/>
      <c r="AL65" s="31"/>
      <c r="AM65" s="31"/>
      <c r="AN65" s="31"/>
      <c r="AO65" s="31"/>
      <c r="AP65" s="31"/>
      <c r="AQ65" s="31"/>
    </row>
    <row r="66" spans="2:43" x14ac:dyDescent="0.35">
      <c r="B66" s="120" t="s">
        <v>150</v>
      </c>
      <c r="C66">
        <f>IF(B66="","",IFERROR(IFERROR(IFERROR(VLOOKUP(B66,Table6[[Tool Name]:[MS Prevalence]],2,FALSE),VLOOKUP(B66,Table3[[Typed Name]:[MS Prevalence]],3,FALSE)),VLOOKUP(B66,Table4[[Country]:[Estimated prevalence of modern slavery per 1,000 population]],2,FALSE)),0))</f>
        <v>2.9325580596923828</v>
      </c>
      <c r="D66" s="20" t="s">
        <v>150</v>
      </c>
      <c r="E66" s="22">
        <f>IFERROR(VLOOKUP(Table2[[#This Row],[Country]],Table6[[Tool Name]:[MS Prevalence]],2,FALSE),999)</f>
        <v>2.9325580596923828</v>
      </c>
      <c r="F66" s="6" t="str">
        <f>LEFT(Table2[[#This Row],[Country]],4)</f>
        <v>Ghan</v>
      </c>
      <c r="G66" s="6" cm="1">
        <f t="array" ref="G66">SUMPRODUCT(--(Table2[[#This Row],[Country]]=Input!$B$39:$C$58))+SUMPRODUCT(--(Table2[[#This Row],[Country]]=Table3[Tool Name]),--(Table3[Selected]&gt;0))</f>
        <v>0</v>
      </c>
      <c r="H66" s="6" t="b">
        <f>IFERROR(MATCH(Table2[[#This Row],[Country]],GSI!F:F,0)&gt;0,FALSE)</f>
        <v>0</v>
      </c>
      <c r="M66" s="120" t="s">
        <v>192</v>
      </c>
      <c r="N66" s="11" t="s">
        <v>192</v>
      </c>
      <c r="O66" s="11" t="s">
        <v>107</v>
      </c>
      <c r="Q66" t="s">
        <v>278</v>
      </c>
      <c r="R66" s="120" t="s">
        <v>725</v>
      </c>
      <c r="S66" s="42">
        <f>SIGN(SUMPRODUCT($T$3:$AQ$3,$T66:$AQ66))*(MAX($S$3:S65)+1)</f>
        <v>0</v>
      </c>
      <c r="T66" s="31"/>
      <c r="U66" s="31"/>
      <c r="V66" s="31"/>
      <c r="W66" s="31"/>
      <c r="X66" s="31"/>
      <c r="Y66" s="31"/>
      <c r="Z66" s="31"/>
      <c r="AA66" s="31"/>
      <c r="AB66" s="31">
        <v>1</v>
      </c>
      <c r="AC66" s="31"/>
      <c r="AD66" s="31"/>
      <c r="AE66" s="31"/>
      <c r="AF66" s="31"/>
      <c r="AG66" s="31"/>
      <c r="AH66" s="31"/>
      <c r="AI66" s="31"/>
      <c r="AJ66" s="31"/>
      <c r="AK66" s="31"/>
      <c r="AL66" s="31"/>
      <c r="AM66" s="31"/>
      <c r="AN66" s="31"/>
      <c r="AO66" s="31"/>
      <c r="AP66" s="31"/>
      <c r="AQ66" s="31"/>
    </row>
    <row r="67" spans="2:43" x14ac:dyDescent="0.35">
      <c r="B67" s="120" t="s">
        <v>282</v>
      </c>
      <c r="C67">
        <f>IF(B67="","",IFERROR(IFERROR(IFERROR(VLOOKUP(B67,Table6[[Tool Name]:[MS Prevalence]],2,FALSE),VLOOKUP(B67,Table3[[Typed Name]:[MS Prevalence]],3,FALSE)),VLOOKUP(B67,Table4[[Country]:[Estimated prevalence of modern slavery per 1,000 population]],2,FALSE)),0))</f>
        <v>6.3680648803710938</v>
      </c>
      <c r="D67" s="20" t="s">
        <v>282</v>
      </c>
      <c r="E67" s="22">
        <f>IFERROR(VLOOKUP(Table2[[#This Row],[Country]],Table6[[Tool Name]:[MS Prevalence]],2,FALSE),999)</f>
        <v>6.3680648803710938</v>
      </c>
      <c r="F67" s="6" t="str">
        <f>LEFT(Table2[[#This Row],[Country]],4)</f>
        <v>Gree</v>
      </c>
      <c r="G67" s="6" cm="1">
        <f t="array" ref="G67">SUMPRODUCT(--(Table2[[#This Row],[Country]]=Input!$B$39:$C$58))+SUMPRODUCT(--(Table2[[#This Row],[Country]]=Table3[Tool Name]),--(Table3[Selected]&gt;0))</f>
        <v>0</v>
      </c>
      <c r="H67" s="6" t="b">
        <f>IFERROR(MATCH(Table2[[#This Row],[Country]],GSI!F:F,0)&gt;0,FALSE)</f>
        <v>0</v>
      </c>
      <c r="M67" s="120" t="s">
        <v>192</v>
      </c>
      <c r="N67" s="11" t="s">
        <v>192</v>
      </c>
      <c r="O67" s="11" t="s">
        <v>180</v>
      </c>
      <c r="Q67" t="s">
        <v>280</v>
      </c>
      <c r="R67" s="120" t="s">
        <v>397</v>
      </c>
      <c r="S67" s="42">
        <f>SIGN(SUMPRODUCT($T$3:$AQ$3,$T67:$AQ67))*(MAX($S$3:S66)+1)</f>
        <v>0</v>
      </c>
      <c r="T67" s="31"/>
      <c r="U67" s="31"/>
      <c r="V67" s="31"/>
      <c r="W67" s="31"/>
      <c r="X67" s="31"/>
      <c r="Y67" s="31"/>
      <c r="Z67" s="31"/>
      <c r="AA67" s="31"/>
      <c r="AB67" s="31">
        <v>1</v>
      </c>
      <c r="AC67" s="31"/>
      <c r="AD67" s="31"/>
      <c r="AE67" s="31"/>
      <c r="AF67" s="31"/>
      <c r="AG67" s="31"/>
      <c r="AH67" s="31"/>
      <c r="AI67" s="31"/>
      <c r="AJ67" s="31"/>
      <c r="AK67" s="31"/>
      <c r="AL67" s="31"/>
      <c r="AM67" s="31"/>
      <c r="AN67" s="31"/>
      <c r="AO67" s="31"/>
      <c r="AP67" s="31"/>
      <c r="AQ67" s="31"/>
    </row>
    <row r="68" spans="2:43" x14ac:dyDescent="0.35">
      <c r="B68" s="120" t="s">
        <v>283</v>
      </c>
      <c r="C68">
        <f>IF(B68="","",IFERROR(IFERROR(IFERROR(VLOOKUP(B68,Table6[[Tool Name]:[MS Prevalence]],2,FALSE),VLOOKUP(B68,Table3[[Typed Name]:[MS Prevalence]],3,FALSE)),VLOOKUP(B68,Table4[[Country]:[Estimated prevalence of modern slavery per 1,000 population]],2,FALSE)),0))</f>
        <v>0</v>
      </c>
      <c r="D68" s="20" t="s">
        <v>283</v>
      </c>
      <c r="E68" s="22">
        <f>IFERROR(VLOOKUP(Table2[[#This Row],[Country]],Table6[[Tool Name]:[MS Prevalence]],2,FALSE),999)</f>
        <v>0</v>
      </c>
      <c r="F68" s="6" t="str">
        <f>LEFT(Table2[[#This Row],[Country]],4)</f>
        <v>Gren</v>
      </c>
      <c r="G68" s="6" cm="1">
        <f t="array" ref="G68">SUMPRODUCT(--(Table2[[#This Row],[Country]]=Input!$B$39:$C$58))+SUMPRODUCT(--(Table2[[#This Row],[Country]]=Table3[Tool Name]),--(Table3[Selected]&gt;0))</f>
        <v>0</v>
      </c>
      <c r="H68" s="6" t="b">
        <f>IFERROR(MATCH(Table2[[#This Row],[Country]],GSI!F:F,0)&gt;0,FALSE)</f>
        <v>0</v>
      </c>
      <c r="M68" s="120" t="s">
        <v>192</v>
      </c>
      <c r="N68" s="11" t="s">
        <v>192</v>
      </c>
      <c r="O68" s="11" t="s">
        <v>134</v>
      </c>
      <c r="Q68" t="s">
        <v>281</v>
      </c>
      <c r="R68" s="120" t="s">
        <v>207</v>
      </c>
      <c r="S68" s="42">
        <f>SIGN(SUMPRODUCT($T$3:$AQ$3,$T68:$AQ68))*(MAX($S$3:S67)+1)</f>
        <v>0</v>
      </c>
      <c r="T68" s="31"/>
      <c r="U68" s="31"/>
      <c r="V68" s="31"/>
      <c r="W68" s="31"/>
      <c r="X68" s="31"/>
      <c r="Y68" s="31"/>
      <c r="Z68" s="31"/>
      <c r="AA68" s="31"/>
      <c r="AB68" s="31">
        <v>1</v>
      </c>
      <c r="AC68" s="31"/>
      <c r="AD68" s="31"/>
      <c r="AE68" s="31"/>
      <c r="AF68" s="31"/>
      <c r="AG68" s="31"/>
      <c r="AH68" s="31"/>
      <c r="AI68" s="31"/>
      <c r="AJ68" s="31"/>
      <c r="AK68" s="31"/>
      <c r="AL68" s="31"/>
      <c r="AM68" s="31"/>
      <c r="AN68" s="31"/>
      <c r="AO68" s="31"/>
      <c r="AP68" s="31"/>
      <c r="AQ68" s="31"/>
    </row>
    <row r="69" spans="2:43" x14ac:dyDescent="0.35">
      <c r="B69" s="120" t="s">
        <v>285</v>
      </c>
      <c r="C69">
        <f>IF(B69="","",IFERROR(IFERROR(IFERROR(VLOOKUP(B69,Table6[[Tool Name]:[MS Prevalence]],2,FALSE),VLOOKUP(B69,Table3[[Typed Name]:[MS Prevalence]],3,FALSE)),VLOOKUP(B69,Table4[[Country]:[Estimated prevalence of modern slavery per 1,000 population]],2,FALSE)),0))</f>
        <v>7.8207359313964844</v>
      </c>
      <c r="D69" s="20" t="s">
        <v>285</v>
      </c>
      <c r="E69" s="22">
        <f>IFERROR(VLOOKUP(Table2[[#This Row],[Country]],Table6[[Tool Name]:[MS Prevalence]],2,FALSE),999)</f>
        <v>7.8207359313964844</v>
      </c>
      <c r="F69" s="6" t="str">
        <f>LEFT(Table2[[#This Row],[Country]],4)</f>
        <v>Guat</v>
      </c>
      <c r="G69" s="6" cm="1">
        <f t="array" ref="G69">SUMPRODUCT(--(Table2[[#This Row],[Country]]=Input!$B$39:$C$58))+SUMPRODUCT(--(Table2[[#This Row],[Country]]=Table3[Tool Name]),--(Table3[Selected]&gt;0))</f>
        <v>0</v>
      </c>
      <c r="H69" s="6" t="b">
        <f>IFERROR(MATCH(Table2[[#This Row],[Country]],GSI!F:F,0)&gt;0,FALSE)</f>
        <v>0</v>
      </c>
      <c r="M69" s="120" t="s">
        <v>192</v>
      </c>
      <c r="N69" s="11" t="s">
        <v>192</v>
      </c>
      <c r="O69" s="11" t="s">
        <v>116</v>
      </c>
      <c r="Q69" t="s">
        <v>272</v>
      </c>
      <c r="R69" s="120" t="s">
        <v>726</v>
      </c>
      <c r="S69" s="42">
        <f>SIGN(SUMPRODUCT($T$3:$AQ$3,$T69:$AQ69))*(MAX($S$3:S68)+1)</f>
        <v>0</v>
      </c>
      <c r="T69" s="31"/>
      <c r="U69" s="31"/>
      <c r="V69" s="31"/>
      <c r="W69" s="31"/>
      <c r="X69" s="31"/>
      <c r="Y69" s="31"/>
      <c r="Z69" s="31"/>
      <c r="AA69" s="31"/>
      <c r="AB69" s="31">
        <v>1</v>
      </c>
      <c r="AC69" s="31"/>
      <c r="AD69" s="31"/>
      <c r="AE69" s="31"/>
      <c r="AF69" s="31"/>
      <c r="AG69" s="31"/>
      <c r="AH69" s="31"/>
      <c r="AI69" s="31"/>
      <c r="AJ69" s="31"/>
      <c r="AK69" s="31"/>
      <c r="AL69" s="31"/>
      <c r="AM69" s="31"/>
      <c r="AN69" s="31"/>
      <c r="AO69" s="31"/>
      <c r="AP69" s="31"/>
      <c r="AQ69" s="31"/>
    </row>
    <row r="70" spans="2:43" x14ac:dyDescent="0.35">
      <c r="B70" s="120" t="s">
        <v>286</v>
      </c>
      <c r="C70">
        <f>IF(B70="","",IFERROR(IFERROR(IFERROR(VLOOKUP(B70,Table6[[Tool Name]:[MS Prevalence]],2,FALSE),VLOOKUP(B70,Table3[[Typed Name]:[MS Prevalence]],3,FALSE)),VLOOKUP(B70,Table4[[Country]:[Estimated prevalence of modern slavery per 1,000 population]],2,FALSE)),0))</f>
        <v>4.0234532356262207</v>
      </c>
      <c r="D70" s="20" t="s">
        <v>286</v>
      </c>
      <c r="E70" s="22">
        <f>IFERROR(VLOOKUP(Table2[[#This Row],[Country]],Table6[[Tool Name]:[MS Prevalence]],2,FALSE),999)</f>
        <v>4.0234532356262207</v>
      </c>
      <c r="F70" s="6" t="str">
        <f>LEFT(Table2[[#This Row],[Country]],4)</f>
        <v>Guin</v>
      </c>
      <c r="G70" s="6" cm="1">
        <f t="array" ref="G70">SUMPRODUCT(--(Table2[[#This Row],[Country]]=Input!$B$39:$C$58))+SUMPRODUCT(--(Table2[[#This Row],[Country]]=Table3[Tool Name]),--(Table3[Selected]&gt;0))</f>
        <v>0</v>
      </c>
      <c r="H70" s="6" t="b">
        <f>IFERROR(MATCH(Table2[[#This Row],[Country]],GSI!F:F,0)&gt;0,FALSE)</f>
        <v>0</v>
      </c>
      <c r="M70" s="120" t="s">
        <v>192</v>
      </c>
      <c r="N70" s="11" t="s">
        <v>192</v>
      </c>
      <c r="O70" s="11" t="s">
        <v>237</v>
      </c>
      <c r="Q70" t="s">
        <v>284</v>
      </c>
      <c r="R70" s="120" t="s">
        <v>727</v>
      </c>
      <c r="S70" s="42">
        <f>SIGN(SUMPRODUCT($T$3:$AQ$3,$T70:$AQ70))*(MAX($S$3:S69)+1)</f>
        <v>0</v>
      </c>
      <c r="T70" s="31"/>
      <c r="U70" s="31"/>
      <c r="V70" s="31"/>
      <c r="W70" s="31"/>
      <c r="X70" s="31"/>
      <c r="Y70" s="31"/>
      <c r="Z70" s="31"/>
      <c r="AA70" s="31"/>
      <c r="AB70" s="31">
        <v>1</v>
      </c>
      <c r="AC70" s="31"/>
      <c r="AD70" s="31"/>
      <c r="AE70" s="31"/>
      <c r="AF70" s="31"/>
      <c r="AG70" s="31"/>
      <c r="AH70" s="31"/>
      <c r="AI70" s="31"/>
      <c r="AJ70" s="31"/>
      <c r="AK70" s="31"/>
      <c r="AL70" s="31"/>
      <c r="AM70" s="31"/>
      <c r="AN70" s="31"/>
      <c r="AO70" s="31"/>
      <c r="AP70" s="31"/>
      <c r="AQ70" s="31"/>
    </row>
    <row r="71" spans="2:43" x14ac:dyDescent="0.35">
      <c r="B71" s="120" t="s">
        <v>288</v>
      </c>
      <c r="C71">
        <f>IF(B71="","",IFERROR(IFERROR(IFERROR(VLOOKUP(B71,Table6[[Tool Name]:[MS Prevalence]],2,FALSE),VLOOKUP(B71,Table3[[Typed Name]:[MS Prevalence]],3,FALSE)),VLOOKUP(B71,Table4[[Country]:[Estimated prevalence of modern slavery per 1,000 population]],2,FALSE)),0))</f>
        <v>4.4955711364746094</v>
      </c>
      <c r="D71" s="20" t="s">
        <v>288</v>
      </c>
      <c r="E71" s="22">
        <f>IFERROR(VLOOKUP(Table2[[#This Row],[Country]],Table6[[Tool Name]:[MS Prevalence]],2,FALSE),999)</f>
        <v>4.4955711364746094</v>
      </c>
      <c r="F71" s="6" t="str">
        <f>LEFT(Table2[[#This Row],[Country]],4)</f>
        <v>Guin</v>
      </c>
      <c r="G71" s="6" cm="1">
        <f t="array" ref="G71">SUMPRODUCT(--(Table2[[#This Row],[Country]]=Input!$B$39:$C$58))+SUMPRODUCT(--(Table2[[#This Row],[Country]]=Table3[Tool Name]),--(Table3[Selected]&gt;0))</f>
        <v>0</v>
      </c>
      <c r="H71" s="6" t="b">
        <f>IFERROR(MATCH(Table2[[#This Row],[Country]],GSI!F:F,0)&gt;0,FALSE)</f>
        <v>0</v>
      </c>
      <c r="M71" s="120" t="s">
        <v>192</v>
      </c>
      <c r="N71" s="11" t="s">
        <v>192</v>
      </c>
      <c r="O71" s="11" t="s">
        <v>255</v>
      </c>
      <c r="Q71" t="s">
        <v>236</v>
      </c>
      <c r="R71" s="120" t="s">
        <v>728</v>
      </c>
      <c r="S71" s="42">
        <f>SIGN(SUMPRODUCT($T$3:$AQ$3,$T71:$AQ71))*(MAX($S$3:S70)+1)</f>
        <v>0</v>
      </c>
      <c r="T71" s="31"/>
      <c r="U71" s="31"/>
      <c r="V71" s="31"/>
      <c r="W71" s="31"/>
      <c r="X71" s="31"/>
      <c r="Y71" s="31"/>
      <c r="Z71" s="31"/>
      <c r="AA71" s="31"/>
      <c r="AB71" s="31"/>
      <c r="AC71" s="31"/>
      <c r="AD71" s="31"/>
      <c r="AE71" s="31"/>
      <c r="AF71" s="31"/>
      <c r="AG71" s="31"/>
      <c r="AH71" s="31"/>
      <c r="AI71" s="31"/>
      <c r="AJ71" s="31"/>
      <c r="AK71" s="31"/>
      <c r="AL71" s="31">
        <v>1</v>
      </c>
      <c r="AM71" s="31"/>
      <c r="AN71" s="31"/>
      <c r="AO71" s="31"/>
      <c r="AP71" s="31"/>
      <c r="AQ71" s="31"/>
    </row>
    <row r="72" spans="2:43" x14ac:dyDescent="0.35">
      <c r="B72" s="120" t="s">
        <v>290</v>
      </c>
      <c r="C72">
        <f>IF(B72="","",IFERROR(IFERROR(IFERROR(VLOOKUP(B72,Table6[[Tool Name]:[MS Prevalence]],2,FALSE),VLOOKUP(B72,Table3[[Typed Name]:[MS Prevalence]],3,FALSE)),VLOOKUP(B72,Table4[[Country]:[Estimated prevalence of modern slavery per 1,000 population]],2,FALSE)),0))</f>
        <v>4.188868522644043</v>
      </c>
      <c r="D72" s="20" t="s">
        <v>290</v>
      </c>
      <c r="E72" s="22">
        <f>IFERROR(VLOOKUP(Table2[[#This Row],[Country]],Table6[[Tool Name]:[MS Prevalence]],2,FALSE),999)</f>
        <v>4.188868522644043</v>
      </c>
      <c r="F72" s="6" t="str">
        <f>LEFT(Table2[[#This Row],[Country]],4)</f>
        <v>Guya</v>
      </c>
      <c r="G72" s="6" cm="1">
        <f t="array" ref="G72">SUMPRODUCT(--(Table2[[#This Row],[Country]]=Input!$B$39:$C$58))+SUMPRODUCT(--(Table2[[#This Row],[Country]]=Table3[Tool Name]),--(Table3[Selected]&gt;0))</f>
        <v>0</v>
      </c>
      <c r="H72" s="6" t="b">
        <f>IFERROR(MATCH(Table2[[#This Row],[Country]],GSI!F:F,0)&gt;0,FALSE)</f>
        <v>0</v>
      </c>
      <c r="M72" s="120" t="s">
        <v>192</v>
      </c>
      <c r="N72" s="11" t="s">
        <v>192</v>
      </c>
      <c r="O72" s="11" t="s">
        <v>205</v>
      </c>
      <c r="Q72" t="s">
        <v>287</v>
      </c>
      <c r="R72" s="120" t="s">
        <v>97</v>
      </c>
      <c r="S72" s="42">
        <f>SIGN(SUMPRODUCT($T$3:$AQ$3,$T72:$AQ72))*(MAX($S$3:S71)+1)</f>
        <v>0</v>
      </c>
      <c r="T72" s="31"/>
      <c r="U72" s="31"/>
      <c r="V72" s="31"/>
      <c r="W72" s="31"/>
      <c r="X72" s="31"/>
      <c r="Y72" s="31"/>
      <c r="Z72" s="31"/>
      <c r="AA72" s="31"/>
      <c r="AB72" s="31">
        <v>1</v>
      </c>
      <c r="AC72" s="31"/>
      <c r="AD72" s="31"/>
      <c r="AE72" s="31"/>
      <c r="AF72" s="31"/>
      <c r="AG72" s="31"/>
      <c r="AH72" s="31"/>
      <c r="AI72" s="31"/>
      <c r="AJ72" s="31"/>
      <c r="AK72" s="31"/>
      <c r="AL72" s="31">
        <v>1</v>
      </c>
      <c r="AM72" s="31"/>
      <c r="AN72" s="31"/>
      <c r="AO72" s="31"/>
      <c r="AP72" s="31"/>
      <c r="AQ72" s="31"/>
    </row>
    <row r="73" spans="2:43" x14ac:dyDescent="0.35">
      <c r="B73" s="120" t="s">
        <v>292</v>
      </c>
      <c r="C73">
        <f>IF(B73="","",IFERROR(IFERROR(IFERROR(VLOOKUP(B73,Table6[[Tool Name]:[MS Prevalence]],2,FALSE),VLOOKUP(B73,Table3[[Typed Name]:[MS Prevalence]],3,FALSE)),VLOOKUP(B73,Table4[[Country]:[Estimated prevalence of modern slavery per 1,000 population]],2,FALSE)),0))</f>
        <v>8.2179908752441406</v>
      </c>
      <c r="D73" s="20" t="s">
        <v>292</v>
      </c>
      <c r="E73" s="22">
        <f>IFERROR(VLOOKUP(Table2[[#This Row],[Country]],Table6[[Tool Name]:[MS Prevalence]],2,FALSE),999)</f>
        <v>8.2179908752441406</v>
      </c>
      <c r="F73" s="6" t="str">
        <f>LEFT(Table2[[#This Row],[Country]],4)</f>
        <v>Hait</v>
      </c>
      <c r="G73" s="6" cm="1">
        <f t="array" ref="G73">SUMPRODUCT(--(Table2[[#This Row],[Country]]=Input!$B$39:$C$58))+SUMPRODUCT(--(Table2[[#This Row],[Country]]=Table3[Tool Name]),--(Table3[Selected]&gt;0))</f>
        <v>0</v>
      </c>
      <c r="H73" s="6" t="b">
        <f>IFERROR(MATCH(Table2[[#This Row],[Country]],GSI!F:F,0)&gt;0,FALSE)</f>
        <v>0</v>
      </c>
      <c r="M73" s="120" t="s">
        <v>192</v>
      </c>
      <c r="N73" s="11" t="s">
        <v>192</v>
      </c>
      <c r="O73" s="11" t="s">
        <v>262</v>
      </c>
      <c r="Q73" t="s">
        <v>289</v>
      </c>
      <c r="R73" s="120" t="s">
        <v>263</v>
      </c>
      <c r="S73" s="42">
        <f>SIGN(SUMPRODUCT($T$3:$AQ$3,$T73:$AQ73))*(MAX($S$3:S72)+1)</f>
        <v>0</v>
      </c>
      <c r="T73" s="31"/>
      <c r="U73" s="31"/>
      <c r="V73" s="31"/>
      <c r="W73" s="31"/>
      <c r="X73" s="31"/>
      <c r="Y73" s="31"/>
      <c r="Z73" s="31"/>
      <c r="AA73" s="31"/>
      <c r="AB73" s="31"/>
      <c r="AC73" s="31"/>
      <c r="AD73" s="31"/>
      <c r="AE73" s="31"/>
      <c r="AF73" s="31"/>
      <c r="AG73" s="31"/>
      <c r="AH73" s="31"/>
      <c r="AI73" s="31"/>
      <c r="AJ73" s="31"/>
      <c r="AK73" s="31"/>
      <c r="AL73" s="31">
        <v>1</v>
      </c>
      <c r="AM73" s="31"/>
      <c r="AN73" s="31"/>
      <c r="AO73" s="31"/>
      <c r="AP73" s="31"/>
      <c r="AQ73" s="31"/>
    </row>
    <row r="74" spans="2:43" x14ac:dyDescent="0.35">
      <c r="B74" s="120" t="s">
        <v>294</v>
      </c>
      <c r="C74">
        <f>IF(B74="","",IFERROR(IFERROR(IFERROR(VLOOKUP(B74,Table6[[Tool Name]:[MS Prevalence]],2,FALSE),VLOOKUP(B74,Table3[[Typed Name]:[MS Prevalence]],3,FALSE)),VLOOKUP(B74,Table4[[Country]:[Estimated prevalence of modern slavery per 1,000 population]],2,FALSE)),0))</f>
        <v>6.95623779296875</v>
      </c>
      <c r="D74" s="20" t="s">
        <v>294</v>
      </c>
      <c r="E74" s="22">
        <f>IFERROR(VLOOKUP(Table2[[#This Row],[Country]],Table6[[Tool Name]:[MS Prevalence]],2,FALSE),999)</f>
        <v>6.95623779296875</v>
      </c>
      <c r="F74" s="6" t="str">
        <f>LEFT(Table2[[#This Row],[Country]],4)</f>
        <v>Hond</v>
      </c>
      <c r="G74" s="6" cm="1">
        <f t="array" ref="G74">SUMPRODUCT(--(Table2[[#This Row],[Country]]=Input!$B$39:$C$58))+SUMPRODUCT(--(Table2[[#This Row],[Country]]=Table3[Tool Name]),--(Table3[Selected]&gt;0))</f>
        <v>0</v>
      </c>
      <c r="H74" s="6" t="b">
        <f>IFERROR(MATCH(Table2[[#This Row],[Country]],GSI!F:F,0)&gt;0,FALSE)</f>
        <v>0</v>
      </c>
      <c r="M74" s="120" t="s">
        <v>192</v>
      </c>
      <c r="N74" s="11" t="s">
        <v>192</v>
      </c>
      <c r="O74" s="11" t="s">
        <v>130</v>
      </c>
      <c r="Q74" t="s">
        <v>291</v>
      </c>
      <c r="R74" s="120" t="s">
        <v>321</v>
      </c>
      <c r="S74" s="42">
        <f>SIGN(SUMPRODUCT($T$3:$AQ$3,$T74:$AQ74))*(MAX($S$3:S73)+1)</f>
        <v>0</v>
      </c>
      <c r="T74" s="31"/>
      <c r="U74" s="31"/>
      <c r="V74" s="31"/>
      <c r="W74" s="31"/>
      <c r="X74" s="31"/>
      <c r="Y74" s="31"/>
      <c r="Z74" s="31"/>
      <c r="AA74" s="31"/>
      <c r="AB74" s="31"/>
      <c r="AC74" s="31"/>
      <c r="AD74" s="31"/>
      <c r="AE74" s="31"/>
      <c r="AF74" s="31"/>
      <c r="AG74" s="31"/>
      <c r="AH74" s="31"/>
      <c r="AI74" s="31"/>
      <c r="AJ74" s="31"/>
      <c r="AK74" s="31"/>
      <c r="AL74" s="31">
        <v>1</v>
      </c>
      <c r="AM74" s="31"/>
      <c r="AN74" s="31"/>
      <c r="AO74" s="31"/>
      <c r="AP74" s="31"/>
      <c r="AQ74" s="31"/>
    </row>
    <row r="75" spans="2:43" x14ac:dyDescent="0.35">
      <c r="B75" s="120" t="s">
        <v>299</v>
      </c>
      <c r="C75">
        <f>IF(B75="","",IFERROR(IFERROR(IFERROR(VLOOKUP(B75,Table6[[Tool Name]:[MS Prevalence]],2,FALSE),VLOOKUP(B75,Table3[[Typed Name]:[MS Prevalence]],3,FALSE)),VLOOKUP(B75,Table4[[Country]:[Estimated prevalence of modern slavery per 1,000 population]],2,FALSE)),0))</f>
        <v>6.5651717185974121</v>
      </c>
      <c r="D75" s="20" t="s">
        <v>296</v>
      </c>
      <c r="E75" s="22">
        <f>IFERROR(VLOOKUP(Table2[[#This Row],[Country]],Table6[[Tool Name]:[MS Prevalence]],2,FALSE),999)</f>
        <v>2.762860774993896</v>
      </c>
      <c r="F75" s="6" t="str">
        <f>LEFT(Table2[[#This Row],[Country]],4)</f>
        <v>Hong</v>
      </c>
      <c r="G75" s="6" cm="1">
        <f t="array" ref="G75">SUMPRODUCT(--(Table2[[#This Row],[Country]]=Input!$B$39:$C$58))+SUMPRODUCT(--(Table2[[#This Row],[Country]]=Table3[Tool Name]),--(Table3[Selected]&gt;0))</f>
        <v>0</v>
      </c>
      <c r="H75" s="6" t="b">
        <f>IFERROR(MATCH(Table2[[#This Row],[Country]],GSI!F:F,0)&gt;0,FALSE)</f>
        <v>1</v>
      </c>
      <c r="M75" s="120" t="s">
        <v>192</v>
      </c>
      <c r="N75" s="11" t="s">
        <v>192</v>
      </c>
      <c r="O75" s="11" t="s">
        <v>293</v>
      </c>
      <c r="Q75" t="s">
        <v>162</v>
      </c>
      <c r="R75" s="120" t="s">
        <v>729</v>
      </c>
      <c r="S75" s="42">
        <f>SIGN(SUMPRODUCT($T$3:$AQ$3,$T75:$AQ75))*(MAX($S$3:S74)+1)</f>
        <v>0</v>
      </c>
      <c r="T75" s="31"/>
      <c r="U75" s="31"/>
      <c r="V75" s="31"/>
      <c r="W75" s="31"/>
      <c r="X75" s="31"/>
      <c r="Y75" s="31"/>
      <c r="Z75" s="31"/>
      <c r="AA75" s="31"/>
      <c r="AB75" s="31"/>
      <c r="AC75" s="31"/>
      <c r="AD75" s="31"/>
      <c r="AE75" s="31"/>
      <c r="AF75" s="31"/>
      <c r="AG75" s="31"/>
      <c r="AH75" s="31"/>
      <c r="AI75" s="31"/>
      <c r="AJ75" s="31"/>
      <c r="AK75" s="31"/>
      <c r="AL75" s="31">
        <v>1</v>
      </c>
      <c r="AM75" s="31"/>
      <c r="AN75" s="31"/>
      <c r="AO75" s="31"/>
      <c r="AP75" s="31"/>
      <c r="AQ75" s="31"/>
    </row>
    <row r="76" spans="2:43" x14ac:dyDescent="0.35">
      <c r="B76" s="120" t="s">
        <v>300</v>
      </c>
      <c r="C76">
        <f>IF(B76="","",IFERROR(IFERROR(IFERROR(VLOOKUP(B76,Table6[[Tool Name]:[MS Prevalence]],2,FALSE),VLOOKUP(B76,Table3[[Typed Name]:[MS Prevalence]],3,FALSE)),VLOOKUP(B76,Table4[[Country]:[Estimated prevalence of modern slavery per 1,000 population]],2,FALSE)),0))</f>
        <v>0</v>
      </c>
      <c r="D76" s="20" t="s">
        <v>299</v>
      </c>
      <c r="E76" s="22">
        <f>IFERROR(VLOOKUP(Table2[[#This Row],[Country]],Table6[[Tool Name]:[MS Prevalence]],2,FALSE),999)</f>
        <v>6.5651717185974121</v>
      </c>
      <c r="F76" s="6" t="str">
        <f>LEFT(Table2[[#This Row],[Country]],4)</f>
        <v>Hung</v>
      </c>
      <c r="G76" s="6" cm="1">
        <f t="array" ref="G76">SUMPRODUCT(--(Table2[[#This Row],[Country]]=Input!$B$39:$C$58))+SUMPRODUCT(--(Table2[[#This Row],[Country]]=Table3[Tool Name]),--(Table3[Selected]&gt;0))</f>
        <v>0</v>
      </c>
      <c r="H76" s="6" t="b">
        <f>IFERROR(MATCH(Table2[[#This Row],[Country]],GSI!F:F,0)&gt;0,FALSE)</f>
        <v>0</v>
      </c>
      <c r="M76" s="120" t="s">
        <v>192</v>
      </c>
      <c r="N76" s="11" t="s">
        <v>192</v>
      </c>
      <c r="O76" s="11" t="s">
        <v>145</v>
      </c>
      <c r="Q76" t="s">
        <v>295</v>
      </c>
      <c r="R76" s="120" t="s">
        <v>302</v>
      </c>
      <c r="S76" s="42">
        <f>SIGN(SUMPRODUCT($T$3:$AQ$3,$T76:$AQ76))*(MAX($S$3:S75)+1)</f>
        <v>0</v>
      </c>
      <c r="T76" s="31">
        <v>1</v>
      </c>
      <c r="U76" s="31"/>
      <c r="V76" s="31"/>
      <c r="W76" s="31"/>
      <c r="X76" s="31"/>
      <c r="Y76" s="31"/>
      <c r="Z76" s="31"/>
      <c r="AA76" s="31"/>
      <c r="AB76" s="31">
        <v>1</v>
      </c>
      <c r="AC76" s="31"/>
      <c r="AD76" s="31"/>
      <c r="AE76" s="31"/>
      <c r="AF76" s="31"/>
      <c r="AG76" s="31"/>
      <c r="AH76" s="31"/>
      <c r="AI76" s="31"/>
      <c r="AJ76" s="31"/>
      <c r="AK76" s="31"/>
      <c r="AL76" s="31">
        <v>1</v>
      </c>
      <c r="AM76" s="31"/>
      <c r="AN76" s="31"/>
      <c r="AO76" s="31"/>
      <c r="AP76" s="31"/>
      <c r="AQ76" s="31"/>
    </row>
    <row r="77" spans="2:43" x14ac:dyDescent="0.35">
      <c r="B77" s="120" t="s">
        <v>302</v>
      </c>
      <c r="C77">
        <f>IF(B77="","",IFERROR(IFERROR(IFERROR(VLOOKUP(B77,Table6[[Tool Name]:[MS Prevalence]],2,FALSE),VLOOKUP(B77,Table3[[Typed Name]:[MS Prevalence]],3,FALSE)),VLOOKUP(B77,Table4[[Country]:[Estimated prevalence of modern slavery per 1,000 population]],2,FALSE)),0))</f>
        <v>8.0072460174560547</v>
      </c>
      <c r="D77" s="20" t="s">
        <v>300</v>
      </c>
      <c r="E77" s="22">
        <f>IFERROR(VLOOKUP(Table2[[#This Row],[Country]],Table6[[Tool Name]:[MS Prevalence]],2,FALSE),999)</f>
        <v>0</v>
      </c>
      <c r="F77" s="6" t="str">
        <f>LEFT(Table2[[#This Row],[Country]],4)</f>
        <v>Icel</v>
      </c>
      <c r="G77" s="6" cm="1">
        <f t="array" ref="G77">SUMPRODUCT(--(Table2[[#This Row],[Country]]=Input!$B$39:$C$58))+SUMPRODUCT(--(Table2[[#This Row],[Country]]=Table3[Tool Name]),--(Table3[Selected]&gt;0))</f>
        <v>0</v>
      </c>
      <c r="H77" s="6" t="b">
        <f>IFERROR(MATCH(Table2[[#This Row],[Country]],GSI!F:F,0)&gt;0,FALSE)</f>
        <v>0</v>
      </c>
      <c r="M77" s="120" t="s">
        <v>192</v>
      </c>
      <c r="N77" s="11" t="s">
        <v>192</v>
      </c>
      <c r="O77" s="11" t="s">
        <v>297</v>
      </c>
      <c r="Q77" t="s">
        <v>298</v>
      </c>
      <c r="R77" s="120" t="s">
        <v>249</v>
      </c>
      <c r="S77" s="42">
        <f>SIGN(SUMPRODUCT($T$3:$AQ$3,$T77:$AQ77))*(MAX($S$3:S76)+1)</f>
        <v>0</v>
      </c>
      <c r="T77" s="31"/>
      <c r="U77" s="31"/>
      <c r="V77" s="31"/>
      <c r="W77" s="31"/>
      <c r="X77" s="31"/>
      <c r="Y77" s="31">
        <v>1</v>
      </c>
      <c r="Z77" s="31"/>
      <c r="AA77" s="31"/>
      <c r="AB77" s="31"/>
      <c r="AC77" s="31"/>
      <c r="AD77" s="31"/>
      <c r="AE77" s="31"/>
      <c r="AF77" s="31"/>
      <c r="AG77" s="31"/>
      <c r="AH77" s="31"/>
      <c r="AI77" s="31"/>
      <c r="AJ77" s="31"/>
      <c r="AK77" s="31"/>
      <c r="AL77" s="31">
        <v>1</v>
      </c>
      <c r="AM77" s="31"/>
      <c r="AN77" s="31"/>
      <c r="AO77" s="31"/>
      <c r="AP77" s="31"/>
      <c r="AQ77" s="31"/>
    </row>
    <row r="78" spans="2:43" x14ac:dyDescent="0.35">
      <c r="B78" s="120" t="s">
        <v>158</v>
      </c>
      <c r="C78">
        <f>IF(B78="","",IFERROR(IFERROR(IFERROR(VLOOKUP(B78,Table6[[Tool Name]:[MS Prevalence]],2,FALSE),VLOOKUP(B78,Table3[[Typed Name]:[MS Prevalence]],3,FALSE)),VLOOKUP(B78,Table4[[Country]:[Estimated prevalence of modern slavery per 1,000 population]],2,FALSE)),0))</f>
        <v>6.7028322219848633</v>
      </c>
      <c r="D78" s="20" t="s">
        <v>302</v>
      </c>
      <c r="E78" s="22">
        <f>IFERROR(VLOOKUP(Table2[[#This Row],[Country]],Table6[[Tool Name]:[MS Prevalence]],2,FALSE),999)</f>
        <v>8.0072460174560547</v>
      </c>
      <c r="F78" s="6" t="str">
        <f>LEFT(Table2[[#This Row],[Country]],4)</f>
        <v>Indi</v>
      </c>
      <c r="G78" s="6" cm="1">
        <f t="array" ref="G78">SUMPRODUCT(--(Table2[[#This Row],[Country]]=Input!$B$39:$C$58))+SUMPRODUCT(--(Table2[[#This Row],[Country]]=Table3[Tool Name]),--(Table3[Selected]&gt;0))</f>
        <v>0</v>
      </c>
      <c r="H78" s="6" t="b">
        <f>IFERROR(MATCH(Table2[[#This Row],[Country]],GSI!F:F,0)&gt;0,FALSE)</f>
        <v>0</v>
      </c>
      <c r="M78" s="120" t="s">
        <v>192</v>
      </c>
      <c r="N78" s="11" t="s">
        <v>192</v>
      </c>
      <c r="O78" s="11" t="s">
        <v>153</v>
      </c>
      <c r="Q78" t="s">
        <v>106</v>
      </c>
      <c r="R78" s="120" t="s">
        <v>730</v>
      </c>
      <c r="S78" s="42">
        <f>SIGN(SUMPRODUCT($T$3:$AQ$3,$T78:$AQ78))*(MAX($S$3:S77)+1)</f>
        <v>0</v>
      </c>
      <c r="T78" s="31"/>
      <c r="U78" s="31"/>
      <c r="V78" s="31"/>
      <c r="W78" s="31"/>
      <c r="X78" s="31"/>
      <c r="Y78" s="31"/>
      <c r="Z78" s="31"/>
      <c r="AA78" s="31"/>
      <c r="AB78" s="31"/>
      <c r="AC78" s="31"/>
      <c r="AD78" s="31"/>
      <c r="AE78" s="31"/>
      <c r="AF78" s="31"/>
      <c r="AG78" s="31"/>
      <c r="AH78" s="31"/>
      <c r="AI78" s="31"/>
      <c r="AJ78" s="31"/>
      <c r="AK78" s="31"/>
      <c r="AL78" s="31">
        <v>1</v>
      </c>
      <c r="AM78" s="31"/>
      <c r="AN78" s="31"/>
      <c r="AO78" s="31"/>
      <c r="AP78" s="31"/>
      <c r="AQ78" s="31"/>
    </row>
    <row r="79" spans="2:43" x14ac:dyDescent="0.35">
      <c r="B79" s="120" t="s">
        <v>304</v>
      </c>
      <c r="C79">
        <f>IF(B79="","",IFERROR(IFERROR(IFERROR(VLOOKUP(B79,Table6[[Tool Name]:[MS Prevalence]],2,FALSE),VLOOKUP(B79,Table3[[Typed Name]:[MS Prevalence]],3,FALSE)),VLOOKUP(B79,Table4[[Country]:[Estimated prevalence of modern slavery per 1,000 population]],2,FALSE)),0))</f>
        <v>7.1043071746826172</v>
      </c>
      <c r="D79" s="20" t="s">
        <v>158</v>
      </c>
      <c r="E79" s="22">
        <f>IFERROR(VLOOKUP(Table2[[#This Row],[Country]],Table6[[Tool Name]:[MS Prevalence]],2,FALSE),999)</f>
        <v>6.7028322219848633</v>
      </c>
      <c r="F79" s="6" t="str">
        <f>LEFT(Table2[[#This Row],[Country]],4)</f>
        <v>Indo</v>
      </c>
      <c r="G79" s="6" cm="1">
        <f t="array" ref="G79">SUMPRODUCT(--(Table2[[#This Row],[Country]]=Input!$B$39:$C$58))+SUMPRODUCT(--(Table2[[#This Row],[Country]]=Table3[Tool Name]),--(Table3[Selected]&gt;0))</f>
        <v>0</v>
      </c>
      <c r="H79" s="6" t="b">
        <f>IFERROR(MATCH(Table2[[#This Row],[Country]],GSI!F:F,0)&gt;0,FALSE)</f>
        <v>0</v>
      </c>
      <c r="M79" s="120" t="s">
        <v>201</v>
      </c>
      <c r="N79" s="11" t="s">
        <v>201</v>
      </c>
      <c r="O79" s="11" t="s">
        <v>103</v>
      </c>
      <c r="Q79" t="s">
        <v>301</v>
      </c>
      <c r="R79" s="120" t="s">
        <v>370</v>
      </c>
      <c r="S79" s="42">
        <f>SIGN(SUMPRODUCT($T$3:$AQ$3,$T79:$AQ79))*(MAX($S$3:S78)+1)</f>
        <v>0</v>
      </c>
      <c r="T79" s="31"/>
      <c r="U79" s="31"/>
      <c r="V79" s="31"/>
      <c r="W79" s="31"/>
      <c r="X79" s="31"/>
      <c r="Y79" s="31"/>
      <c r="Z79" s="31"/>
      <c r="AA79" s="31"/>
      <c r="AB79" s="31"/>
      <c r="AC79" s="31"/>
      <c r="AD79" s="31"/>
      <c r="AE79" s="31"/>
      <c r="AF79" s="31"/>
      <c r="AG79" s="31"/>
      <c r="AH79" s="31"/>
      <c r="AI79" s="31"/>
      <c r="AJ79" s="31"/>
      <c r="AK79" s="31"/>
      <c r="AL79" s="31">
        <v>1</v>
      </c>
      <c r="AM79" s="31"/>
      <c r="AN79" s="31"/>
      <c r="AO79" s="31"/>
      <c r="AP79" s="31"/>
      <c r="AQ79" s="31"/>
    </row>
    <row r="80" spans="2:43" x14ac:dyDescent="0.35">
      <c r="B80" s="120" t="s">
        <v>307</v>
      </c>
      <c r="C80">
        <f>IF(B80="","",IFERROR(IFERROR(IFERROR(VLOOKUP(B80,Table6[[Tool Name]:[MS Prevalence]],2,FALSE),VLOOKUP(B80,Table3[[Typed Name]:[MS Prevalence]],3,FALSE)),VLOOKUP(B80,Table4[[Country]:[Estimated prevalence of modern slavery per 1,000 population]],2,FALSE)),0))</f>
        <v>5.4922622673397301</v>
      </c>
      <c r="D80" s="20" t="s">
        <v>304</v>
      </c>
      <c r="E80" s="22">
        <f>IFERROR(VLOOKUP(Table2[[#This Row],[Country]],Table6[[Tool Name]:[MS Prevalence]],2,FALSE),999)</f>
        <v>7.1043071746826172</v>
      </c>
      <c r="F80" s="6" t="str">
        <f>LEFT(Table2[[#This Row],[Country]],4)</f>
        <v>Iran</v>
      </c>
      <c r="G80" s="6" cm="1">
        <f t="array" ref="G80">SUMPRODUCT(--(Table2[[#This Row],[Country]]=Input!$B$39:$C$58))+SUMPRODUCT(--(Table2[[#This Row],[Country]]=Table3[Tool Name]),--(Table3[Selected]&gt;0))</f>
        <v>0</v>
      </c>
      <c r="H80" s="6" t="b">
        <f>IFERROR(MATCH(Table2[[#This Row],[Country]],GSI!F:F,0)&gt;0,FALSE)</f>
        <v>0</v>
      </c>
      <c r="M80" s="120" t="s">
        <v>201</v>
      </c>
      <c r="N80" s="11" t="s">
        <v>201</v>
      </c>
      <c r="O80" s="11" t="s">
        <v>240</v>
      </c>
      <c r="Q80" t="s">
        <v>170</v>
      </c>
      <c r="R80" s="120" t="s">
        <v>731</v>
      </c>
      <c r="S80" s="42">
        <f>SIGN(SUMPRODUCT($T$3:$AQ$3,$T80:$AQ80))*(MAX($S$3:S79)+1)</f>
        <v>0</v>
      </c>
      <c r="T80" s="31"/>
      <c r="U80" s="31"/>
      <c r="V80" s="31"/>
      <c r="W80" s="31"/>
      <c r="X80" s="31"/>
      <c r="Y80" s="31"/>
      <c r="Z80" s="31"/>
      <c r="AA80" s="31"/>
      <c r="AB80" s="31"/>
      <c r="AC80" s="31"/>
      <c r="AD80" s="31"/>
      <c r="AE80" s="31"/>
      <c r="AF80" s="31"/>
      <c r="AG80" s="31"/>
      <c r="AH80" s="31"/>
      <c r="AI80" s="31"/>
      <c r="AJ80" s="31"/>
      <c r="AK80" s="31"/>
      <c r="AL80" s="31"/>
      <c r="AM80" s="31"/>
      <c r="AN80" s="31"/>
      <c r="AO80" s="31"/>
      <c r="AP80" s="31">
        <v>1</v>
      </c>
      <c r="AQ80" s="31"/>
    </row>
    <row r="81" spans="2:43" x14ac:dyDescent="0.35">
      <c r="B81" s="120" t="s">
        <v>308</v>
      </c>
      <c r="C81">
        <f>IF(B81="","",IFERROR(IFERROR(IFERROR(VLOOKUP(B81,Table6[[Tool Name]:[MS Prevalence]],2,FALSE),VLOOKUP(B81,Table3[[Typed Name]:[MS Prevalence]],3,FALSE)),VLOOKUP(B81,Table4[[Country]:[Estimated prevalence of modern slavery per 1,000 population]],2,FALSE)),0))</f>
        <v>1.1019912958145139</v>
      </c>
      <c r="D81" s="20" t="s">
        <v>307</v>
      </c>
      <c r="E81" s="22">
        <f>IFERROR(VLOOKUP(Table2[[#This Row],[Country]],Table6[[Tool Name]:[MS Prevalence]],2,FALSE),999)</f>
        <v>5.4922622673397301</v>
      </c>
      <c r="F81" s="6" t="str">
        <f>LEFT(Table2[[#This Row],[Country]],4)</f>
        <v>Iraq</v>
      </c>
      <c r="G81" s="6" cm="1">
        <f t="array" ref="G81">SUMPRODUCT(--(Table2[[#This Row],[Country]]=Input!$B$39:$C$58))+SUMPRODUCT(--(Table2[[#This Row],[Country]]=Table3[Tool Name]),--(Table3[Selected]&gt;0))</f>
        <v>0</v>
      </c>
      <c r="H81" s="6" t="b">
        <f>IFERROR(MATCH(Table2[[#This Row],[Country]],GSI!F:F,0)&gt;0,FALSE)</f>
        <v>0</v>
      </c>
      <c r="M81" s="120" t="s">
        <v>201</v>
      </c>
      <c r="N81" s="11" t="s">
        <v>201</v>
      </c>
      <c r="O81" s="11" t="s">
        <v>303</v>
      </c>
      <c r="Q81" t="s">
        <v>153</v>
      </c>
      <c r="R81" s="120" t="s">
        <v>732</v>
      </c>
      <c r="S81" s="42">
        <f>SIGN(SUMPRODUCT($T$3:$AQ$3,$T81:$AQ81))*(MAX($S$3:S80)+1)</f>
        <v>0</v>
      </c>
      <c r="T81" s="31"/>
      <c r="U81" s="31"/>
      <c r="V81" s="31"/>
      <c r="W81" s="31"/>
      <c r="X81" s="31"/>
      <c r="Y81" s="31"/>
      <c r="Z81" s="31"/>
      <c r="AA81" s="31"/>
      <c r="AB81" s="31"/>
      <c r="AC81" s="31"/>
      <c r="AD81" s="31"/>
      <c r="AE81" s="31"/>
      <c r="AF81" s="31"/>
      <c r="AG81" s="31"/>
      <c r="AH81" s="31"/>
      <c r="AI81" s="31"/>
      <c r="AJ81" s="31"/>
      <c r="AK81" s="31"/>
      <c r="AL81" s="31"/>
      <c r="AM81" s="31"/>
      <c r="AN81" s="31"/>
      <c r="AO81" s="31"/>
      <c r="AP81" s="31">
        <v>1</v>
      </c>
      <c r="AQ81" s="31"/>
    </row>
    <row r="82" spans="2:43" x14ac:dyDescent="0.35">
      <c r="B82" s="120" t="s">
        <v>310</v>
      </c>
      <c r="C82">
        <f>IF(B82="","",IFERROR(IFERROR(IFERROR(VLOOKUP(B82,Table6[[Tool Name]:[MS Prevalence]],2,FALSE),VLOOKUP(B82,Table3[[Typed Name]:[MS Prevalence]],3,FALSE)),VLOOKUP(B82,Table4[[Country]:[Estimated prevalence of modern slavery per 1,000 population]],2,FALSE)),0))</f>
        <v>3.792859554290771</v>
      </c>
      <c r="D82" s="20" t="s">
        <v>308</v>
      </c>
      <c r="E82" s="22">
        <f>IFERROR(VLOOKUP(Table2[[#This Row],[Country]],Table6[[Tool Name]:[MS Prevalence]],2,FALSE),999)</f>
        <v>1.1019912958145139</v>
      </c>
      <c r="F82" s="6" t="str">
        <f>LEFT(Table2[[#This Row],[Country]],4)</f>
        <v>Irel</v>
      </c>
      <c r="G82" s="6" cm="1">
        <f t="array" ref="G82">SUMPRODUCT(--(Table2[[#This Row],[Country]]=Input!$B$39:$C$58))+SUMPRODUCT(--(Table2[[#This Row],[Country]]=Table3[Tool Name]),--(Table3[Selected]&gt;0))</f>
        <v>0</v>
      </c>
      <c r="H82" s="6" t="b">
        <f>IFERROR(MATCH(Table2[[#This Row],[Country]],GSI!F:F,0)&gt;0,FALSE)</f>
        <v>0</v>
      </c>
      <c r="M82" s="120" t="s">
        <v>370</v>
      </c>
      <c r="N82" s="11" t="s">
        <v>305</v>
      </c>
      <c r="O82" s="11" t="s">
        <v>306</v>
      </c>
      <c r="Q82" t="s">
        <v>306</v>
      </c>
      <c r="R82" s="120" t="s">
        <v>370</v>
      </c>
      <c r="S82" s="42">
        <f>SIGN(SUMPRODUCT($T$3:$AQ$3,$T82:$AQ82))*(MAX($S$3:S81)+1)</f>
        <v>0</v>
      </c>
      <c r="T82" s="31"/>
      <c r="U82" s="31">
        <v>1</v>
      </c>
      <c r="V82" s="31"/>
      <c r="W82" s="31">
        <v>1</v>
      </c>
      <c r="X82" s="31"/>
      <c r="Y82" s="31"/>
      <c r="Z82" s="31"/>
      <c r="AA82" s="31"/>
      <c r="AB82" s="31"/>
      <c r="AC82" s="31"/>
      <c r="AD82" s="31">
        <v>1</v>
      </c>
      <c r="AE82" s="31"/>
      <c r="AF82" s="31"/>
      <c r="AG82" s="31"/>
      <c r="AH82" s="31"/>
      <c r="AI82" s="31"/>
      <c r="AJ82" s="31"/>
      <c r="AK82" s="31">
        <v>1</v>
      </c>
      <c r="AL82" s="31"/>
      <c r="AM82" s="31"/>
      <c r="AN82" s="31"/>
      <c r="AO82" s="31">
        <v>1</v>
      </c>
      <c r="AP82" s="31"/>
      <c r="AQ82" s="31"/>
    </row>
    <row r="83" spans="2:43" x14ac:dyDescent="0.35">
      <c r="B83" s="120" t="s">
        <v>311</v>
      </c>
      <c r="C83">
        <f>IF(B83="","",IFERROR(IFERROR(IFERROR(VLOOKUP(B83,Table6[[Tool Name]:[MS Prevalence]],2,FALSE),VLOOKUP(B83,Table3[[Typed Name]:[MS Prevalence]],3,FALSE)),VLOOKUP(B83,Table4[[Country]:[Estimated prevalence of modern slavery per 1,000 population]],2,FALSE)),0))</f>
        <v>3.26297926902771</v>
      </c>
      <c r="D83" s="20" t="s">
        <v>310</v>
      </c>
      <c r="E83" s="22">
        <f>IFERROR(VLOOKUP(Table2[[#This Row],[Country]],Table6[[Tool Name]:[MS Prevalence]],2,FALSE),999)</f>
        <v>3.792859554290771</v>
      </c>
      <c r="F83" s="6" t="str">
        <f>LEFT(Table2[[#This Row],[Country]],4)</f>
        <v>Isra</v>
      </c>
      <c r="G83" s="6" cm="1">
        <f t="array" ref="G83">SUMPRODUCT(--(Table2[[#This Row],[Country]]=Input!$B$39:$C$58))+SUMPRODUCT(--(Table2[[#This Row],[Country]]=Table3[Tool Name]),--(Table3[Selected]&gt;0))</f>
        <v>0</v>
      </c>
      <c r="H83" s="6" t="b">
        <f>IFERROR(MATCH(Table2[[#This Row],[Country]],GSI!F:F,0)&gt;0,FALSE)</f>
        <v>0</v>
      </c>
      <c r="M83" s="120" t="s">
        <v>370</v>
      </c>
      <c r="N83" s="11" t="s">
        <v>305</v>
      </c>
      <c r="O83" s="11" t="s">
        <v>174</v>
      </c>
      <c r="Q83" t="s">
        <v>220</v>
      </c>
      <c r="R83" s="120" t="s">
        <v>161</v>
      </c>
      <c r="S83" s="42">
        <f>SIGN(SUMPRODUCT($T$3:$AQ$3,$T83:$AQ83))*(MAX($S$3:S82)+1)</f>
        <v>0</v>
      </c>
      <c r="T83" s="31"/>
      <c r="U83" s="31"/>
      <c r="V83" s="31"/>
      <c r="W83" s="31"/>
      <c r="X83" s="31">
        <v>1</v>
      </c>
      <c r="Y83" s="31"/>
      <c r="Z83" s="31"/>
      <c r="AA83" s="31"/>
      <c r="AB83" s="31"/>
      <c r="AC83" s="31"/>
      <c r="AD83" s="31">
        <v>1</v>
      </c>
      <c r="AE83" s="31"/>
      <c r="AF83" s="31"/>
      <c r="AG83" s="31"/>
      <c r="AH83" s="31"/>
      <c r="AI83" s="31"/>
      <c r="AJ83" s="31"/>
      <c r="AK83" s="31"/>
      <c r="AL83" s="31"/>
      <c r="AM83" s="31"/>
      <c r="AN83" s="31"/>
      <c r="AO83" s="31">
        <v>1</v>
      </c>
      <c r="AP83" s="31"/>
      <c r="AQ83" s="31"/>
    </row>
    <row r="84" spans="2:43" x14ac:dyDescent="0.35">
      <c r="B84" s="120" t="s">
        <v>230</v>
      </c>
      <c r="C84">
        <f>IF(B84="","",IFERROR(IFERROR(IFERROR(VLOOKUP(B84,Table6[[Tool Name]:[MS Prevalence]],2,FALSE),VLOOKUP(B84,Table3[[Typed Name]:[MS Prevalence]],3,FALSE)),VLOOKUP(B84,Table4[[Country]:[Estimated prevalence of modern slavery per 1,000 population]],2,FALSE)),0))</f>
        <v>7.3120203018188477</v>
      </c>
      <c r="D84" s="20" t="s">
        <v>311</v>
      </c>
      <c r="E84" s="22">
        <f>IFERROR(VLOOKUP(Table2[[#This Row],[Country]],Table6[[Tool Name]:[MS Prevalence]],2,FALSE),999)</f>
        <v>3.26297926902771</v>
      </c>
      <c r="F84" s="6" t="str">
        <f>LEFT(Table2[[#This Row],[Country]],4)</f>
        <v>Ital</v>
      </c>
      <c r="G84" s="6" cm="1">
        <f t="array" ref="G84">SUMPRODUCT(--(Table2[[#This Row],[Country]]=Input!$B$39:$C$58))+SUMPRODUCT(--(Table2[[#This Row],[Country]]=Table3[Tool Name]),--(Table3[Selected]&gt;0))</f>
        <v>0</v>
      </c>
      <c r="H84" s="6" t="b">
        <f>IFERROR(MATCH(Table2[[#This Row],[Country]],GSI!F:F,0)&gt;0,FALSE)</f>
        <v>0</v>
      </c>
      <c r="M84" s="120" t="s">
        <v>370</v>
      </c>
      <c r="N84" s="11" t="s">
        <v>305</v>
      </c>
      <c r="O84" s="11" t="s">
        <v>88</v>
      </c>
      <c r="Q84" t="s">
        <v>309</v>
      </c>
      <c r="R84" s="120" t="s">
        <v>370</v>
      </c>
      <c r="S84" s="42">
        <f>SIGN(SUMPRODUCT($T$3:$AQ$3,$T84:$AQ84))*(MAX($S$3:S83)+1)</f>
        <v>0</v>
      </c>
      <c r="T84" s="31"/>
      <c r="U84" s="31"/>
      <c r="V84" s="31"/>
      <c r="W84" s="31"/>
      <c r="X84" s="31">
        <v>1</v>
      </c>
      <c r="Y84" s="31"/>
      <c r="Z84" s="31"/>
      <c r="AA84" s="31"/>
      <c r="AB84" s="31"/>
      <c r="AC84" s="31"/>
      <c r="AD84" s="31">
        <v>1</v>
      </c>
      <c r="AE84" s="31"/>
      <c r="AF84" s="31"/>
      <c r="AG84" s="31"/>
      <c r="AH84" s="31"/>
      <c r="AI84" s="31"/>
      <c r="AJ84" s="31"/>
      <c r="AK84" s="31"/>
      <c r="AL84" s="31"/>
      <c r="AM84" s="31"/>
      <c r="AN84" s="31"/>
      <c r="AO84" s="31">
        <v>1</v>
      </c>
      <c r="AP84" s="31"/>
      <c r="AQ84" s="31"/>
    </row>
    <row r="85" spans="2:43" x14ac:dyDescent="0.35">
      <c r="B85" s="120" t="s">
        <v>312</v>
      </c>
      <c r="C85">
        <f>IF(B85="","",IFERROR(IFERROR(IFERROR(VLOOKUP(B85,Table6[[Tool Name]:[MS Prevalence]],2,FALSE),VLOOKUP(B85,Table3[[Typed Name]:[MS Prevalence]],3,FALSE)),VLOOKUP(B85,Table4[[Country]:[Estimated prevalence of modern slavery per 1,000 population]],2,FALSE)),0))</f>
        <v>7.2874741554260254</v>
      </c>
      <c r="D85" s="20" t="s">
        <v>230</v>
      </c>
      <c r="E85" s="22">
        <f>IFERROR(VLOOKUP(Table2[[#This Row],[Country]],Table6[[Tool Name]:[MS Prevalence]],2,FALSE),999)</f>
        <v>7.3120203018188477</v>
      </c>
      <c r="F85" s="6" t="str">
        <f>LEFT(Table2[[#This Row],[Country]],4)</f>
        <v>Ivor</v>
      </c>
      <c r="G85" s="6" cm="1">
        <f t="array" ref="G85">SUMPRODUCT(--(Table2[[#This Row],[Country]]=Input!$B$39:$C$58))+SUMPRODUCT(--(Table2[[#This Row],[Country]]=Table3[Tool Name]),--(Table3[Selected]&gt;0))</f>
        <v>0</v>
      </c>
      <c r="H85" s="6" t="b">
        <f>IFERROR(MATCH(Table2[[#This Row],[Country]],GSI!F:F,0)&gt;0,FALSE)</f>
        <v>0</v>
      </c>
      <c r="M85" s="120" t="s">
        <v>370</v>
      </c>
      <c r="N85" s="11" t="s">
        <v>305</v>
      </c>
      <c r="O85" s="11" t="s">
        <v>107</v>
      </c>
      <c r="Q85" t="s">
        <v>297</v>
      </c>
      <c r="R85" s="120" t="s">
        <v>733</v>
      </c>
      <c r="S85" s="42">
        <f>SIGN(SUMPRODUCT($T$3:$AQ$3,$T85:$AQ85))*(MAX($S$3:S84)+1)</f>
        <v>0</v>
      </c>
      <c r="T85" s="31"/>
      <c r="U85" s="31">
        <v>1</v>
      </c>
      <c r="V85" s="31"/>
      <c r="W85" s="31"/>
      <c r="X85" s="31">
        <v>1</v>
      </c>
      <c r="Y85" s="31"/>
      <c r="Z85" s="31"/>
      <c r="AA85" s="31"/>
      <c r="AB85" s="31"/>
      <c r="AC85" s="31"/>
      <c r="AD85" s="31">
        <v>1</v>
      </c>
      <c r="AE85" s="31"/>
      <c r="AF85" s="31"/>
      <c r="AG85" s="31"/>
      <c r="AH85" s="31"/>
      <c r="AI85" s="31"/>
      <c r="AJ85" s="31"/>
      <c r="AK85" s="31"/>
      <c r="AL85" s="31"/>
      <c r="AM85" s="31"/>
      <c r="AN85" s="31"/>
      <c r="AO85" s="31">
        <v>1</v>
      </c>
      <c r="AP85" s="31"/>
      <c r="AQ85" s="31"/>
    </row>
    <row r="86" spans="2:43" x14ac:dyDescent="0.35">
      <c r="B86" s="120" t="s">
        <v>314</v>
      </c>
      <c r="C86">
        <f>IF(B86="","",IFERROR(IFERROR(IFERROR(VLOOKUP(B86,Table6[[Tool Name]:[MS Prevalence]],2,FALSE),VLOOKUP(B86,Table3[[Typed Name]:[MS Prevalence]],3,FALSE)),VLOOKUP(B86,Table4[[Country]:[Estimated prevalence of modern slavery per 1,000 population]],2,FALSE)),0))</f>
        <v>1.1408095359802251</v>
      </c>
      <c r="D86" s="20" t="s">
        <v>312</v>
      </c>
      <c r="E86" s="22">
        <f>IFERROR(VLOOKUP(Table2[[#This Row],[Country]],Table6[[Tool Name]:[MS Prevalence]],2,FALSE),999)</f>
        <v>7.2874741554260254</v>
      </c>
      <c r="F86" s="6" t="str">
        <f>LEFT(Table2[[#This Row],[Country]],4)</f>
        <v>Jama</v>
      </c>
      <c r="G86" s="6" cm="1">
        <f t="array" ref="G86">SUMPRODUCT(--(Table2[[#This Row],[Country]]=Input!$B$39:$C$58))+SUMPRODUCT(--(Table2[[#This Row],[Country]]=Table3[Tool Name]),--(Table3[Selected]&gt;0))</f>
        <v>0</v>
      </c>
      <c r="H86" s="6" t="b">
        <f>IFERROR(MATCH(Table2[[#This Row],[Country]],GSI!F:F,0)&gt;0,FALSE)</f>
        <v>0</v>
      </c>
      <c r="M86" s="120" t="s">
        <v>370</v>
      </c>
      <c r="N86" s="11" t="s">
        <v>305</v>
      </c>
      <c r="O86" s="11" t="s">
        <v>134</v>
      </c>
      <c r="Q86" t="s">
        <v>95</v>
      </c>
      <c r="R86" s="120" t="s">
        <v>734</v>
      </c>
      <c r="S86" s="42">
        <f>SIGN(SUMPRODUCT($T$3:$AQ$3,$T86:$AQ86))*(MAX($S$3:S85)+1)</f>
        <v>0</v>
      </c>
      <c r="T86" s="31"/>
      <c r="U86" s="31"/>
      <c r="V86" s="31"/>
      <c r="W86" s="31"/>
      <c r="X86" s="31"/>
      <c r="Y86" s="31"/>
      <c r="Z86" s="31"/>
      <c r="AA86" s="31"/>
      <c r="AB86" s="31"/>
      <c r="AC86" s="31"/>
      <c r="AD86" s="31">
        <v>1</v>
      </c>
      <c r="AE86" s="31"/>
      <c r="AF86" s="31"/>
      <c r="AG86" s="31"/>
      <c r="AH86" s="31"/>
      <c r="AI86" s="31"/>
      <c r="AJ86" s="31"/>
      <c r="AK86" s="31"/>
      <c r="AL86" s="31"/>
      <c r="AM86" s="31"/>
      <c r="AN86" s="31"/>
      <c r="AO86" s="31"/>
      <c r="AP86" s="31"/>
      <c r="AQ86" s="31"/>
    </row>
    <row r="87" spans="2:43" x14ac:dyDescent="0.35">
      <c r="B87" s="120" t="s">
        <v>317</v>
      </c>
      <c r="C87">
        <f>IF(B87="","",IFERROR(IFERROR(IFERROR(VLOOKUP(B87,Table6[[Tool Name]:[MS Prevalence]],2,FALSE),VLOOKUP(B87,Table3[[Typed Name]:[MS Prevalence]],3,FALSE)),VLOOKUP(B87,Table4[[Country]:[Estimated prevalence of modern slavery per 1,000 population]],2,FALSE)),0))</f>
        <v>10.005855967217204</v>
      </c>
      <c r="D87" s="20" t="s">
        <v>314</v>
      </c>
      <c r="E87" s="22">
        <f>IFERROR(VLOOKUP(Table2[[#This Row],[Country]],Table6[[Tool Name]:[MS Prevalence]],2,FALSE),999)</f>
        <v>1.1408095359802251</v>
      </c>
      <c r="F87" s="6" t="str">
        <f>LEFT(Table2[[#This Row],[Country]],4)</f>
        <v>Japa</v>
      </c>
      <c r="G87" s="6" cm="1">
        <f t="array" ref="G87">SUMPRODUCT(--(Table2[[#This Row],[Country]]=Input!$B$39:$C$58))+SUMPRODUCT(--(Table2[[#This Row],[Country]]=Table3[Tool Name]),--(Table3[Selected]&gt;0))</f>
        <v>0</v>
      </c>
      <c r="H87" s="6" t="b">
        <f>IFERROR(MATCH(Table2[[#This Row],[Country]],GSI!F:F,0)&gt;0,FALSE)</f>
        <v>0</v>
      </c>
      <c r="M87" s="120" t="s">
        <v>370</v>
      </c>
      <c r="N87" s="11" t="s">
        <v>305</v>
      </c>
      <c r="O87" s="11" t="s">
        <v>313</v>
      </c>
      <c r="Q87" t="s">
        <v>103</v>
      </c>
      <c r="R87" s="120" t="s">
        <v>735</v>
      </c>
      <c r="S87" s="42">
        <f>SIGN(SUMPRODUCT($T$3:$AQ$3,$T87:$AQ87))*(MAX($S$3:S86)+1)</f>
        <v>0</v>
      </c>
      <c r="T87" s="31"/>
      <c r="U87" s="31"/>
      <c r="V87" s="31">
        <v>1</v>
      </c>
      <c r="W87" s="31">
        <v>1</v>
      </c>
      <c r="X87" s="31"/>
      <c r="Y87" s="31"/>
      <c r="Z87" s="31"/>
      <c r="AA87" s="31"/>
      <c r="AB87" s="31"/>
      <c r="AC87" s="31"/>
      <c r="AD87" s="31"/>
      <c r="AE87" s="31"/>
      <c r="AF87" s="31"/>
      <c r="AG87" s="31"/>
      <c r="AH87" s="31"/>
      <c r="AI87" s="31"/>
      <c r="AJ87" s="31"/>
      <c r="AK87" s="31">
        <v>1</v>
      </c>
      <c r="AL87" s="31"/>
      <c r="AM87" s="31"/>
      <c r="AN87" s="31"/>
      <c r="AO87" s="31"/>
      <c r="AP87" s="31"/>
      <c r="AQ87" s="31"/>
    </row>
    <row r="88" spans="2:43" x14ac:dyDescent="0.35">
      <c r="B88" s="120" t="s">
        <v>319</v>
      </c>
      <c r="C88">
        <f>IF(B88="","",IFERROR(IFERROR(IFERROR(VLOOKUP(B88,Table6[[Tool Name]:[MS Prevalence]],2,FALSE),VLOOKUP(B88,Table3[[Typed Name]:[MS Prevalence]],3,FALSE)),VLOOKUP(B88,Table4[[Country]:[Estimated prevalence of modern slavery per 1,000 population]],2,FALSE)),0))</f>
        <v>11.06179714202881</v>
      </c>
      <c r="D88" s="20" t="s">
        <v>317</v>
      </c>
      <c r="E88" s="22">
        <f>IFERROR(VLOOKUP(Table2[[#This Row],[Country]],Table6[[Tool Name]:[MS Prevalence]],2,FALSE),999)</f>
        <v>10.005855967217204</v>
      </c>
      <c r="F88" s="6" t="str">
        <f>LEFT(Table2[[#This Row],[Country]],4)</f>
        <v>Jord</v>
      </c>
      <c r="G88" s="6" cm="1">
        <f t="array" ref="G88">SUMPRODUCT(--(Table2[[#This Row],[Country]]=Input!$B$39:$C$58))+SUMPRODUCT(--(Table2[[#This Row],[Country]]=Table3[Tool Name]),--(Table3[Selected]&gt;0))</f>
        <v>0</v>
      </c>
      <c r="H88" s="6" t="b">
        <f>IFERROR(MATCH(Table2[[#This Row],[Country]],GSI!F:F,0)&gt;0,FALSE)</f>
        <v>0</v>
      </c>
      <c r="M88" s="120" t="s">
        <v>370</v>
      </c>
      <c r="N88" s="11" t="s">
        <v>305</v>
      </c>
      <c r="O88" s="11" t="s">
        <v>315</v>
      </c>
      <c r="Q88" t="s">
        <v>316</v>
      </c>
      <c r="R88" s="120" t="s">
        <v>736</v>
      </c>
      <c r="S88" s="42">
        <f>SIGN(SUMPRODUCT($T$3:$AQ$3,$T88:$AQ88))*(MAX($S$3:S87)+1)</f>
        <v>0</v>
      </c>
      <c r="T88" s="31"/>
      <c r="U88" s="31"/>
      <c r="V88" s="31"/>
      <c r="W88" s="31">
        <v>1</v>
      </c>
      <c r="X88" s="31"/>
      <c r="Y88" s="31"/>
      <c r="Z88" s="31"/>
      <c r="AA88" s="31"/>
      <c r="AB88" s="31"/>
      <c r="AC88" s="31"/>
      <c r="AD88" s="31"/>
      <c r="AE88" s="31"/>
      <c r="AF88" s="31"/>
      <c r="AG88" s="31"/>
      <c r="AH88" s="31"/>
      <c r="AI88" s="31"/>
      <c r="AJ88" s="31"/>
      <c r="AK88" s="31">
        <v>1</v>
      </c>
      <c r="AL88" s="31"/>
      <c r="AM88" s="31"/>
      <c r="AN88" s="31"/>
      <c r="AO88" s="31"/>
      <c r="AP88" s="31"/>
      <c r="AQ88" s="31"/>
    </row>
    <row r="89" spans="2:43" x14ac:dyDescent="0.35">
      <c r="B89" s="120" t="s">
        <v>321</v>
      </c>
      <c r="C89">
        <f>IF(B89="","",IFERROR(IFERROR(IFERROR(VLOOKUP(B89,Table6[[Tool Name]:[MS Prevalence]],2,FALSE),VLOOKUP(B89,Table3[[Typed Name]:[MS Prevalence]],3,FALSE)),VLOOKUP(B89,Table4[[Country]:[Estimated prevalence of modern slavery per 1,000 population]],2,FALSE)),0))</f>
        <v>5.0034627914428711</v>
      </c>
      <c r="D89" s="20" t="s">
        <v>319</v>
      </c>
      <c r="E89" s="22">
        <f>IFERROR(VLOOKUP(Table2[[#This Row],[Country]],Table6[[Tool Name]:[MS Prevalence]],2,FALSE),999)</f>
        <v>11.06179714202881</v>
      </c>
      <c r="F89" s="6" t="str">
        <f>LEFT(Table2[[#This Row],[Country]],4)</f>
        <v>Kaza</v>
      </c>
      <c r="G89" s="6" cm="1">
        <f t="array" ref="G89">SUMPRODUCT(--(Table2[[#This Row],[Country]]=Input!$B$39:$C$58))+SUMPRODUCT(--(Table2[[#This Row],[Country]]=Table3[Tool Name]),--(Table3[Selected]&gt;0))</f>
        <v>0</v>
      </c>
      <c r="H89" s="6" t="b">
        <f>IFERROR(MATCH(Table2[[#This Row],[Country]],GSI!F:F,0)&gt;0,FALSE)</f>
        <v>0</v>
      </c>
      <c r="M89" s="120" t="s">
        <v>370</v>
      </c>
      <c r="N89" s="11" t="s">
        <v>305</v>
      </c>
      <c r="O89" s="11" t="s">
        <v>262</v>
      </c>
      <c r="Q89" t="s">
        <v>318</v>
      </c>
      <c r="R89" s="120" t="s">
        <v>182</v>
      </c>
      <c r="S89" s="42">
        <f>SIGN(SUMPRODUCT($T$3:$AQ$3,$T89:$AQ89))*(MAX($S$3:S88)+1)</f>
        <v>0</v>
      </c>
      <c r="T89" s="31"/>
      <c r="U89" s="31"/>
      <c r="V89" s="31"/>
      <c r="W89" s="31">
        <v>1</v>
      </c>
      <c r="X89" s="31"/>
      <c r="Y89" s="31"/>
      <c r="Z89" s="31"/>
      <c r="AA89" s="31"/>
      <c r="AB89" s="31"/>
      <c r="AC89" s="31"/>
      <c r="AD89" s="31"/>
      <c r="AE89" s="31"/>
      <c r="AF89" s="31"/>
      <c r="AG89" s="31"/>
      <c r="AH89" s="31"/>
      <c r="AI89" s="31"/>
      <c r="AJ89" s="31"/>
      <c r="AK89" s="31"/>
      <c r="AL89" s="31"/>
      <c r="AM89" s="31"/>
      <c r="AN89" s="31"/>
      <c r="AO89" s="31"/>
      <c r="AP89" s="31"/>
      <c r="AQ89" s="31"/>
    </row>
    <row r="90" spans="2:43" x14ac:dyDescent="0.35">
      <c r="B90" s="120" t="s">
        <v>324</v>
      </c>
      <c r="C90">
        <f>IF(B90="","",IFERROR(IFERROR(IFERROR(VLOOKUP(B90,Table6[[Tool Name]:[MS Prevalence]],2,FALSE),VLOOKUP(B90,Table3[[Typed Name]:[MS Prevalence]],3,FALSE)),VLOOKUP(B90,Table4[[Country]:[Estimated prevalence of modern slavery per 1,000 population]],2,FALSE)),0))</f>
        <v>0</v>
      </c>
      <c r="D90" s="20" t="s">
        <v>321</v>
      </c>
      <c r="E90" s="22">
        <f>IFERROR(VLOOKUP(Table2[[#This Row],[Country]],Table6[[Tool Name]:[MS Prevalence]],2,FALSE),999)</f>
        <v>5.0034627914428711</v>
      </c>
      <c r="F90" s="6" t="str">
        <f>LEFT(Table2[[#This Row],[Country]],4)</f>
        <v>Keny</v>
      </c>
      <c r="G90" s="6" cm="1">
        <f t="array" ref="G90">SUMPRODUCT(--(Table2[[#This Row],[Country]]=Input!$B$39:$C$58))+SUMPRODUCT(--(Table2[[#This Row],[Country]]=Table3[Tool Name]),--(Table3[Selected]&gt;0))</f>
        <v>0</v>
      </c>
      <c r="H90" s="6" t="b">
        <f>IFERROR(MATCH(Table2[[#This Row],[Country]],GSI!F:F,0)&gt;0,FALSE)</f>
        <v>0</v>
      </c>
      <c r="M90" s="120" t="s">
        <v>370</v>
      </c>
      <c r="N90" s="11" t="s">
        <v>305</v>
      </c>
      <c r="O90" s="11" t="s">
        <v>320</v>
      </c>
      <c r="Q90" t="s">
        <v>180</v>
      </c>
      <c r="R90" s="120" t="s">
        <v>737</v>
      </c>
      <c r="S90" s="42">
        <f>SIGN(SUMPRODUCT($T$3:$AQ$3,$T90:$AQ90))*(MAX($S$3:S89)+1)</f>
        <v>0</v>
      </c>
      <c r="T90" s="31"/>
      <c r="U90" s="31"/>
      <c r="V90" s="31"/>
      <c r="W90" s="31">
        <v>1</v>
      </c>
      <c r="X90" s="31"/>
      <c r="Y90" s="31"/>
      <c r="Z90" s="31"/>
      <c r="AA90" s="31"/>
      <c r="AB90" s="31"/>
      <c r="AC90" s="31"/>
      <c r="AD90" s="31"/>
      <c r="AE90" s="31"/>
      <c r="AF90" s="31"/>
      <c r="AG90" s="31"/>
      <c r="AH90" s="31"/>
      <c r="AI90" s="31"/>
      <c r="AJ90" s="31"/>
      <c r="AK90" s="31">
        <v>1</v>
      </c>
      <c r="AL90" s="31"/>
      <c r="AM90" s="31"/>
      <c r="AN90" s="31"/>
      <c r="AO90" s="31"/>
      <c r="AP90" s="31"/>
      <c r="AQ90" s="31"/>
    </row>
    <row r="91" spans="2:43" x14ac:dyDescent="0.35">
      <c r="B91" s="120" t="s">
        <v>325</v>
      </c>
      <c r="C91">
        <f>IF(B91="","",IFERROR(IFERROR(IFERROR(VLOOKUP(B91,Table6[[Tool Name]:[MS Prevalence]],2,FALSE),VLOOKUP(B91,Table3[[Typed Name]:[MS Prevalence]],3,FALSE)),VLOOKUP(B91,Table4[[Country]:[Estimated prevalence of modern slavery per 1,000 population]],2,FALSE)),0))</f>
        <v>8.0219430923461914</v>
      </c>
      <c r="D91" s="20" t="s">
        <v>324</v>
      </c>
      <c r="E91" s="22">
        <f>IFERROR(VLOOKUP(Table2[[#This Row],[Country]],Table6[[Tool Name]:[MS Prevalence]],2,FALSE),999)</f>
        <v>0</v>
      </c>
      <c r="F91" s="6" t="str">
        <f>LEFT(Table2[[#This Row],[Country]],4)</f>
        <v>Kiri</v>
      </c>
      <c r="G91" s="6" cm="1">
        <f t="array" ref="G91">SUMPRODUCT(--(Table2[[#This Row],[Country]]=Input!$B$39:$C$58))+SUMPRODUCT(--(Table2[[#This Row],[Country]]=Table3[Tool Name]),--(Table3[Selected]&gt;0))</f>
        <v>0</v>
      </c>
      <c r="H91" s="6" t="b">
        <f>IFERROR(MATCH(Table2[[#This Row],[Country]],GSI!F:F,0)&gt;0,FALSE)</f>
        <v>0</v>
      </c>
      <c r="M91" s="120" t="s">
        <v>370</v>
      </c>
      <c r="N91" s="11" t="s">
        <v>305</v>
      </c>
      <c r="O91" s="11" t="s">
        <v>322</v>
      </c>
      <c r="Q91" t="s">
        <v>323</v>
      </c>
      <c r="R91" s="120" t="s">
        <v>158</v>
      </c>
      <c r="S91" s="42">
        <f>SIGN(SUMPRODUCT($T$3:$AQ$3,$T91:$AQ91))*(MAX($S$3:S90)+1)</f>
        <v>0</v>
      </c>
      <c r="T91" s="31"/>
      <c r="U91" s="31"/>
      <c r="V91" s="31"/>
      <c r="W91" s="31">
        <v>1</v>
      </c>
      <c r="X91" s="31"/>
      <c r="Y91" s="31"/>
      <c r="Z91" s="31"/>
      <c r="AA91" s="31"/>
      <c r="AB91" s="31"/>
      <c r="AC91" s="31"/>
      <c r="AD91" s="31"/>
      <c r="AE91" s="31"/>
      <c r="AF91" s="31"/>
      <c r="AG91" s="31"/>
      <c r="AH91" s="31"/>
      <c r="AI91" s="31"/>
      <c r="AJ91" s="31"/>
      <c r="AK91" s="31">
        <v>1</v>
      </c>
      <c r="AL91" s="31"/>
      <c r="AM91" s="31"/>
      <c r="AN91" s="31"/>
      <c r="AO91" s="31"/>
      <c r="AP91" s="31"/>
      <c r="AQ91" s="31"/>
    </row>
    <row r="92" spans="2:43" x14ac:dyDescent="0.35">
      <c r="B92" s="120" t="s">
        <v>327</v>
      </c>
      <c r="C92">
        <f>IF(B92="","",IFERROR(IFERROR(IFERROR(VLOOKUP(B92,Table6[[Tool Name]:[MS Prevalence]],2,FALSE),VLOOKUP(B92,Table3[[Typed Name]:[MS Prevalence]],3,FALSE)),VLOOKUP(B92,Table4[[Country]:[Estimated prevalence of modern slavery per 1,000 population]],2,FALSE)),0))</f>
        <v>12.959253188009185</v>
      </c>
      <c r="D92" s="20" t="s">
        <v>325</v>
      </c>
      <c r="E92" s="22">
        <f>IFERROR(VLOOKUP(Table2[[#This Row],[Country]],Table6[[Tool Name]:[MS Prevalence]],2,FALSE),999)</f>
        <v>8.0219430923461914</v>
      </c>
      <c r="F92" s="6" t="str">
        <f>LEFT(Table2[[#This Row],[Country]],4)</f>
        <v>Koso</v>
      </c>
      <c r="G92" s="6" cm="1">
        <f t="array" ref="G92">SUMPRODUCT(--(Table2[[#This Row],[Country]]=Input!$B$39:$C$58))+SUMPRODUCT(--(Table2[[#This Row],[Country]]=Table3[Tool Name]),--(Table3[Selected]&gt;0))</f>
        <v>0</v>
      </c>
      <c r="H92" s="6" t="b">
        <f>IFERROR(MATCH(Table2[[#This Row],[Country]],GSI!F:F,0)&gt;0,FALSE)</f>
        <v>0</v>
      </c>
      <c r="M92" s="120" t="s">
        <v>370</v>
      </c>
      <c r="N92" s="11" t="s">
        <v>305</v>
      </c>
      <c r="O92" s="11" t="s">
        <v>264</v>
      </c>
      <c r="Q92" t="s">
        <v>134</v>
      </c>
      <c r="R92" s="120" t="s">
        <v>738</v>
      </c>
      <c r="S92" s="42">
        <f>SIGN(SUMPRODUCT($T$3:$AQ$3,$T92:$AQ92))*(MAX($S$3:S91)+1)</f>
        <v>0</v>
      </c>
      <c r="T92" s="31"/>
      <c r="U92" s="31"/>
      <c r="V92" s="31"/>
      <c r="W92" s="31">
        <v>1</v>
      </c>
      <c r="X92" s="31"/>
      <c r="Y92" s="31"/>
      <c r="Z92" s="31"/>
      <c r="AA92" s="31"/>
      <c r="AB92" s="31"/>
      <c r="AC92" s="31"/>
      <c r="AD92" s="31"/>
      <c r="AE92" s="31"/>
      <c r="AF92" s="31"/>
      <c r="AG92" s="31"/>
      <c r="AH92" s="31"/>
      <c r="AI92" s="31"/>
      <c r="AJ92" s="31"/>
      <c r="AK92" s="31">
        <v>1</v>
      </c>
      <c r="AL92" s="31"/>
      <c r="AM92" s="31"/>
      <c r="AN92" s="31"/>
      <c r="AO92" s="31"/>
      <c r="AP92" s="31"/>
      <c r="AQ92" s="31"/>
    </row>
    <row r="93" spans="2:43" x14ac:dyDescent="0.35">
      <c r="B93" s="120" t="s">
        <v>329</v>
      </c>
      <c r="C93">
        <f>IF(B93="","",IFERROR(IFERROR(IFERROR(VLOOKUP(B93,Table6[[Tool Name]:[MS Prevalence]],2,FALSE),VLOOKUP(B93,Table3[[Typed Name]:[MS Prevalence]],3,FALSE)),VLOOKUP(B93,Table4[[Country]:[Estimated prevalence of modern slavery per 1,000 population]],2,FALSE)),0))</f>
        <v>8.7255067825317383</v>
      </c>
      <c r="D93" s="20" t="s">
        <v>327</v>
      </c>
      <c r="E93" s="22">
        <f>IFERROR(VLOOKUP(Table2[[#This Row],[Country]],Table6[[Tool Name]:[MS Prevalence]],2,FALSE),999)</f>
        <v>12.959253188009185</v>
      </c>
      <c r="F93" s="6" t="str">
        <f>LEFT(Table2[[#This Row],[Country]],4)</f>
        <v>Kuwa</v>
      </c>
      <c r="G93" s="6" cm="1">
        <f t="array" ref="G93">SUMPRODUCT(--(Table2[[#This Row],[Country]]=Input!$B$39:$C$58))+SUMPRODUCT(--(Table2[[#This Row],[Country]]=Table3[Tool Name]),--(Table3[Selected]&gt;0))</f>
        <v>0</v>
      </c>
      <c r="H93" s="6" t="b">
        <f>IFERROR(MATCH(Table2[[#This Row],[Country]],GSI!F:F,0)&gt;0,FALSE)</f>
        <v>0</v>
      </c>
      <c r="M93" s="120" t="s">
        <v>370</v>
      </c>
      <c r="N93" s="11" t="s">
        <v>305</v>
      </c>
      <c r="O93" s="11" t="s">
        <v>139</v>
      </c>
      <c r="Q93" t="s">
        <v>326</v>
      </c>
      <c r="R93" s="120" t="s">
        <v>739</v>
      </c>
      <c r="S93" s="42">
        <f>SIGN(SUMPRODUCT($T$3:$AQ$3,$T93:$AQ93))*(MAX($S$3:S92)+1)</f>
        <v>0</v>
      </c>
      <c r="T93" s="31"/>
      <c r="U93" s="31"/>
      <c r="V93" s="31"/>
      <c r="W93" s="31"/>
      <c r="X93" s="31"/>
      <c r="Y93" s="31"/>
      <c r="Z93" s="31"/>
      <c r="AA93" s="31"/>
      <c r="AB93" s="31"/>
      <c r="AC93" s="31"/>
      <c r="AD93" s="31"/>
      <c r="AE93" s="31">
        <v>1</v>
      </c>
      <c r="AF93" s="31"/>
      <c r="AG93" s="31"/>
      <c r="AH93" s="31"/>
      <c r="AI93" s="31"/>
      <c r="AJ93" s="31"/>
      <c r="AK93" s="31"/>
      <c r="AL93" s="31"/>
      <c r="AM93" s="31"/>
      <c r="AN93" s="31"/>
      <c r="AO93" s="31"/>
      <c r="AP93" s="31"/>
      <c r="AQ93" s="31"/>
    </row>
    <row r="94" spans="2:43" x14ac:dyDescent="0.35">
      <c r="B94" s="120" t="s">
        <v>330</v>
      </c>
      <c r="C94">
        <f>IF(B94="","",IFERROR(IFERROR(IFERROR(VLOOKUP(B94,Table6[[Tool Name]:[MS Prevalence]],2,FALSE),VLOOKUP(B94,Table3[[Typed Name]:[MS Prevalence]],3,FALSE)),VLOOKUP(B94,Table4[[Country]:[Estimated prevalence of modern slavery per 1,000 population]],2,FALSE)),0))</f>
        <v>5.1618075370788574</v>
      </c>
      <c r="D94" s="20" t="s">
        <v>329</v>
      </c>
      <c r="E94" s="22">
        <f>IFERROR(VLOOKUP(Table2[[#This Row],[Country]],Table6[[Tool Name]:[MS Prevalence]],2,FALSE),999)</f>
        <v>8.7255067825317383</v>
      </c>
      <c r="F94" s="6" t="str">
        <f>LEFT(Table2[[#This Row],[Country]],4)</f>
        <v>Kyrg</v>
      </c>
      <c r="G94" s="6" cm="1">
        <f t="array" ref="G94">SUMPRODUCT(--(Table2[[#This Row],[Country]]=Input!$B$39:$C$58))+SUMPRODUCT(--(Table2[[#This Row],[Country]]=Table3[Tool Name]),--(Table3[Selected]&gt;0))</f>
        <v>0</v>
      </c>
      <c r="H94" s="6" t="b">
        <f>IFERROR(MATCH(Table2[[#This Row],[Country]],GSI!F:F,0)&gt;0,FALSE)</f>
        <v>0</v>
      </c>
      <c r="M94" s="120" t="s">
        <v>370</v>
      </c>
      <c r="N94" s="11" t="s">
        <v>305</v>
      </c>
      <c r="O94" s="11" t="s">
        <v>145</v>
      </c>
      <c r="Q94" t="s">
        <v>328</v>
      </c>
      <c r="R94" s="120" t="s">
        <v>97</v>
      </c>
      <c r="S94" s="42">
        <f>SIGN(SUMPRODUCT($T$3:$AQ$3,$T94:$AQ94))*(MAX($S$3:S93)+1)</f>
        <v>0</v>
      </c>
      <c r="T94" s="31"/>
      <c r="U94" s="31"/>
      <c r="V94" s="31"/>
      <c r="W94" s="31">
        <v>1</v>
      </c>
      <c r="X94" s="31"/>
      <c r="Y94" s="31"/>
      <c r="Z94" s="31"/>
      <c r="AA94" s="31"/>
      <c r="AB94" s="31"/>
      <c r="AC94" s="31"/>
      <c r="AD94" s="31"/>
      <c r="AE94" s="31"/>
      <c r="AF94" s="31"/>
      <c r="AG94" s="31"/>
      <c r="AH94" s="31"/>
      <c r="AI94" s="31">
        <v>1</v>
      </c>
      <c r="AJ94" s="31"/>
      <c r="AK94" s="31">
        <v>1</v>
      </c>
      <c r="AL94" s="31"/>
      <c r="AM94" s="31">
        <v>1</v>
      </c>
      <c r="AN94" s="31"/>
      <c r="AO94" s="31"/>
      <c r="AP94" s="31"/>
      <c r="AQ94" s="31"/>
    </row>
    <row r="95" spans="2:43" x14ac:dyDescent="0.35">
      <c r="B95" s="120" t="s">
        <v>331</v>
      </c>
      <c r="C95">
        <f>IF(B95="","",IFERROR(IFERROR(IFERROR(VLOOKUP(B95,Table6[[Tool Name]:[MS Prevalence]],2,FALSE),VLOOKUP(B95,Table3[[Typed Name]:[MS Prevalence]],3,FALSE)),VLOOKUP(B95,Table4[[Country]:[Estimated prevalence of modern slavery per 1,000 population]],2,FALSE)),0))</f>
        <v>3.378555059432983</v>
      </c>
      <c r="D95" s="20" t="s">
        <v>330</v>
      </c>
      <c r="E95" s="22">
        <f>IFERROR(VLOOKUP(Table2[[#This Row],[Country]],Table6[[Tool Name]:[MS Prevalence]],2,FALSE),999)</f>
        <v>5.1618075370788574</v>
      </c>
      <c r="F95" s="6" t="str">
        <f>LEFT(Table2[[#This Row],[Country]],4)</f>
        <v>Laos</v>
      </c>
      <c r="G95" s="6" cm="1">
        <f t="array" ref="G95">SUMPRODUCT(--(Table2[[#This Row],[Country]]=Input!$B$39:$C$58))+SUMPRODUCT(--(Table2[[#This Row],[Country]]=Table3[Tool Name]),--(Table3[Selected]&gt;0))</f>
        <v>0</v>
      </c>
      <c r="H95" s="6" t="b">
        <f>IFERROR(MATCH(Table2[[#This Row],[Country]],GSI!F:F,0)&gt;0,FALSE)</f>
        <v>0</v>
      </c>
      <c r="M95" s="120" t="s">
        <v>370</v>
      </c>
      <c r="N95" s="11" t="s">
        <v>305</v>
      </c>
      <c r="O95" s="11" t="s">
        <v>301</v>
      </c>
      <c r="Q95" t="s">
        <v>196</v>
      </c>
      <c r="R95" s="120" t="s">
        <v>152</v>
      </c>
      <c r="S95" s="42">
        <f>SIGN(SUMPRODUCT($T$3:$AQ$3,$T95:$AQ95))*(MAX($S$3:S94)+1)</f>
        <v>0</v>
      </c>
      <c r="T95" s="31"/>
      <c r="U95" s="31"/>
      <c r="V95" s="31"/>
      <c r="W95" s="31">
        <v>1</v>
      </c>
      <c r="X95" s="31">
        <v>1</v>
      </c>
      <c r="Y95" s="31"/>
      <c r="Z95" s="31"/>
      <c r="AA95" s="31"/>
      <c r="AB95" s="31"/>
      <c r="AC95" s="31"/>
      <c r="AD95" s="31"/>
      <c r="AE95" s="31"/>
      <c r="AF95" s="31"/>
      <c r="AG95" s="31"/>
      <c r="AH95" s="31"/>
      <c r="AI95" s="31"/>
      <c r="AJ95" s="31"/>
      <c r="AK95" s="31"/>
      <c r="AL95" s="31"/>
      <c r="AM95" s="31"/>
      <c r="AN95" s="31"/>
      <c r="AO95" s="31"/>
      <c r="AP95" s="31"/>
      <c r="AQ95" s="31"/>
    </row>
    <row r="96" spans="2:43" x14ac:dyDescent="0.35">
      <c r="B96" s="120" t="s">
        <v>333</v>
      </c>
      <c r="C96">
        <f>IF(B96="","",IFERROR(IFERROR(IFERROR(VLOOKUP(B96,Table6[[Tool Name]:[MS Prevalence]],2,FALSE),VLOOKUP(B96,Table3[[Typed Name]:[MS Prevalence]],3,FALSE)),VLOOKUP(B96,Table4[[Country]:[Estimated prevalence of modern slavery per 1,000 population]],2,FALSE)),0))</f>
        <v>7.5672814297887054</v>
      </c>
      <c r="D96" s="20" t="s">
        <v>331</v>
      </c>
      <c r="E96" s="22">
        <f>IFERROR(VLOOKUP(Table2[[#This Row],[Country]],Table6[[Tool Name]:[MS Prevalence]],2,FALSE),999)</f>
        <v>3.378555059432983</v>
      </c>
      <c r="F96" s="6" t="str">
        <f>LEFT(Table2[[#This Row],[Country]],4)</f>
        <v>Latv</v>
      </c>
      <c r="G96" s="6" cm="1">
        <f t="array" ref="G96">SUMPRODUCT(--(Table2[[#This Row],[Country]]=Input!$B$39:$C$58))+SUMPRODUCT(--(Table2[[#This Row],[Country]]=Table3[Tool Name]),--(Table3[Selected]&gt;0))</f>
        <v>0</v>
      </c>
      <c r="H96" s="6" t="b">
        <f>IFERROR(MATCH(Table2[[#This Row],[Country]],GSI!F:F,0)&gt;0,FALSE)</f>
        <v>0</v>
      </c>
      <c r="M96" s="120" t="s">
        <v>370</v>
      </c>
      <c r="N96" s="11" t="s">
        <v>305</v>
      </c>
      <c r="O96" s="11" t="s">
        <v>309</v>
      </c>
      <c r="Q96" t="s">
        <v>199</v>
      </c>
      <c r="R96" s="120" t="s">
        <v>740</v>
      </c>
      <c r="S96" s="42">
        <f>SIGN(SUMPRODUCT($T$3:$AQ$3,$T96:$AQ96))*(MAX($S$3:S95)+1)</f>
        <v>0</v>
      </c>
      <c r="T96" s="31">
        <v>1</v>
      </c>
      <c r="U96" s="31">
        <v>1</v>
      </c>
      <c r="V96" s="31"/>
      <c r="W96" s="31">
        <v>1</v>
      </c>
      <c r="X96" s="31"/>
      <c r="Y96" s="31"/>
      <c r="Z96" s="31"/>
      <c r="AA96" s="31"/>
      <c r="AB96" s="31"/>
      <c r="AC96" s="31"/>
      <c r="AD96" s="31">
        <v>1</v>
      </c>
      <c r="AE96" s="31"/>
      <c r="AF96" s="31"/>
      <c r="AG96" s="31"/>
      <c r="AH96" s="31"/>
      <c r="AI96" s="31"/>
      <c r="AJ96" s="31"/>
      <c r="AK96" s="31">
        <v>1</v>
      </c>
      <c r="AL96" s="31"/>
      <c r="AM96" s="31"/>
      <c r="AN96" s="31"/>
      <c r="AO96" s="31"/>
      <c r="AP96" s="31"/>
      <c r="AQ96" s="31">
        <v>1</v>
      </c>
    </row>
    <row r="97" spans="2:43" x14ac:dyDescent="0.35">
      <c r="B97" s="120" t="s">
        <v>334</v>
      </c>
      <c r="C97">
        <f>IF(B97="","",IFERROR(IFERROR(IFERROR(VLOOKUP(B97,Table6[[Tool Name]:[MS Prevalence]],2,FALSE),VLOOKUP(B97,Table3[[Typed Name]:[MS Prevalence]],3,FALSE)),VLOOKUP(B97,Table4[[Country]:[Estimated prevalence of modern slavery per 1,000 population]],2,FALSE)),0))</f>
        <v>1.6469483375549321</v>
      </c>
      <c r="D97" s="20" t="s">
        <v>333</v>
      </c>
      <c r="E97" s="22">
        <f>IFERROR(VLOOKUP(Table2[[#This Row],[Country]],Table6[[Tool Name]:[MS Prevalence]],2,FALSE),999)</f>
        <v>7.5672814297887054</v>
      </c>
      <c r="F97" s="6" t="str">
        <f>LEFT(Table2[[#This Row],[Country]],4)</f>
        <v>Leba</v>
      </c>
      <c r="G97" s="6" cm="1">
        <f t="array" ref="G97">SUMPRODUCT(--(Table2[[#This Row],[Country]]=Input!$B$39:$C$58))+SUMPRODUCT(--(Table2[[#This Row],[Country]]=Table3[Tool Name]),--(Table3[Selected]&gt;0))</f>
        <v>0</v>
      </c>
      <c r="H97" s="6" t="b">
        <f>IFERROR(MATCH(Table2[[#This Row],[Country]],GSI!F:F,0)&gt;0,FALSE)</f>
        <v>0</v>
      </c>
      <c r="M97" s="120" t="s">
        <v>207</v>
      </c>
      <c r="N97" s="11" t="s">
        <v>207</v>
      </c>
      <c r="O97" s="11" t="s">
        <v>281</v>
      </c>
      <c r="Q97" t="s">
        <v>332</v>
      </c>
      <c r="R97" s="120" t="s">
        <v>741</v>
      </c>
      <c r="S97" s="42">
        <f>SIGN(SUMPRODUCT($T$3:$AQ$3,$T97:$AQ97))*(MAX($S$3:S96)+1)</f>
        <v>0</v>
      </c>
      <c r="T97" s="31">
        <v>1</v>
      </c>
      <c r="U97" s="31">
        <v>1</v>
      </c>
      <c r="V97" s="31"/>
      <c r="W97" s="31">
        <v>1</v>
      </c>
      <c r="X97" s="31"/>
      <c r="Y97" s="31"/>
      <c r="Z97" s="31"/>
      <c r="AA97" s="31"/>
      <c r="AB97" s="31"/>
      <c r="AC97" s="31"/>
      <c r="AD97" s="31">
        <v>1</v>
      </c>
      <c r="AE97" s="31"/>
      <c r="AF97" s="31"/>
      <c r="AG97" s="31"/>
      <c r="AH97" s="31"/>
      <c r="AI97" s="31"/>
      <c r="AJ97" s="31"/>
      <c r="AK97" s="31">
        <v>1</v>
      </c>
      <c r="AL97" s="31"/>
      <c r="AM97" s="31"/>
      <c r="AN97" s="31"/>
      <c r="AO97" s="31"/>
      <c r="AP97" s="31"/>
      <c r="AQ97" s="31"/>
    </row>
    <row r="98" spans="2:43" x14ac:dyDescent="0.35">
      <c r="B98" s="120" t="s">
        <v>335</v>
      </c>
      <c r="C98">
        <f>IF(B98="","",IFERROR(IFERROR(IFERROR(VLOOKUP(B98,Table6[[Tool Name]:[MS Prevalence]],2,FALSE),VLOOKUP(B98,Table3[[Typed Name]:[MS Prevalence]],3,FALSE)),VLOOKUP(B98,Table4[[Country]:[Estimated prevalence of modern slavery per 1,000 population]],2,FALSE)),0))</f>
        <v>3.14580249786377</v>
      </c>
      <c r="D98" s="20" t="s">
        <v>334</v>
      </c>
      <c r="E98" s="22">
        <f>IFERROR(VLOOKUP(Table2[[#This Row],[Country]],Table6[[Tool Name]:[MS Prevalence]],2,FALSE),999)</f>
        <v>1.6469483375549321</v>
      </c>
      <c r="F98" s="6" t="str">
        <f>LEFT(Table2[[#This Row],[Country]],4)</f>
        <v>Leso</v>
      </c>
      <c r="G98" s="6" cm="1">
        <f t="array" ref="G98">SUMPRODUCT(--(Table2[[#This Row],[Country]]=Input!$B$39:$C$58))+SUMPRODUCT(--(Table2[[#This Row],[Country]]=Table3[Tool Name]),--(Table3[Selected]&gt;0))</f>
        <v>0</v>
      </c>
      <c r="H98" s="6" t="b">
        <f>IFERROR(MATCH(Table2[[#This Row],[Country]],GSI!F:F,0)&gt;0,FALSE)</f>
        <v>0</v>
      </c>
      <c r="M98" s="120" t="s">
        <v>207</v>
      </c>
      <c r="N98" s="11" t="s">
        <v>207</v>
      </c>
      <c r="O98" s="11" t="s">
        <v>96</v>
      </c>
      <c r="Q98" t="s">
        <v>315</v>
      </c>
      <c r="R98" s="120" t="s">
        <v>370</v>
      </c>
      <c r="S98" s="42">
        <f>SIGN(SUMPRODUCT($T$3:$AQ$3,$T98:$AQ98))*(MAX($S$3:S97)+1)</f>
        <v>0</v>
      </c>
      <c r="T98" s="31"/>
      <c r="U98" s="31"/>
      <c r="V98" s="31"/>
      <c r="W98" s="31"/>
      <c r="X98" s="31"/>
      <c r="Y98" s="31"/>
      <c r="Z98" s="31"/>
      <c r="AA98" s="31"/>
      <c r="AB98" s="31"/>
      <c r="AC98" s="31"/>
      <c r="AD98" s="31"/>
      <c r="AE98" s="31"/>
      <c r="AF98" s="31"/>
      <c r="AG98" s="31"/>
      <c r="AH98" s="31"/>
      <c r="AI98" s="31"/>
      <c r="AJ98" s="31"/>
      <c r="AK98" s="31"/>
      <c r="AL98" s="31">
        <v>1</v>
      </c>
      <c r="AM98" s="31"/>
      <c r="AN98" s="31"/>
      <c r="AO98" s="31"/>
      <c r="AP98" s="31"/>
      <c r="AQ98" s="31"/>
    </row>
    <row r="99" spans="2:43" x14ac:dyDescent="0.35">
      <c r="B99" s="120" t="s">
        <v>337</v>
      </c>
      <c r="C99">
        <f>IF(B99="","",IFERROR(IFERROR(IFERROR(VLOOKUP(B99,Table6[[Tool Name]:[MS Prevalence]],2,FALSE),VLOOKUP(B99,Table3[[Typed Name]:[MS Prevalence]],3,FALSE)),VLOOKUP(B99,Table4[[Country]:[Estimated prevalence of modern slavery per 1,000 population]],2,FALSE)),0))</f>
        <v>6.8216671943664551</v>
      </c>
      <c r="D99" s="20" t="s">
        <v>335</v>
      </c>
      <c r="E99" s="22">
        <f>IFERROR(VLOOKUP(Table2[[#This Row],[Country]],Table6[[Tool Name]:[MS Prevalence]],2,FALSE),999)</f>
        <v>3.14580249786377</v>
      </c>
      <c r="F99" s="6" t="str">
        <f>LEFT(Table2[[#This Row],[Country]],4)</f>
        <v>Libe</v>
      </c>
      <c r="G99" s="6" cm="1">
        <f t="array" ref="G99">SUMPRODUCT(--(Table2[[#This Row],[Country]]=Input!$B$39:$C$58))+SUMPRODUCT(--(Table2[[#This Row],[Country]]=Table3[Tool Name]),--(Table3[Selected]&gt;0))</f>
        <v>0</v>
      </c>
      <c r="H99" s="6" t="b">
        <f>IFERROR(MATCH(Table2[[#This Row],[Country]],GSI!F:F,0)&gt;0,FALSE)</f>
        <v>0</v>
      </c>
      <c r="M99" s="120" t="s">
        <v>207</v>
      </c>
      <c r="N99" s="11" t="s">
        <v>207</v>
      </c>
      <c r="O99" s="11" t="s">
        <v>88</v>
      </c>
      <c r="Q99" t="s">
        <v>320</v>
      </c>
      <c r="R99" s="120" t="s">
        <v>742</v>
      </c>
      <c r="S99" s="42">
        <f>SIGN(SUMPRODUCT($T$3:$AQ$3,$T99:$AQ99))*(MAX($S$3:S98)+1)</f>
        <v>0</v>
      </c>
      <c r="T99" s="31"/>
      <c r="U99" s="31">
        <v>1</v>
      </c>
      <c r="V99" s="31">
        <v>1</v>
      </c>
      <c r="W99" s="31">
        <v>1</v>
      </c>
      <c r="X99" s="31"/>
      <c r="Y99" s="31"/>
      <c r="Z99" s="31"/>
      <c r="AA99" s="31"/>
      <c r="AB99" s="31"/>
      <c r="AC99" s="31"/>
      <c r="AD99" s="31"/>
      <c r="AE99" s="31"/>
      <c r="AF99" s="31"/>
      <c r="AG99" s="31"/>
      <c r="AH99" s="31"/>
      <c r="AI99" s="31">
        <v>1</v>
      </c>
      <c r="AJ99" s="31"/>
      <c r="AK99" s="31">
        <v>1</v>
      </c>
      <c r="AL99" s="31"/>
      <c r="AM99" s="31">
        <v>1</v>
      </c>
      <c r="AN99" s="31"/>
      <c r="AO99" s="31"/>
      <c r="AP99" s="31"/>
      <c r="AQ99" s="31">
        <v>1</v>
      </c>
    </row>
    <row r="100" spans="2:43" x14ac:dyDescent="0.35">
      <c r="B100" s="120" t="s">
        <v>339</v>
      </c>
      <c r="C100">
        <f>IF(B100="","",IFERROR(IFERROR(IFERROR(VLOOKUP(B100,Table6[[Tool Name]:[MS Prevalence]],2,FALSE),VLOOKUP(B100,Table3[[Typed Name]:[MS Prevalence]],3,FALSE)),VLOOKUP(B100,Table4[[Country]:[Estimated prevalence of modern slavery per 1,000 population]],2,FALSE)),0))</f>
        <v>0</v>
      </c>
      <c r="D100" s="20" t="s">
        <v>337</v>
      </c>
      <c r="E100" s="22">
        <f>IFERROR(VLOOKUP(Table2[[#This Row],[Country]],Table6[[Tool Name]:[MS Prevalence]],2,FALSE),999)</f>
        <v>6.8216671943664551</v>
      </c>
      <c r="F100" s="6" t="str">
        <f>LEFT(Table2[[#This Row],[Country]],4)</f>
        <v>Liby</v>
      </c>
      <c r="G100" s="6" cm="1">
        <f t="array" ref="G100">SUMPRODUCT(--(Table2[[#This Row],[Country]]=Input!$B$39:$C$58))+SUMPRODUCT(--(Table2[[#This Row],[Country]]=Table3[Tool Name]),--(Table3[Selected]&gt;0))</f>
        <v>0</v>
      </c>
      <c r="H100" s="6" t="b">
        <f>IFERROR(MATCH(Table2[[#This Row],[Country]],GSI!F:F,0)&gt;0,FALSE)</f>
        <v>0</v>
      </c>
      <c r="M100" s="120" t="s">
        <v>207</v>
      </c>
      <c r="N100" s="11" t="s">
        <v>207</v>
      </c>
      <c r="O100" s="11" t="s">
        <v>107</v>
      </c>
      <c r="Q100" t="s">
        <v>336</v>
      </c>
      <c r="R100" s="120" t="s">
        <v>72</v>
      </c>
      <c r="S100" s="42">
        <f>SIGN(SUMPRODUCT($T$3:$AQ$3,$T100:$AQ100))*(MAX($S$3:S99)+1)</f>
        <v>0</v>
      </c>
      <c r="T100" s="31"/>
      <c r="U100" s="31"/>
      <c r="V100" s="31">
        <v>1</v>
      </c>
      <c r="W100" s="31">
        <v>1</v>
      </c>
      <c r="X100" s="31"/>
      <c r="Y100" s="31"/>
      <c r="Z100" s="31"/>
      <c r="AA100" s="31"/>
      <c r="AB100" s="31"/>
      <c r="AC100" s="31"/>
      <c r="AD100" s="31"/>
      <c r="AE100" s="31"/>
      <c r="AF100" s="31"/>
      <c r="AG100" s="31"/>
      <c r="AH100" s="31"/>
      <c r="AI100" s="31">
        <v>1</v>
      </c>
      <c r="AJ100" s="31"/>
      <c r="AK100" s="31">
        <v>1</v>
      </c>
      <c r="AL100" s="31"/>
      <c r="AM100" s="31">
        <v>1</v>
      </c>
      <c r="AN100" s="31"/>
      <c r="AO100" s="31"/>
      <c r="AP100" s="31"/>
      <c r="AQ100" s="31"/>
    </row>
    <row r="101" spans="2:43" x14ac:dyDescent="0.35">
      <c r="B101" s="120" t="s">
        <v>341</v>
      </c>
      <c r="C101">
        <f>IF(B101="","",IFERROR(IFERROR(IFERROR(VLOOKUP(B101,Table6[[Tool Name]:[MS Prevalence]],2,FALSE),VLOOKUP(B101,Table3[[Typed Name]:[MS Prevalence]],3,FALSE)),VLOOKUP(B101,Table4[[Country]:[Estimated prevalence of modern slavery per 1,000 population]],2,FALSE)),0))</f>
        <v>6.0859842300415039</v>
      </c>
      <c r="D101" s="20" t="s">
        <v>339</v>
      </c>
      <c r="E101" s="22">
        <f>IFERROR(VLOOKUP(Table2[[#This Row],[Country]],Table6[[Tool Name]:[MS Prevalence]],2,FALSE),999)</f>
        <v>0</v>
      </c>
      <c r="F101" s="6" t="str">
        <f>LEFT(Table2[[#This Row],[Country]],4)</f>
        <v>Liec</v>
      </c>
      <c r="G101" s="6" cm="1">
        <f t="array" ref="G101">SUMPRODUCT(--(Table2[[#This Row],[Country]]=Input!$B$39:$C$58))+SUMPRODUCT(--(Table2[[#This Row],[Country]]=Table3[Tool Name]),--(Table3[Selected]&gt;0))</f>
        <v>0</v>
      </c>
      <c r="H101" s="6" t="b">
        <f>IFERROR(MATCH(Table2[[#This Row],[Country]],GSI!F:F,0)&gt;0,FALSE)</f>
        <v>0</v>
      </c>
      <c r="M101" s="120" t="s">
        <v>207</v>
      </c>
      <c r="N101" s="11" t="s">
        <v>207</v>
      </c>
      <c r="O101" s="11" t="s">
        <v>237</v>
      </c>
      <c r="Q101" t="s">
        <v>338</v>
      </c>
      <c r="R101" s="120" t="s">
        <v>471</v>
      </c>
      <c r="S101" s="42">
        <f>SIGN(SUMPRODUCT($T$3:$AQ$3,$T101:$AQ101))*(MAX($S$3:S100)+1)</f>
        <v>0</v>
      </c>
      <c r="T101" s="31"/>
      <c r="U101" s="31"/>
      <c r="V101" s="31"/>
      <c r="W101" s="31">
        <v>1</v>
      </c>
      <c r="X101" s="31"/>
      <c r="Y101" s="31"/>
      <c r="Z101" s="31"/>
      <c r="AA101" s="31"/>
      <c r="AB101" s="31"/>
      <c r="AC101" s="31"/>
      <c r="AD101" s="31">
        <v>1</v>
      </c>
      <c r="AE101" s="31"/>
      <c r="AF101" s="31">
        <v>1</v>
      </c>
      <c r="AG101" s="31"/>
      <c r="AH101" s="31"/>
      <c r="AI101" s="31"/>
      <c r="AJ101" s="31"/>
      <c r="AK101" s="31"/>
      <c r="AL101" s="31"/>
      <c r="AM101" s="31"/>
      <c r="AN101" s="31"/>
      <c r="AO101" s="31"/>
      <c r="AP101" s="31"/>
      <c r="AQ101" s="31"/>
    </row>
    <row r="102" spans="2:43" x14ac:dyDescent="0.35">
      <c r="B102" s="120" t="s">
        <v>343</v>
      </c>
      <c r="C102">
        <f>IF(B102="","",IFERROR(IFERROR(IFERROR(VLOOKUP(B102,Table6[[Tool Name]:[MS Prevalence]],2,FALSE),VLOOKUP(B102,Table3[[Typed Name]:[MS Prevalence]],3,FALSE)),VLOOKUP(B102,Table4[[Country]:[Estimated prevalence of modern slavery per 1,000 population]],2,FALSE)),0))</f>
        <v>0</v>
      </c>
      <c r="D102" s="20" t="s">
        <v>341</v>
      </c>
      <c r="E102" s="22">
        <f>IFERROR(VLOOKUP(Table2[[#This Row],[Country]],Table6[[Tool Name]:[MS Prevalence]],2,FALSE),999)</f>
        <v>6.0859842300415039</v>
      </c>
      <c r="F102" s="6" t="str">
        <f>LEFT(Table2[[#This Row],[Country]],4)</f>
        <v>Lith</v>
      </c>
      <c r="G102" s="6" cm="1">
        <f t="array" ref="G102">SUMPRODUCT(--(Table2[[#This Row],[Country]]=Input!$B$39:$C$58))+SUMPRODUCT(--(Table2[[#This Row],[Country]]=Table3[Tool Name]),--(Table3[Selected]&gt;0))</f>
        <v>0</v>
      </c>
      <c r="H102" s="6" t="b">
        <f>IFERROR(MATCH(Table2[[#This Row],[Country]],GSI!F:F,0)&gt;0,FALSE)</f>
        <v>0</v>
      </c>
      <c r="M102" s="120" t="s">
        <v>207</v>
      </c>
      <c r="N102" s="11" t="s">
        <v>207</v>
      </c>
      <c r="O102" s="11" t="s">
        <v>239</v>
      </c>
      <c r="Q102" t="s">
        <v>340</v>
      </c>
      <c r="R102" s="120" t="s">
        <v>302</v>
      </c>
      <c r="S102" s="42">
        <f>SIGN(SUMPRODUCT($T$3:$AQ$3,$T102:$AQ102))*(MAX($S$3:S101)+1)</f>
        <v>0</v>
      </c>
      <c r="T102" s="31"/>
      <c r="U102" s="31"/>
      <c r="V102" s="31"/>
      <c r="W102" s="31">
        <v>1</v>
      </c>
      <c r="X102" s="31"/>
      <c r="Y102" s="31"/>
      <c r="Z102" s="31"/>
      <c r="AA102" s="31"/>
      <c r="AB102" s="31"/>
      <c r="AC102" s="31"/>
      <c r="AD102" s="31">
        <v>1</v>
      </c>
      <c r="AE102" s="31"/>
      <c r="AF102" s="31"/>
      <c r="AG102" s="31"/>
      <c r="AH102" s="31"/>
      <c r="AI102" s="31"/>
      <c r="AJ102" s="31"/>
      <c r="AK102" s="31"/>
      <c r="AL102" s="31"/>
      <c r="AM102" s="31"/>
      <c r="AN102" s="31"/>
      <c r="AO102" s="31"/>
      <c r="AP102" s="31"/>
      <c r="AQ102" s="31"/>
    </row>
    <row r="103" spans="2:43" x14ac:dyDescent="0.35">
      <c r="B103" s="120" t="s">
        <v>344</v>
      </c>
      <c r="C103">
        <f>IF(B103="","",IFERROR(IFERROR(IFERROR(VLOOKUP(B103,Table6[[Tool Name]:[MS Prevalence]],2,FALSE),VLOOKUP(B103,Table3[[Typed Name]:[MS Prevalence]],3,FALSE)),VLOOKUP(B103,Table4[[Country]:[Estimated prevalence of modern slavery per 1,000 population]],2,FALSE)),0))</f>
        <v>4.5727553367614746</v>
      </c>
      <c r="D103" s="20" t="s">
        <v>343</v>
      </c>
      <c r="E103" s="22">
        <f>IFERROR(VLOOKUP(Table2[[#This Row],[Country]],Table6[[Tool Name]:[MS Prevalence]],2,FALSE),999)</f>
        <v>0</v>
      </c>
      <c r="F103" s="6" t="str">
        <f>LEFT(Table2[[#This Row],[Country]],4)</f>
        <v>Luxe</v>
      </c>
      <c r="G103" s="6" cm="1">
        <f t="array" ref="G103">SUMPRODUCT(--(Table2[[#This Row],[Country]]=Input!$B$39:$C$58))+SUMPRODUCT(--(Table2[[#This Row],[Country]]=Table3[Tool Name]),--(Table3[Selected]&gt;0))</f>
        <v>0</v>
      </c>
      <c r="H103" s="6" t="b">
        <f>IFERROR(MATCH(Table2[[#This Row],[Country]],GSI!F:F,0)&gt;0,FALSE)</f>
        <v>0</v>
      </c>
      <c r="M103" s="120" t="s">
        <v>207</v>
      </c>
      <c r="N103" s="11" t="s">
        <v>207</v>
      </c>
      <c r="O103" s="11" t="s">
        <v>320</v>
      </c>
      <c r="Q103" t="s">
        <v>342</v>
      </c>
      <c r="R103" s="120" t="s">
        <v>302</v>
      </c>
      <c r="S103" s="42">
        <f>SIGN(SUMPRODUCT($T$3:$AQ$3,$T103:$AQ103))*(MAX($S$3:S102)+1)</f>
        <v>0</v>
      </c>
      <c r="T103" s="31"/>
      <c r="U103" s="31"/>
      <c r="V103" s="31"/>
      <c r="W103" s="31">
        <v>1</v>
      </c>
      <c r="X103" s="31"/>
      <c r="Y103" s="31"/>
      <c r="Z103" s="31"/>
      <c r="AA103" s="31"/>
      <c r="AB103" s="31"/>
      <c r="AC103" s="31"/>
      <c r="AD103" s="31">
        <v>1</v>
      </c>
      <c r="AE103" s="31"/>
      <c r="AF103" s="31"/>
      <c r="AG103" s="31"/>
      <c r="AH103" s="31"/>
      <c r="AI103" s="31"/>
      <c r="AJ103" s="31"/>
      <c r="AK103" s="31"/>
      <c r="AL103" s="31"/>
      <c r="AM103" s="31"/>
      <c r="AN103" s="31"/>
      <c r="AO103" s="31"/>
      <c r="AP103" s="31"/>
      <c r="AQ103" s="31"/>
    </row>
    <row r="104" spans="2:43" x14ac:dyDescent="0.35">
      <c r="B104" s="120" t="s">
        <v>164</v>
      </c>
      <c r="C104">
        <f>IF(B104="","",IFERROR(IFERROR(IFERROR(VLOOKUP(B104,Table6[[Tool Name]:[MS Prevalence]],2,FALSE),VLOOKUP(B104,Table3[[Typed Name]:[MS Prevalence]],3,FALSE)),VLOOKUP(B104,Table4[[Country]:[Estimated prevalence of modern slavery per 1,000 population]],2,FALSE)),0))</f>
        <v>4.8654842376708984</v>
      </c>
      <c r="D104" s="20" t="s">
        <v>344</v>
      </c>
      <c r="E104" s="22">
        <f>IFERROR(VLOOKUP(Table2[[#This Row],[Country]],Table6[[Tool Name]:[MS Prevalence]],2,FALSE),999)</f>
        <v>4.5727553367614746</v>
      </c>
      <c r="F104" s="6" t="str">
        <f>LEFT(Table2[[#This Row],[Country]],4)</f>
        <v>Mada</v>
      </c>
      <c r="G104" s="6" cm="1">
        <f t="array" ref="G104">SUMPRODUCT(--(Table2[[#This Row],[Country]]=Input!$B$39:$C$58))+SUMPRODUCT(--(Table2[[#This Row],[Country]]=Table3[Tool Name]),--(Table3[Selected]&gt;0))</f>
        <v>0</v>
      </c>
      <c r="H104" s="6" t="b">
        <f>IFERROR(MATCH(Table2[[#This Row],[Country]],GSI!F:F,0)&gt;0,FALSE)</f>
        <v>0</v>
      </c>
      <c r="M104" s="120" t="s">
        <v>207</v>
      </c>
      <c r="N104" s="11" t="s">
        <v>207</v>
      </c>
      <c r="O104" s="11" t="s">
        <v>139</v>
      </c>
      <c r="Q104" t="s">
        <v>293</v>
      </c>
      <c r="R104" s="120" t="s">
        <v>743</v>
      </c>
      <c r="S104" s="42">
        <f>SIGN(SUMPRODUCT($T$3:$AQ$3,$T104:$AQ104))*(MAX($S$3:S103)+1)</f>
        <v>0</v>
      </c>
      <c r="T104" s="31"/>
      <c r="U104" s="31"/>
      <c r="V104" s="31"/>
      <c r="W104" s="31">
        <v>1</v>
      </c>
      <c r="X104" s="31">
        <v>1</v>
      </c>
      <c r="Y104" s="31"/>
      <c r="Z104" s="31"/>
      <c r="AA104" s="31"/>
      <c r="AB104" s="31"/>
      <c r="AC104" s="31"/>
      <c r="AD104" s="31">
        <v>1</v>
      </c>
      <c r="AE104" s="31"/>
      <c r="AF104" s="31"/>
      <c r="AG104" s="31"/>
      <c r="AH104" s="31"/>
      <c r="AI104" s="31"/>
      <c r="AJ104" s="31"/>
      <c r="AK104" s="31">
        <v>1</v>
      </c>
      <c r="AL104" s="31">
        <v>1</v>
      </c>
      <c r="AM104" s="31"/>
      <c r="AN104" s="31"/>
      <c r="AO104" s="31"/>
      <c r="AP104" s="31"/>
      <c r="AQ104" s="31"/>
    </row>
    <row r="105" spans="2:43" x14ac:dyDescent="0.35">
      <c r="B105" s="120" t="s">
        <v>72</v>
      </c>
      <c r="C105">
        <f>IF(B105="","",IFERROR(IFERROR(IFERROR(VLOOKUP(B105,Table6[[Tool Name]:[MS Prevalence]],2,FALSE),VLOOKUP(B105,Table3[[Typed Name]:[MS Prevalence]],3,FALSE)),VLOOKUP(B105,Table4[[Country]:[Estimated prevalence of modern slavery per 1,000 population]],2,FALSE)),0))</f>
        <v>6.2550435066223136</v>
      </c>
      <c r="D105" s="20" t="s">
        <v>164</v>
      </c>
      <c r="E105" s="22">
        <f>IFERROR(VLOOKUP(Table2[[#This Row],[Country]],Table6[[Tool Name]:[MS Prevalence]],2,FALSE),999)</f>
        <v>4.8654842376708984</v>
      </c>
      <c r="F105" s="6" t="str">
        <f>LEFT(Table2[[#This Row],[Country]],4)</f>
        <v>Mala</v>
      </c>
      <c r="G105" s="6" cm="1">
        <f t="array" ref="G105">SUMPRODUCT(--(Table2[[#This Row],[Country]]=Input!$B$39:$C$58))+SUMPRODUCT(--(Table2[[#This Row],[Country]]=Table3[Tool Name]),--(Table3[Selected]&gt;0))</f>
        <v>0</v>
      </c>
      <c r="H105" s="6" t="b">
        <f>IFERROR(MATCH(Table2[[#This Row],[Country]],GSI!F:F,0)&gt;0,FALSE)</f>
        <v>0</v>
      </c>
      <c r="M105" s="120" t="s">
        <v>207</v>
      </c>
      <c r="N105" s="11" t="s">
        <v>207</v>
      </c>
      <c r="O105" s="11" t="s">
        <v>145</v>
      </c>
      <c r="Q105" t="s">
        <v>214</v>
      </c>
      <c r="R105" s="120" t="s">
        <v>744</v>
      </c>
      <c r="S105" s="42">
        <f>SIGN(SUMPRODUCT($T$3:$AQ$3,$T105:$AQ105))*(MAX($S$3:S104)+1)</f>
        <v>0</v>
      </c>
      <c r="T105" s="31"/>
      <c r="U105" s="31">
        <v>1</v>
      </c>
      <c r="V105" s="31"/>
      <c r="W105" s="31">
        <v>1</v>
      </c>
      <c r="X105" s="31"/>
      <c r="Y105" s="31"/>
      <c r="Z105" s="31"/>
      <c r="AA105" s="31"/>
      <c r="AB105" s="31"/>
      <c r="AC105" s="31"/>
      <c r="AD105" s="31">
        <v>1</v>
      </c>
      <c r="AE105" s="31"/>
      <c r="AF105" s="31"/>
      <c r="AG105" s="31"/>
      <c r="AH105" s="31"/>
      <c r="AI105" s="31"/>
      <c r="AJ105" s="31"/>
      <c r="AK105" s="31">
        <v>1</v>
      </c>
      <c r="AL105" s="31"/>
      <c r="AM105" s="31"/>
      <c r="AN105" s="31"/>
      <c r="AO105" s="31"/>
      <c r="AP105" s="31"/>
      <c r="AQ105" s="31">
        <v>1</v>
      </c>
    </row>
    <row r="106" spans="2:43" x14ac:dyDescent="0.35">
      <c r="B106" s="120" t="s">
        <v>347</v>
      </c>
      <c r="C106">
        <f>IF(B106="","",IFERROR(IFERROR(IFERROR(VLOOKUP(B106,Table6[[Tool Name]:[MS Prevalence]],2,FALSE),VLOOKUP(B106,Table3[[Typed Name]:[MS Prevalence]],3,FALSE)),VLOOKUP(B106,Table4[[Country]:[Estimated prevalence of modern slavery per 1,000 population]],2,FALSE)),0))</f>
        <v>0</v>
      </c>
      <c r="D106" s="20" t="s">
        <v>72</v>
      </c>
      <c r="E106" s="22">
        <f>IFERROR(VLOOKUP(Table2[[#This Row],[Country]],Table6[[Tool Name]:[MS Prevalence]],2,FALSE),999)</f>
        <v>6.2550435066223136</v>
      </c>
      <c r="F106" s="6" t="str">
        <f>LEFT(Table2[[#This Row],[Country]],4)</f>
        <v>Mala</v>
      </c>
      <c r="G106" s="6" cm="1">
        <f t="array" ref="G106">SUMPRODUCT(--(Table2[[#This Row],[Country]]=Input!$B$39:$C$58))+SUMPRODUCT(--(Table2[[#This Row],[Country]]=Table3[Tool Name]),--(Table3[Selected]&gt;0))</f>
        <v>0</v>
      </c>
      <c r="H106" s="6" t="b">
        <f>IFERROR(MATCH(Table2[[#This Row],[Country]],GSI!F:F,0)&gt;0,FALSE)</f>
        <v>0</v>
      </c>
      <c r="M106" s="120" t="s">
        <v>207</v>
      </c>
      <c r="N106" s="11" t="s">
        <v>207</v>
      </c>
      <c r="O106" s="11" t="s">
        <v>214</v>
      </c>
      <c r="Q106" t="s">
        <v>345</v>
      </c>
      <c r="R106" s="120" t="s">
        <v>263</v>
      </c>
      <c r="S106" s="42">
        <f>SIGN(SUMPRODUCT($T$3:$AQ$3,$T106:$AQ106))*(MAX($S$3:S105)+1)</f>
        <v>0</v>
      </c>
      <c r="T106" s="31"/>
      <c r="U106" s="31">
        <v>1</v>
      </c>
      <c r="V106" s="31"/>
      <c r="W106" s="31">
        <v>1</v>
      </c>
      <c r="X106" s="31"/>
      <c r="Y106" s="31"/>
      <c r="Z106" s="31"/>
      <c r="AA106" s="31"/>
      <c r="AB106" s="31"/>
      <c r="AC106" s="31"/>
      <c r="AD106" s="31">
        <v>1</v>
      </c>
      <c r="AE106" s="31"/>
      <c r="AF106" s="31"/>
      <c r="AG106" s="31"/>
      <c r="AH106" s="31"/>
      <c r="AI106" s="31"/>
      <c r="AJ106" s="31"/>
      <c r="AK106" s="31">
        <v>1</v>
      </c>
      <c r="AL106" s="31"/>
      <c r="AM106" s="31"/>
      <c r="AN106" s="31"/>
      <c r="AO106" s="31"/>
      <c r="AP106" s="31"/>
      <c r="AQ106" s="31"/>
    </row>
    <row r="107" spans="2:43" x14ac:dyDescent="0.35">
      <c r="B107" s="120" t="s">
        <v>349</v>
      </c>
      <c r="C107">
        <f>IF(B107="","",IFERROR(IFERROR(IFERROR(VLOOKUP(B107,Table6[[Tool Name]:[MS Prevalence]],2,FALSE),VLOOKUP(B107,Table3[[Typed Name]:[MS Prevalence]],3,FALSE)),VLOOKUP(B107,Table4[[Country]:[Estimated prevalence of modern slavery per 1,000 population]],2,FALSE)),0))</f>
        <v>5.2330904006958008</v>
      </c>
      <c r="D107" s="20" t="s">
        <v>347</v>
      </c>
      <c r="E107" s="22">
        <f>IFERROR(VLOOKUP(Table2[[#This Row],[Country]],Table6[[Tool Name]:[MS Prevalence]],2,FALSE),999)</f>
        <v>0</v>
      </c>
      <c r="F107" s="6" t="str">
        <f>LEFT(Table2[[#This Row],[Country]],4)</f>
        <v>Mald</v>
      </c>
      <c r="G107" s="6" cm="1">
        <f t="array" ref="G107">SUMPRODUCT(--(Table2[[#This Row],[Country]]=Input!$B$39:$C$58))+SUMPRODUCT(--(Table2[[#This Row],[Country]]=Table3[Tool Name]),--(Table3[Selected]&gt;0))</f>
        <v>0</v>
      </c>
      <c r="H107" s="6" t="b">
        <f>IFERROR(MATCH(Table2[[#This Row],[Country]],GSI!F:F,0)&gt;0,FALSE)</f>
        <v>0</v>
      </c>
      <c r="M107" s="120" t="s">
        <v>207</v>
      </c>
      <c r="N107" s="12" t="s">
        <v>207</v>
      </c>
      <c r="O107" s="12" t="s">
        <v>297</v>
      </c>
      <c r="Q107" t="s">
        <v>346</v>
      </c>
      <c r="R107" s="120" t="s">
        <v>745</v>
      </c>
      <c r="S107" s="42">
        <f>SIGN(SUMPRODUCT($T$3:$AQ$3,$T107:$AQ107))*(MAX($S$3:S106)+1)</f>
        <v>0</v>
      </c>
      <c r="T107" s="31"/>
      <c r="U107" s="31"/>
      <c r="V107" s="31"/>
      <c r="W107" s="31">
        <v>1</v>
      </c>
      <c r="X107" s="31"/>
      <c r="Y107" s="31"/>
      <c r="Z107" s="31"/>
      <c r="AA107" s="31"/>
      <c r="AB107" s="31"/>
      <c r="AC107" s="31"/>
      <c r="AD107" s="31">
        <v>1</v>
      </c>
      <c r="AE107" s="31"/>
      <c r="AF107" s="31"/>
      <c r="AG107" s="31"/>
      <c r="AH107" s="31"/>
      <c r="AI107" s="31"/>
      <c r="AJ107" s="31"/>
      <c r="AK107" s="31">
        <v>1</v>
      </c>
      <c r="AL107" s="31"/>
      <c r="AM107" s="31"/>
      <c r="AN107" s="31"/>
      <c r="AO107" s="31"/>
      <c r="AP107" s="31"/>
      <c r="AQ107" s="31"/>
    </row>
    <row r="108" spans="2:43" x14ac:dyDescent="0.35">
      <c r="B108" s="120" t="s">
        <v>350</v>
      </c>
      <c r="C108">
        <f>IF(B108="","",IFERROR(IFERROR(IFERROR(VLOOKUP(B108,Table6[[Tool Name]:[MS Prevalence]],2,FALSE),VLOOKUP(B108,Table3[[Typed Name]:[MS Prevalence]],3,FALSE)),VLOOKUP(B108,Table4[[Country]:[Estimated prevalence of modern slavery per 1,000 population]],2,FALSE)),0))</f>
        <v>0</v>
      </c>
      <c r="D108" s="20" t="s">
        <v>349</v>
      </c>
      <c r="E108" s="22">
        <f>IFERROR(VLOOKUP(Table2[[#This Row],[Country]],Table6[[Tool Name]:[MS Prevalence]],2,FALSE),999)</f>
        <v>5.2330904006958008</v>
      </c>
      <c r="F108" s="6" t="str">
        <f>LEFT(Table2[[#This Row],[Country]],4)</f>
        <v>Mali</v>
      </c>
      <c r="G108" s="6" cm="1">
        <f t="array" ref="G108">SUMPRODUCT(--(Table2[[#This Row],[Country]]=Input!$B$39:$C$58))+SUMPRODUCT(--(Table2[[#This Row],[Country]]=Table3[Tool Name]),--(Table3[Selected]&gt;0))</f>
        <v>0</v>
      </c>
      <c r="H108" s="6" t="b">
        <f>IFERROR(MATCH(Table2[[#This Row],[Country]],GSI!F:F,0)&gt;0,FALSE)</f>
        <v>0</v>
      </c>
      <c r="M108" s="120" t="s">
        <v>207</v>
      </c>
      <c r="N108" s="11" t="s">
        <v>207</v>
      </c>
      <c r="O108" s="11" t="s">
        <v>153</v>
      </c>
      <c r="Q108" t="s">
        <v>348</v>
      </c>
      <c r="R108" s="120" t="s">
        <v>466</v>
      </c>
      <c r="S108" s="42">
        <f>SIGN(SUMPRODUCT($T$3:$AQ$3,$T108:$AQ108))*(MAX($S$3:S107)+1)</f>
        <v>0</v>
      </c>
      <c r="T108" s="31"/>
      <c r="U108" s="31"/>
      <c r="V108" s="31"/>
      <c r="W108" s="31"/>
      <c r="X108" s="31"/>
      <c r="Y108" s="31"/>
      <c r="Z108" s="31"/>
      <c r="AA108" s="31"/>
      <c r="AB108" s="31"/>
      <c r="AC108" s="31"/>
      <c r="AD108" s="31"/>
      <c r="AE108" s="31"/>
      <c r="AF108" s="31"/>
      <c r="AG108" s="31"/>
      <c r="AH108" s="31"/>
      <c r="AI108" s="31"/>
      <c r="AJ108" s="31">
        <v>1</v>
      </c>
      <c r="AK108" s="31"/>
      <c r="AL108" s="31"/>
      <c r="AM108" s="31"/>
      <c r="AN108" s="31"/>
      <c r="AO108" s="31"/>
      <c r="AP108" s="31"/>
      <c r="AQ108" s="31"/>
    </row>
    <row r="109" spans="2:43" x14ac:dyDescent="0.35">
      <c r="B109" s="120" t="s">
        <v>352</v>
      </c>
      <c r="C109">
        <f>IF(B109="","",IFERROR(IFERROR(IFERROR(VLOOKUP(B109,Table6[[Tool Name]:[MS Prevalence]],2,FALSE),VLOOKUP(B109,Table3[[Typed Name]:[MS Prevalence]],3,FALSE)),VLOOKUP(B109,Table4[[Country]:[Estimated prevalence of modern slavery per 1,000 population]],2,FALSE)),0))</f>
        <v>0</v>
      </c>
      <c r="D109" s="20" t="s">
        <v>350</v>
      </c>
      <c r="E109" s="22">
        <f>IFERROR(VLOOKUP(Table2[[#This Row],[Country]],Table6[[Tool Name]:[MS Prevalence]],2,FALSE),999)</f>
        <v>0</v>
      </c>
      <c r="F109" s="6" t="str">
        <f>LEFT(Table2[[#This Row],[Country]],4)</f>
        <v>Malt</v>
      </c>
      <c r="G109" s="6" cm="1">
        <f t="array" ref="G109">SUMPRODUCT(--(Table2[[#This Row],[Country]]=Input!$B$39:$C$58))+SUMPRODUCT(--(Table2[[#This Row],[Country]]=Table3[Tool Name]),--(Table3[Selected]&gt;0))</f>
        <v>0</v>
      </c>
      <c r="H109" s="6" t="b">
        <f>IFERROR(MATCH(Table2[[#This Row],[Country]],GSI!F:F,0)&gt;0,FALSE)</f>
        <v>0</v>
      </c>
      <c r="M109" s="120" t="s">
        <v>209</v>
      </c>
      <c r="N109" s="11" t="s">
        <v>209</v>
      </c>
      <c r="O109" s="11" t="s">
        <v>118</v>
      </c>
      <c r="Q109" t="s">
        <v>115</v>
      </c>
      <c r="R109" s="120" t="s">
        <v>746</v>
      </c>
      <c r="S109" s="42">
        <f>SIGN(SUMPRODUCT($T$3:$AQ$3,$T109:$AQ109))*(MAX($S$3:S108)+1)</f>
        <v>0</v>
      </c>
      <c r="T109" s="31"/>
      <c r="U109" s="31"/>
      <c r="V109" s="31"/>
      <c r="W109" s="31"/>
      <c r="X109" s="31"/>
      <c r="Y109" s="31"/>
      <c r="Z109" s="31"/>
      <c r="AA109" s="31"/>
      <c r="AB109" s="31"/>
      <c r="AC109" s="31"/>
      <c r="AD109" s="31"/>
      <c r="AE109" s="31"/>
      <c r="AF109" s="31"/>
      <c r="AG109" s="31"/>
      <c r="AH109" s="31"/>
      <c r="AI109" s="31"/>
      <c r="AJ109" s="31">
        <v>1</v>
      </c>
      <c r="AK109" s="31"/>
      <c r="AL109" s="31"/>
      <c r="AM109" s="31"/>
      <c r="AN109" s="31"/>
      <c r="AO109" s="31"/>
      <c r="AP109" s="31"/>
      <c r="AQ109" s="31"/>
    </row>
    <row r="110" spans="2:43" x14ac:dyDescent="0.35">
      <c r="B110" s="120" t="s">
        <v>354</v>
      </c>
      <c r="C110">
        <f>IF(B110="","",IFERROR(IFERROR(IFERROR(VLOOKUP(B110,Table6[[Tool Name]:[MS Prevalence]],2,FALSE),VLOOKUP(B110,Table3[[Typed Name]:[MS Prevalence]],3,FALSE)),VLOOKUP(B110,Table4[[Country]:[Estimated prevalence of modern slavery per 1,000 population]],2,FALSE)),0))</f>
        <v>32.015483856201172</v>
      </c>
      <c r="D110" s="20" t="s">
        <v>352</v>
      </c>
      <c r="E110" s="22">
        <f>IFERROR(VLOOKUP(Table2[[#This Row],[Country]],Table6[[Tool Name]:[MS Prevalence]],2,FALSE),999)</f>
        <v>0</v>
      </c>
      <c r="F110" s="6" t="str">
        <f>LEFT(Table2[[#This Row],[Country]],4)</f>
        <v>Mars</v>
      </c>
      <c r="G110" s="6" cm="1">
        <f t="array" ref="G110">SUMPRODUCT(--(Table2[[#This Row],[Country]]=Input!$B$39:$C$58))+SUMPRODUCT(--(Table2[[#This Row],[Country]]=Table3[Tool Name]),--(Table3[Selected]&gt;0))</f>
        <v>0</v>
      </c>
      <c r="H110" s="6" t="b">
        <f>IFERROR(MATCH(Table2[[#This Row],[Country]],GSI!F:F,0)&gt;0,FALSE)</f>
        <v>0</v>
      </c>
      <c r="M110" s="120" t="s">
        <v>209</v>
      </c>
      <c r="N110" s="11" t="s">
        <v>209</v>
      </c>
      <c r="O110" s="11" t="s">
        <v>240</v>
      </c>
      <c r="Q110" t="s">
        <v>351</v>
      </c>
      <c r="R110" s="120" t="s">
        <v>224</v>
      </c>
      <c r="S110" s="42">
        <f>SIGN(SUMPRODUCT($T$3:$AQ$3,$T110:$AQ110))*(MAX($S$3:S109)+1)</f>
        <v>0</v>
      </c>
      <c r="T110" s="31"/>
      <c r="U110" s="31"/>
      <c r="V110" s="31"/>
      <c r="W110" s="31"/>
      <c r="X110" s="31"/>
      <c r="Y110" s="31"/>
      <c r="Z110" s="31"/>
      <c r="AA110" s="31"/>
      <c r="AB110" s="31"/>
      <c r="AC110" s="31"/>
      <c r="AD110" s="31"/>
      <c r="AE110" s="31"/>
      <c r="AF110" s="31"/>
      <c r="AG110" s="31"/>
      <c r="AH110" s="31"/>
      <c r="AI110" s="31"/>
      <c r="AJ110" s="31">
        <v>1</v>
      </c>
      <c r="AK110" s="31"/>
      <c r="AL110" s="31"/>
      <c r="AM110" s="31"/>
      <c r="AN110" s="31"/>
      <c r="AO110" s="31"/>
      <c r="AP110" s="31"/>
      <c r="AQ110" s="31"/>
    </row>
    <row r="111" spans="2:43" x14ac:dyDescent="0.35">
      <c r="B111" s="120" t="s">
        <v>355</v>
      </c>
      <c r="C111">
        <f>IF(B111="","",IFERROR(IFERROR(IFERROR(VLOOKUP(B111,Table6[[Tool Name]:[MS Prevalence]],2,FALSE),VLOOKUP(B111,Table3[[Typed Name]:[MS Prevalence]],3,FALSE)),VLOOKUP(B111,Table4[[Country]:[Estimated prevalence of modern slavery per 1,000 population]],2,FALSE)),0))</f>
        <v>1.5071233510971069</v>
      </c>
      <c r="D111" s="20" t="s">
        <v>354</v>
      </c>
      <c r="E111" s="22">
        <f>IFERROR(VLOOKUP(Table2[[#This Row],[Country]],Table6[[Tool Name]:[MS Prevalence]],2,FALSE),999)</f>
        <v>32.015483856201172</v>
      </c>
      <c r="F111" s="6" t="str">
        <f>LEFT(Table2[[#This Row],[Country]],4)</f>
        <v>Maur</v>
      </c>
      <c r="G111" s="6" cm="1">
        <f t="array" ref="G111">SUMPRODUCT(--(Table2[[#This Row],[Country]]=Input!$B$39:$C$58))+SUMPRODUCT(--(Table2[[#This Row],[Country]]=Table3[Tool Name]),--(Table3[Selected]&gt;0))</f>
        <v>0</v>
      </c>
      <c r="H111" s="6" t="b">
        <f>IFERROR(MATCH(Table2[[#This Row],[Country]],GSI!F:F,0)&gt;0,FALSE)</f>
        <v>0</v>
      </c>
      <c r="M111" s="120" t="s">
        <v>216</v>
      </c>
      <c r="N111" s="11" t="s">
        <v>216</v>
      </c>
      <c r="O111" s="11" t="s">
        <v>115</v>
      </c>
      <c r="Q111" t="s">
        <v>353</v>
      </c>
      <c r="R111" s="120" t="s">
        <v>747</v>
      </c>
      <c r="S111" s="42">
        <f>SIGN(SUMPRODUCT($T$3:$AQ$3,$T111:$AQ111))*(MAX($S$3:S110)+1)</f>
        <v>0</v>
      </c>
      <c r="T111" s="31"/>
      <c r="U111" s="31"/>
      <c r="V111" s="31"/>
      <c r="W111" s="31"/>
      <c r="X111" s="31"/>
      <c r="Y111" s="31"/>
      <c r="Z111" s="31"/>
      <c r="AA111" s="31"/>
      <c r="AB111" s="31"/>
      <c r="AC111" s="31"/>
      <c r="AD111" s="31"/>
      <c r="AE111" s="31"/>
      <c r="AF111" s="31"/>
      <c r="AG111" s="31"/>
      <c r="AH111" s="31"/>
      <c r="AI111" s="31"/>
      <c r="AJ111" s="31">
        <v>1</v>
      </c>
      <c r="AK111" s="31"/>
      <c r="AL111" s="31"/>
      <c r="AM111" s="31"/>
      <c r="AN111" s="31"/>
      <c r="AO111" s="31"/>
      <c r="AP111" s="31"/>
      <c r="AQ111" s="31"/>
    </row>
    <row r="112" spans="2:43" x14ac:dyDescent="0.35">
      <c r="B112" s="120" t="s">
        <v>356</v>
      </c>
      <c r="C112">
        <f>IF(B112="","",IFERROR(IFERROR(IFERROR(VLOOKUP(B112,Table6[[Tool Name]:[MS Prevalence]],2,FALSE),VLOOKUP(B112,Table3[[Typed Name]:[MS Prevalence]],3,FALSE)),VLOOKUP(B112,Table4[[Country]:[Estimated prevalence of modern slavery per 1,000 population]],2,FALSE)),0))</f>
        <v>6.5893306732177734</v>
      </c>
      <c r="D112" s="20" t="s">
        <v>355</v>
      </c>
      <c r="E112" s="22">
        <f>IFERROR(VLOOKUP(Table2[[#This Row],[Country]],Table6[[Tool Name]:[MS Prevalence]],2,FALSE),999)</f>
        <v>1.5071233510971069</v>
      </c>
      <c r="F112" s="6" t="str">
        <f>LEFT(Table2[[#This Row],[Country]],4)</f>
        <v>Maur</v>
      </c>
      <c r="G112" s="6" cm="1">
        <f t="array" ref="G112">SUMPRODUCT(--(Table2[[#This Row],[Country]]=Input!$B$39:$C$58))+SUMPRODUCT(--(Table2[[#This Row],[Country]]=Table3[Tool Name]),--(Table3[Selected]&gt;0))</f>
        <v>0</v>
      </c>
      <c r="H112" s="6" t="b">
        <f>IFERROR(MATCH(Table2[[#This Row],[Country]],GSI!F:F,0)&gt;0,FALSE)</f>
        <v>0</v>
      </c>
      <c r="M112" s="120" t="s">
        <v>216</v>
      </c>
      <c r="N112" s="11" t="s">
        <v>216</v>
      </c>
      <c r="O112" s="11" t="s">
        <v>240</v>
      </c>
      <c r="Q112" t="s">
        <v>313</v>
      </c>
      <c r="R112" s="120" t="s">
        <v>370</v>
      </c>
      <c r="S112" s="42">
        <f>SIGN(SUMPRODUCT($T$3:$AQ$3,$T112:$AQ112))*(MAX($S$3:S111)+1)</f>
        <v>0</v>
      </c>
      <c r="T112" s="31"/>
      <c r="U112" s="31"/>
      <c r="V112" s="31"/>
      <c r="W112" s="31"/>
      <c r="X112" s="31"/>
      <c r="Y112" s="31"/>
      <c r="Z112" s="31"/>
      <c r="AA112" s="31"/>
      <c r="AB112" s="31"/>
      <c r="AC112" s="31"/>
      <c r="AD112" s="31"/>
      <c r="AE112" s="31"/>
      <c r="AF112" s="31"/>
      <c r="AG112" s="31"/>
      <c r="AH112" s="31"/>
      <c r="AI112" s="31"/>
      <c r="AJ112" s="31">
        <v>1</v>
      </c>
      <c r="AK112" s="31"/>
      <c r="AL112" s="31"/>
      <c r="AM112" s="31"/>
      <c r="AN112" s="31"/>
      <c r="AO112" s="31"/>
      <c r="AP112" s="31"/>
      <c r="AQ112" s="31"/>
    </row>
    <row r="113" spans="2:43" x14ac:dyDescent="0.35">
      <c r="B113" s="120" t="s">
        <v>358</v>
      </c>
      <c r="C113">
        <f>IF(B113="","",IFERROR(IFERROR(IFERROR(VLOOKUP(B113,Table6[[Tool Name]:[MS Prevalence]],2,FALSE),VLOOKUP(B113,Table3[[Typed Name]:[MS Prevalence]],3,FALSE)),VLOOKUP(B113,Table4[[Country]:[Estimated prevalence of modern slavery per 1,000 population]],2,FALSE)),0))</f>
        <v>9.4740686416625977</v>
      </c>
      <c r="D113" s="20" t="s">
        <v>356</v>
      </c>
      <c r="E113" s="22">
        <f>IFERROR(VLOOKUP(Table2[[#This Row],[Country]],Table6[[Tool Name]:[MS Prevalence]],2,FALSE),999)</f>
        <v>6.5893306732177734</v>
      </c>
      <c r="F113" s="6" t="str">
        <f>LEFT(Table2[[#This Row],[Country]],4)</f>
        <v>Mexi</v>
      </c>
      <c r="G113" s="6" cm="1">
        <f t="array" ref="G113">SUMPRODUCT(--(Table2[[#This Row],[Country]]=Input!$B$39:$C$58))+SUMPRODUCT(--(Table2[[#This Row],[Country]]=Table3[Tool Name]),--(Table3[Selected]&gt;0))</f>
        <v>0</v>
      </c>
      <c r="H113" s="6" t="b">
        <f>IFERROR(MATCH(Table2[[#This Row],[Country]],GSI!F:F,0)&gt;0,FALSE)</f>
        <v>0</v>
      </c>
      <c r="M113" s="120" t="s">
        <v>219</v>
      </c>
      <c r="N113" s="11" t="s">
        <v>219</v>
      </c>
      <c r="O113" s="11" t="s">
        <v>102</v>
      </c>
      <c r="Q113" t="s">
        <v>322</v>
      </c>
      <c r="R113" s="120" t="s">
        <v>370</v>
      </c>
      <c r="S113" s="42">
        <f>SIGN(SUMPRODUCT($T$3:$AQ$3,$T113:$AQ113))*(MAX($S$3:S112)+1)</f>
        <v>0</v>
      </c>
      <c r="T113" s="31"/>
      <c r="U113" s="31"/>
      <c r="V113" s="31"/>
      <c r="W113" s="31"/>
      <c r="X113" s="31"/>
      <c r="Y113" s="31"/>
      <c r="Z113" s="31"/>
      <c r="AA113" s="31"/>
      <c r="AB113" s="31"/>
      <c r="AC113" s="31"/>
      <c r="AD113" s="31"/>
      <c r="AE113" s="31"/>
      <c r="AF113" s="31"/>
      <c r="AG113" s="31"/>
      <c r="AH113" s="31"/>
      <c r="AI113" s="31"/>
      <c r="AJ113" s="31">
        <v>1</v>
      </c>
      <c r="AK113" s="31"/>
      <c r="AL113" s="31"/>
      <c r="AM113" s="31"/>
      <c r="AN113" s="31"/>
      <c r="AO113" s="31"/>
      <c r="AP113" s="31"/>
      <c r="AQ113" s="31"/>
    </row>
    <row r="114" spans="2:43" x14ac:dyDescent="0.35">
      <c r="B114" s="120" t="s">
        <v>360</v>
      </c>
      <c r="C114">
        <f>IF(B114="","",IFERROR(IFERROR(IFERROR(VLOOKUP(B114,Table6[[Tool Name]:[MS Prevalence]],2,FALSE),VLOOKUP(B114,Table3[[Typed Name]:[MS Prevalence]],3,FALSE)),VLOOKUP(B114,Table4[[Country]:[Estimated prevalence of modern slavery per 1,000 population]],2,FALSE)),0))</f>
        <v>0</v>
      </c>
      <c r="D114" s="20" t="s">
        <v>358</v>
      </c>
      <c r="E114" s="22">
        <f>IFERROR(VLOOKUP(Table2[[#This Row],[Country]],Table6[[Tool Name]:[MS Prevalence]],2,FALSE),999)</f>
        <v>9.4740686416625977</v>
      </c>
      <c r="F114" s="6" t="str">
        <f>LEFT(Table2[[#This Row],[Country]],4)</f>
        <v>Mold</v>
      </c>
      <c r="G114" s="6" cm="1">
        <f t="array" ref="G114">SUMPRODUCT(--(Table2[[#This Row],[Country]]=Input!$B$39:$C$58))+SUMPRODUCT(--(Table2[[#This Row],[Country]]=Table3[Tool Name]),--(Table3[Selected]&gt;0))</f>
        <v>0</v>
      </c>
      <c r="H114" s="6" t="b">
        <f>IFERROR(MATCH(Table2[[#This Row],[Country]],GSI!F:F,0)&gt;0,FALSE)</f>
        <v>0</v>
      </c>
      <c r="M114" s="120" t="s">
        <v>219</v>
      </c>
      <c r="N114" s="11" t="s">
        <v>219</v>
      </c>
      <c r="O114" s="11" t="s">
        <v>240</v>
      </c>
      <c r="Q114" t="s">
        <v>357</v>
      </c>
      <c r="R114" s="120" t="s">
        <v>344</v>
      </c>
      <c r="S114" s="42">
        <f>SIGN(SUMPRODUCT($T$3:$AQ$3,$T114:$AQ114))*(MAX($S$3:S113)+1)</f>
        <v>0</v>
      </c>
      <c r="T114" s="31"/>
      <c r="U114" s="31"/>
      <c r="V114" s="31"/>
      <c r="W114" s="31"/>
      <c r="X114" s="31"/>
      <c r="Y114" s="31"/>
      <c r="Z114" s="31"/>
      <c r="AA114" s="31"/>
      <c r="AB114" s="31"/>
      <c r="AC114" s="31"/>
      <c r="AD114" s="31"/>
      <c r="AE114" s="31"/>
      <c r="AF114" s="31"/>
      <c r="AG114" s="31"/>
      <c r="AH114" s="31"/>
      <c r="AI114" s="31"/>
      <c r="AJ114" s="31">
        <v>1</v>
      </c>
      <c r="AK114" s="31"/>
      <c r="AL114" s="31"/>
      <c r="AM114" s="31"/>
      <c r="AN114" s="31"/>
      <c r="AO114" s="31"/>
      <c r="AP114" s="31"/>
      <c r="AQ114" s="31"/>
    </row>
    <row r="115" spans="2:43" x14ac:dyDescent="0.35">
      <c r="B115" s="120" t="s">
        <v>362</v>
      </c>
      <c r="C115">
        <f>IF(B115="","",IFERROR(IFERROR(IFERROR(VLOOKUP(B115,Table6[[Tool Name]:[MS Prevalence]],2,FALSE),VLOOKUP(B115,Table3[[Typed Name]:[MS Prevalence]],3,FALSE)),VLOOKUP(B115,Table4[[Country]:[Estimated prevalence of modern slavery per 1,000 population]],2,FALSE)),0))</f>
        <v>4.044466495513916</v>
      </c>
      <c r="D115" s="20" t="s">
        <v>360</v>
      </c>
      <c r="E115" s="22">
        <f>IFERROR(VLOOKUP(Table2[[#This Row],[Country]],Table6[[Tool Name]:[MS Prevalence]],2,FALSE),999)</f>
        <v>0</v>
      </c>
      <c r="F115" s="6" t="str">
        <f>LEFT(Table2[[#This Row],[Country]],4)</f>
        <v>Mona</v>
      </c>
      <c r="G115" s="6" cm="1">
        <f t="array" ref="G115">SUMPRODUCT(--(Table2[[#This Row],[Country]]=Input!$B$39:$C$58))+SUMPRODUCT(--(Table2[[#This Row],[Country]]=Table3[Tool Name]),--(Table3[Selected]&gt;0))</f>
        <v>0</v>
      </c>
      <c r="H115" s="6" t="b">
        <f>IFERROR(MATCH(Table2[[#This Row],[Country]],GSI!F:F,0)&gt;0,FALSE)</f>
        <v>0</v>
      </c>
      <c r="M115" s="120" t="s">
        <v>97</v>
      </c>
      <c r="N115" s="11" t="s">
        <v>97</v>
      </c>
      <c r="O115" s="11" t="s">
        <v>98</v>
      </c>
      <c r="Q115" t="s">
        <v>359</v>
      </c>
      <c r="R115" s="120" t="s">
        <v>456</v>
      </c>
      <c r="S115" s="42">
        <f>SIGN(SUMPRODUCT($T$3:$AQ$3,$T115:$AQ115))*(MAX($S$3:S114)+1)</f>
        <v>0</v>
      </c>
      <c r="T115" s="31"/>
      <c r="U115" s="31"/>
      <c r="V115" s="31"/>
      <c r="W115" s="31"/>
      <c r="X115" s="31"/>
      <c r="Y115" s="31"/>
      <c r="Z115" s="31"/>
      <c r="AA115" s="31"/>
      <c r="AB115" s="31"/>
      <c r="AC115" s="31"/>
      <c r="AD115" s="31"/>
      <c r="AE115" s="31"/>
      <c r="AF115" s="31"/>
      <c r="AG115" s="31"/>
      <c r="AH115" s="31"/>
      <c r="AI115" s="31"/>
      <c r="AJ115" s="31">
        <v>1</v>
      </c>
      <c r="AK115" s="31"/>
      <c r="AL115" s="31"/>
      <c r="AM115" s="31"/>
      <c r="AN115" s="31"/>
      <c r="AO115" s="31"/>
      <c r="AP115" s="31"/>
      <c r="AQ115" s="31"/>
    </row>
    <row r="116" spans="2:43" x14ac:dyDescent="0.35">
      <c r="B116" s="120" t="s">
        <v>364</v>
      </c>
      <c r="C116">
        <f>IF(B116="","",IFERROR(IFERROR(IFERROR(VLOOKUP(B116,Table6[[Tool Name]:[MS Prevalence]],2,FALSE),VLOOKUP(B116,Table3[[Typed Name]:[MS Prevalence]],3,FALSE)),VLOOKUP(B116,Table4[[Country]:[Estimated prevalence of modern slavery per 1,000 population]],2,FALSE)),0))</f>
        <v>0</v>
      </c>
      <c r="D116" s="20" t="s">
        <v>362</v>
      </c>
      <c r="E116" s="22">
        <f>IFERROR(VLOOKUP(Table2[[#This Row],[Country]],Table6[[Tool Name]:[MS Prevalence]],2,FALSE),999)</f>
        <v>4.044466495513916</v>
      </c>
      <c r="F116" s="6" t="str">
        <f>LEFT(Table2[[#This Row],[Country]],4)</f>
        <v>Mong</v>
      </c>
      <c r="G116" s="6" cm="1">
        <f t="array" ref="G116">SUMPRODUCT(--(Table2[[#This Row],[Country]]=Input!$B$39:$C$58))+SUMPRODUCT(--(Table2[[#This Row],[Country]]=Table3[Tool Name]),--(Table3[Selected]&gt;0))</f>
        <v>0</v>
      </c>
      <c r="H116" s="6" t="b">
        <f>IFERROR(MATCH(Table2[[#This Row],[Country]],GSI!F:F,0)&gt;0,FALSE)</f>
        <v>0</v>
      </c>
      <c r="M116" s="120" t="s">
        <v>97</v>
      </c>
      <c r="N116" s="11" t="s">
        <v>97</v>
      </c>
      <c r="O116" s="11" t="s">
        <v>361</v>
      </c>
      <c r="Q116" t="s">
        <v>88</v>
      </c>
      <c r="R116" s="120" t="s">
        <v>748</v>
      </c>
      <c r="S116" s="42">
        <f>SIGN(SUMPRODUCT($T$3:$AQ$3,$T116:$AQ116))*(MAX($S$3:S115)+1)</f>
        <v>0</v>
      </c>
      <c r="T116" s="31"/>
      <c r="U116" s="31"/>
      <c r="V116" s="31"/>
      <c r="W116" s="31"/>
      <c r="X116" s="31">
        <v>1</v>
      </c>
      <c r="Y116" s="31"/>
      <c r="Z116" s="31"/>
      <c r="AA116" s="31"/>
      <c r="AB116" s="31"/>
      <c r="AC116" s="31"/>
      <c r="AD116" s="31"/>
      <c r="AE116" s="31"/>
      <c r="AF116" s="31"/>
      <c r="AG116" s="31"/>
      <c r="AH116" s="31"/>
      <c r="AI116" s="31"/>
      <c r="AJ116" s="31"/>
      <c r="AK116" s="31"/>
      <c r="AL116" s="31"/>
      <c r="AM116" s="31"/>
      <c r="AN116" s="31"/>
      <c r="AO116" s="31"/>
      <c r="AP116" s="31"/>
      <c r="AQ116" s="31"/>
    </row>
    <row r="117" spans="2:43" x14ac:dyDescent="0.35">
      <c r="B117" s="120" t="s">
        <v>367</v>
      </c>
      <c r="C117">
        <f>IF(B117="","",IFERROR(IFERROR(IFERROR(VLOOKUP(B117,Table6[[Tool Name]:[MS Prevalence]],2,FALSE),VLOOKUP(B117,Table3[[Typed Name]:[MS Prevalence]],3,FALSE)),VLOOKUP(B117,Table4[[Country]:[Estimated prevalence of modern slavery per 1,000 population]],2,FALSE)),0))</f>
        <v>2.2922830581665039</v>
      </c>
      <c r="D117" s="20" t="s">
        <v>364</v>
      </c>
      <c r="E117" s="22">
        <f>IFERROR(VLOOKUP(Table2[[#This Row],[Country]],Table6[[Tool Name]:[MS Prevalence]],2,FALSE),999)</f>
        <v>0</v>
      </c>
      <c r="F117" s="6" t="str">
        <f>LEFT(Table2[[#This Row],[Country]],4)</f>
        <v>Mont</v>
      </c>
      <c r="G117" s="6" cm="1">
        <f t="array" ref="G117">SUMPRODUCT(--(Table2[[#This Row],[Country]]=Input!$B$39:$C$58))+SUMPRODUCT(--(Table2[[#This Row],[Country]]=Table3[Tool Name]),--(Table3[Selected]&gt;0))</f>
        <v>0</v>
      </c>
      <c r="H117" s="6" t="b">
        <f>IFERROR(MATCH(Table2[[#This Row],[Country]],GSI!F:F,0)&gt;0,FALSE)</f>
        <v>0</v>
      </c>
      <c r="M117" s="120" t="s">
        <v>97</v>
      </c>
      <c r="N117" s="11" t="s">
        <v>97</v>
      </c>
      <c r="O117" s="11" t="s">
        <v>88</v>
      </c>
      <c r="Q117" t="s">
        <v>363</v>
      </c>
      <c r="R117" s="120" t="s">
        <v>224</v>
      </c>
      <c r="S117" s="42">
        <f>SIGN(SUMPRODUCT($T$3:$AQ$3,$T117:$AQ117))*(MAX($S$3:S116)+1)</f>
        <v>0</v>
      </c>
      <c r="T117" s="31"/>
      <c r="U117" s="31"/>
      <c r="V117" s="31"/>
      <c r="W117" s="31"/>
      <c r="X117" s="31">
        <v>1</v>
      </c>
      <c r="Y117" s="31"/>
      <c r="Z117" s="31"/>
      <c r="AA117" s="31"/>
      <c r="AB117" s="31"/>
      <c r="AC117" s="31"/>
      <c r="AD117" s="31"/>
      <c r="AE117" s="31"/>
      <c r="AF117" s="31"/>
      <c r="AG117" s="31"/>
      <c r="AH117" s="31"/>
      <c r="AI117" s="31"/>
      <c r="AJ117" s="31"/>
      <c r="AK117" s="31"/>
      <c r="AL117" s="31"/>
      <c r="AM117" s="31"/>
      <c r="AN117" s="31"/>
      <c r="AO117" s="31"/>
      <c r="AP117" s="31"/>
      <c r="AQ117" s="31"/>
    </row>
    <row r="118" spans="2:43" x14ac:dyDescent="0.35">
      <c r="B118" s="120" t="s">
        <v>369</v>
      </c>
      <c r="C118">
        <f>IF(B118="","",IFERROR(IFERROR(IFERROR(VLOOKUP(B118,Table6[[Tool Name]:[MS Prevalence]],2,FALSE),VLOOKUP(B118,Table3[[Typed Name]:[MS Prevalence]],3,FALSE)),VLOOKUP(B118,Table4[[Country]:[Estimated prevalence of modern slavery per 1,000 population]],2,FALSE)),0))</f>
        <v>2.974953413009644</v>
      </c>
      <c r="D118" s="20" t="s">
        <v>367</v>
      </c>
      <c r="E118" s="22">
        <f>IFERROR(VLOOKUP(Table2[[#This Row],[Country]],Table6[[Tool Name]:[MS Prevalence]],2,FALSE),999)</f>
        <v>2.2922830581665039</v>
      </c>
      <c r="F118" s="6" t="str">
        <f>LEFT(Table2[[#This Row],[Country]],4)</f>
        <v>Moro</v>
      </c>
      <c r="G118" s="6" cm="1">
        <f t="array" ref="G118">SUMPRODUCT(--(Table2[[#This Row],[Country]]=Input!$B$39:$C$58))+SUMPRODUCT(--(Table2[[#This Row],[Country]]=Table3[Tool Name]),--(Table3[Selected]&gt;0))</f>
        <v>0</v>
      </c>
      <c r="H118" s="6" t="b">
        <f>IFERROR(MATCH(Table2[[#This Row],[Country]],GSI!F:F,0)&gt;0,FALSE)</f>
        <v>0</v>
      </c>
      <c r="M118" s="120" t="s">
        <v>97</v>
      </c>
      <c r="N118" s="11" t="s">
        <v>97</v>
      </c>
      <c r="O118" s="11" t="s">
        <v>365</v>
      </c>
      <c r="Q118" t="s">
        <v>366</v>
      </c>
      <c r="R118" s="120" t="s">
        <v>386</v>
      </c>
      <c r="S118" s="42">
        <f>SIGN(SUMPRODUCT($T$3:$AQ$3,$T118:$AQ118))*(MAX($S$3:S117)+1)</f>
        <v>0</v>
      </c>
      <c r="T118" s="31"/>
      <c r="U118" s="31"/>
      <c r="V118" s="31"/>
      <c r="W118" s="31"/>
      <c r="X118" s="31">
        <v>1</v>
      </c>
      <c r="Y118" s="31"/>
      <c r="Z118" s="31"/>
      <c r="AA118" s="31"/>
      <c r="AB118" s="31"/>
      <c r="AC118" s="31"/>
      <c r="AD118" s="31"/>
      <c r="AE118" s="31"/>
      <c r="AF118" s="31"/>
      <c r="AG118" s="31"/>
      <c r="AH118" s="31"/>
      <c r="AI118" s="31"/>
      <c r="AJ118" s="31"/>
      <c r="AK118" s="31"/>
      <c r="AL118" s="31"/>
      <c r="AM118" s="31"/>
      <c r="AN118" s="31"/>
      <c r="AO118" s="31"/>
      <c r="AP118" s="31"/>
      <c r="AQ118" s="31"/>
    </row>
    <row r="119" spans="2:43" x14ac:dyDescent="0.35">
      <c r="B119" s="120" t="s">
        <v>370</v>
      </c>
      <c r="C119">
        <f>IF(B119="","",IFERROR(IFERROR(IFERROR(VLOOKUP(B119,Table6[[Tool Name]:[MS Prevalence]],2,FALSE),VLOOKUP(B119,Table3[[Typed Name]:[MS Prevalence]],3,FALSE)),VLOOKUP(B119,Table4[[Country]:[Estimated prevalence of modern slavery per 1,000 population]],2,FALSE)),0))</f>
        <v>12.079667091369631</v>
      </c>
      <c r="D119" s="20" t="s">
        <v>369</v>
      </c>
      <c r="E119" s="22">
        <f>IFERROR(VLOOKUP(Table2[[#This Row],[Country]],Table6[[Tool Name]:[MS Prevalence]],2,FALSE),999)</f>
        <v>2.974953413009644</v>
      </c>
      <c r="F119" s="6" t="str">
        <f>LEFT(Table2[[#This Row],[Country]],4)</f>
        <v>Moza</v>
      </c>
      <c r="G119" s="6" cm="1">
        <f t="array" ref="G119">SUMPRODUCT(--(Table2[[#This Row],[Country]]=Input!$B$39:$C$58))+SUMPRODUCT(--(Table2[[#This Row],[Country]]=Table3[Tool Name]),--(Table3[Selected]&gt;0))</f>
        <v>0</v>
      </c>
      <c r="H119" s="6" t="b">
        <f>IFERROR(MATCH(Table2[[#This Row],[Country]],GSI!F:F,0)&gt;0,FALSE)</f>
        <v>0</v>
      </c>
      <c r="M119" s="120" t="s">
        <v>97</v>
      </c>
      <c r="N119" s="11" t="s">
        <v>97</v>
      </c>
      <c r="O119" s="11" t="s">
        <v>368</v>
      </c>
      <c r="Q119" t="s">
        <v>266</v>
      </c>
      <c r="R119" s="120" t="s">
        <v>192</v>
      </c>
      <c r="S119" s="42">
        <f>SIGN(SUMPRODUCT($T$3:$AQ$3,$T119:$AQ119))*(MAX($S$3:S118)+1)</f>
        <v>0</v>
      </c>
      <c r="T119" s="31"/>
      <c r="U119" s="31">
        <v>1</v>
      </c>
      <c r="V119" s="31"/>
      <c r="W119" s="31"/>
      <c r="X119" s="31"/>
      <c r="Y119" s="31"/>
      <c r="Z119" s="31"/>
      <c r="AA119" s="31"/>
      <c r="AB119" s="31"/>
      <c r="AC119" s="31"/>
      <c r="AD119" s="31">
        <v>1</v>
      </c>
      <c r="AE119" s="31"/>
      <c r="AF119" s="31"/>
      <c r="AG119" s="31"/>
      <c r="AH119" s="31"/>
      <c r="AI119" s="31"/>
      <c r="AJ119" s="31"/>
      <c r="AK119" s="31"/>
      <c r="AL119" s="31"/>
      <c r="AM119" s="31"/>
      <c r="AN119" s="31"/>
      <c r="AO119" s="31"/>
      <c r="AP119" s="31"/>
      <c r="AQ119" s="31"/>
    </row>
    <row r="120" spans="2:43" x14ac:dyDescent="0.35">
      <c r="B120" s="120" t="s">
        <v>371</v>
      </c>
      <c r="C120">
        <f>IF(B120="","",IFERROR(IFERROR(IFERROR(VLOOKUP(B120,Table6[[Tool Name]:[MS Prevalence]],2,FALSE),VLOOKUP(B120,Table3[[Typed Name]:[MS Prevalence]],3,FALSE)),VLOOKUP(B120,Table4[[Country]:[Estimated prevalence of modern slavery per 1,000 population]],2,FALSE)),0))</f>
        <v>2.3513214588165279</v>
      </c>
      <c r="D120" s="20" t="s">
        <v>370</v>
      </c>
      <c r="E120" s="22">
        <f>IFERROR(VLOOKUP(Table2[[#This Row],[Country]],Table6[[Tool Name]:[MS Prevalence]],2,FALSE),999)</f>
        <v>12.079667091369631</v>
      </c>
      <c r="F120" s="6" t="str">
        <f>LEFT(Table2[[#This Row],[Country]],4)</f>
        <v>Myan</v>
      </c>
      <c r="G120" s="6" cm="1">
        <f t="array" ref="G120">SUMPRODUCT(--(Table2[[#This Row],[Country]]=Input!$B$39:$C$58))+SUMPRODUCT(--(Table2[[#This Row],[Country]]=Table3[Tool Name]),--(Table3[Selected]&gt;0))</f>
        <v>0</v>
      </c>
      <c r="H120" s="6" t="b">
        <f>IFERROR(MATCH(Table2[[#This Row],[Country]],GSI!F:F,0)&gt;0,FALSE)</f>
        <v>0</v>
      </c>
      <c r="M120" s="120" t="s">
        <v>97</v>
      </c>
      <c r="N120" s="11" t="s">
        <v>97</v>
      </c>
      <c r="O120" s="11" t="s">
        <v>101</v>
      </c>
      <c r="Q120" t="s">
        <v>268</v>
      </c>
      <c r="R120" s="120" t="s">
        <v>749</v>
      </c>
      <c r="S120" s="42">
        <f>SIGN(SUMPRODUCT($T$3:$AQ$3,$T120:$AQ120))*(MAX($S$3:S119)+1)</f>
        <v>0</v>
      </c>
      <c r="T120" s="31"/>
      <c r="U120" s="31"/>
      <c r="V120" s="31"/>
      <c r="W120" s="31"/>
      <c r="X120" s="31"/>
      <c r="Y120" s="31"/>
      <c r="Z120" s="31"/>
      <c r="AA120" s="31"/>
      <c r="AB120" s="31"/>
      <c r="AC120" s="31"/>
      <c r="AD120" s="31"/>
      <c r="AE120" s="31"/>
      <c r="AF120" s="31"/>
      <c r="AG120" s="31"/>
      <c r="AH120" s="31"/>
      <c r="AI120" s="31"/>
      <c r="AJ120" s="31">
        <v>1</v>
      </c>
      <c r="AK120" s="31"/>
      <c r="AL120" s="31"/>
      <c r="AM120" s="31"/>
      <c r="AN120" s="31"/>
      <c r="AO120" s="31"/>
      <c r="AP120" s="31"/>
      <c r="AQ120" s="31"/>
    </row>
    <row r="121" spans="2:43" x14ac:dyDescent="0.35">
      <c r="B121" s="120" t="s">
        <v>373</v>
      </c>
      <c r="C121">
        <f>IF(B121="","",IFERROR(IFERROR(IFERROR(VLOOKUP(B121,Table6[[Tool Name]:[MS Prevalence]],2,FALSE),VLOOKUP(B121,Table3[[Typed Name]:[MS Prevalence]],3,FALSE)),VLOOKUP(B121,Table4[[Country]:[Estimated prevalence of modern slavery per 1,000 population]],2,FALSE)),0))</f>
        <v>0</v>
      </c>
      <c r="D121" s="20" t="s">
        <v>371</v>
      </c>
      <c r="E121" s="22">
        <f>IFERROR(VLOOKUP(Table2[[#This Row],[Country]],Table6[[Tool Name]:[MS Prevalence]],2,FALSE),999)</f>
        <v>2.3513214588165279</v>
      </c>
      <c r="F121" s="6" t="str">
        <f>LEFT(Table2[[#This Row],[Country]],4)</f>
        <v>Nami</v>
      </c>
      <c r="G121" s="6" cm="1">
        <f t="array" ref="G121">SUMPRODUCT(--(Table2[[#This Row],[Country]]=Input!$B$39:$C$58))+SUMPRODUCT(--(Table2[[#This Row],[Country]]=Table3[Tool Name]),--(Table3[Selected]&gt;0))</f>
        <v>0</v>
      </c>
      <c r="H121" s="6" t="b">
        <f>IFERROR(MATCH(Table2[[#This Row],[Country]],GSI!F:F,0)&gt;0,FALSE)</f>
        <v>0</v>
      </c>
      <c r="M121" s="120" t="s">
        <v>97</v>
      </c>
      <c r="N121" s="11" t="s">
        <v>97</v>
      </c>
      <c r="O121" s="11" t="s">
        <v>103</v>
      </c>
      <c r="Q121" t="s">
        <v>101</v>
      </c>
      <c r="R121" s="120" t="s">
        <v>750</v>
      </c>
      <c r="S121" s="42">
        <f>SIGN(SUMPRODUCT($T$3:$AQ$3,$T121:$AQ121))*(MAX($S$3:S120)+1)</f>
        <v>0</v>
      </c>
      <c r="T121" s="31"/>
      <c r="U121" s="31"/>
      <c r="V121" s="31"/>
      <c r="W121" s="31"/>
      <c r="X121" s="31"/>
      <c r="Y121" s="31"/>
      <c r="Z121" s="31"/>
      <c r="AA121" s="31"/>
      <c r="AB121" s="31"/>
      <c r="AC121" s="31">
        <v>1</v>
      </c>
      <c r="AD121" s="31"/>
      <c r="AE121" s="31"/>
      <c r="AF121" s="31"/>
      <c r="AG121" s="31"/>
      <c r="AH121" s="31"/>
      <c r="AI121" s="31"/>
      <c r="AJ121" s="31">
        <v>1</v>
      </c>
      <c r="AK121" s="31"/>
      <c r="AL121" s="31"/>
      <c r="AM121" s="31"/>
      <c r="AN121" s="31"/>
      <c r="AO121" s="31"/>
      <c r="AP121" s="31"/>
      <c r="AQ121" s="31"/>
    </row>
    <row r="122" spans="2:43" x14ac:dyDescent="0.35">
      <c r="B122" s="120" t="s">
        <v>375</v>
      </c>
      <c r="C122">
        <f>IF(B122="","",IFERROR(IFERROR(IFERROR(VLOOKUP(B122,Table6[[Tool Name]:[MS Prevalence]],2,FALSE),VLOOKUP(B122,Table3[[Typed Name]:[MS Prevalence]],3,FALSE)),VLOOKUP(B122,Table4[[Country]:[Estimated prevalence of modern slavery per 1,000 population]],2,FALSE)),0))</f>
        <v>3.3220434188842769</v>
      </c>
      <c r="D122" s="20" t="s">
        <v>373</v>
      </c>
      <c r="E122" s="22">
        <f>IFERROR(VLOOKUP(Table2[[#This Row],[Country]],Table6[[Tool Name]:[MS Prevalence]],2,FALSE),999)</f>
        <v>0</v>
      </c>
      <c r="F122" s="6" t="str">
        <f>LEFT(Table2[[#This Row],[Country]],4)</f>
        <v>Naur</v>
      </c>
      <c r="G122" s="6" cm="1">
        <f t="array" ref="G122">SUMPRODUCT(--(Table2[[#This Row],[Country]]=Input!$B$39:$C$58))+SUMPRODUCT(--(Table2[[#This Row],[Country]]=Table3[Tool Name]),--(Table3[Selected]&gt;0))</f>
        <v>0</v>
      </c>
      <c r="H122" s="6" t="b">
        <f>IFERROR(MATCH(Table2[[#This Row],[Country]],GSI!F:F,0)&gt;0,FALSE)</f>
        <v>0</v>
      </c>
      <c r="M122" s="120" t="s">
        <v>97</v>
      </c>
      <c r="N122" s="11" t="s">
        <v>97</v>
      </c>
      <c r="O122" s="11" t="s">
        <v>372</v>
      </c>
      <c r="Q122" t="s">
        <v>193</v>
      </c>
      <c r="R122" s="120" t="s">
        <v>152</v>
      </c>
      <c r="S122" s="42">
        <f>SIGN(SUMPRODUCT($T$3:$AQ$3,$T122:$AQ122))*(MAX($S$3:S121)+1)</f>
        <v>0</v>
      </c>
      <c r="T122" s="31"/>
      <c r="U122" s="31"/>
      <c r="V122" s="31"/>
      <c r="W122" s="31"/>
      <c r="X122" s="31">
        <v>1</v>
      </c>
      <c r="Y122" s="31"/>
      <c r="Z122" s="31">
        <v>1</v>
      </c>
      <c r="AA122" s="31"/>
      <c r="AB122" s="31"/>
      <c r="AC122" s="31"/>
      <c r="AD122" s="31">
        <v>1</v>
      </c>
      <c r="AE122" s="31">
        <v>1</v>
      </c>
      <c r="AF122" s="31"/>
      <c r="AG122" s="31"/>
      <c r="AH122" s="31"/>
      <c r="AI122" s="31">
        <v>1</v>
      </c>
      <c r="AJ122" s="31"/>
      <c r="AK122" s="31"/>
      <c r="AL122" s="31"/>
      <c r="AM122" s="31"/>
      <c r="AN122" s="31">
        <v>1</v>
      </c>
      <c r="AO122" s="31"/>
      <c r="AP122" s="31"/>
      <c r="AQ122" s="31">
        <v>1</v>
      </c>
    </row>
    <row r="123" spans="2:43" x14ac:dyDescent="0.35">
      <c r="B123" s="120" t="s">
        <v>376</v>
      </c>
      <c r="C123">
        <f>IF(B123="","",IFERROR(IFERROR(IFERROR(VLOOKUP(B123,Table6[[Tool Name]:[MS Prevalence]],2,FALSE),VLOOKUP(B123,Table3[[Typed Name]:[MS Prevalence]],3,FALSE)),VLOOKUP(B123,Table4[[Country]:[Estimated prevalence of modern slavery per 1,000 population]],2,FALSE)),0))</f>
        <v>0.56841355562210083</v>
      </c>
      <c r="D123" s="20" t="s">
        <v>375</v>
      </c>
      <c r="E123" s="22">
        <f>IFERROR(VLOOKUP(Table2[[#This Row],[Country]],Table6[[Tool Name]:[MS Prevalence]],2,FALSE),999)</f>
        <v>3.3220434188842769</v>
      </c>
      <c r="F123" s="6" t="str">
        <f>LEFT(Table2[[#This Row],[Country]],4)</f>
        <v>Nepa</v>
      </c>
      <c r="G123" s="6" cm="1">
        <f t="array" ref="G123">SUMPRODUCT(--(Table2[[#This Row],[Country]]=Input!$B$39:$C$58))+SUMPRODUCT(--(Table2[[#This Row],[Country]]=Table3[Tool Name]),--(Table3[Selected]&gt;0))</f>
        <v>0</v>
      </c>
      <c r="H123" s="6" t="b">
        <f>IFERROR(MATCH(Table2[[#This Row],[Country]],GSI!F:F,0)&gt;0,FALSE)</f>
        <v>0</v>
      </c>
      <c r="M123" s="120" t="s">
        <v>97</v>
      </c>
      <c r="N123" s="11" t="s">
        <v>97</v>
      </c>
      <c r="O123" s="11" t="s">
        <v>374</v>
      </c>
      <c r="Q123" t="s">
        <v>303</v>
      </c>
      <c r="R123" s="120" t="s">
        <v>751</v>
      </c>
      <c r="S123" s="42">
        <f>SIGN(SUMPRODUCT($T$3:$AQ$3,$T123:$AQ123))*(MAX($S$3:S122)+1)</f>
        <v>0</v>
      </c>
      <c r="T123" s="31"/>
      <c r="U123" s="31"/>
      <c r="V123" s="31"/>
      <c r="W123" s="31"/>
      <c r="X123" s="31">
        <v>1</v>
      </c>
      <c r="Y123" s="31"/>
      <c r="Z123" s="31"/>
      <c r="AA123" s="31"/>
      <c r="AB123" s="31"/>
      <c r="AC123" s="31"/>
      <c r="AD123" s="31">
        <v>1</v>
      </c>
      <c r="AE123" s="31"/>
      <c r="AF123" s="31"/>
      <c r="AG123" s="31"/>
      <c r="AH123" s="31"/>
      <c r="AI123" s="31"/>
      <c r="AJ123" s="31">
        <v>1</v>
      </c>
      <c r="AK123" s="31"/>
      <c r="AL123" s="31"/>
      <c r="AM123" s="31"/>
      <c r="AN123" s="31"/>
      <c r="AO123" s="31"/>
      <c r="AP123" s="31"/>
      <c r="AQ123" s="31"/>
    </row>
    <row r="124" spans="2:43" x14ac:dyDescent="0.35">
      <c r="B124" s="120" t="s">
        <v>378</v>
      </c>
      <c r="C124">
        <f>IF(B124="","",IFERROR(IFERROR(IFERROR(VLOOKUP(B124,Table6[[Tool Name]:[MS Prevalence]],2,FALSE),VLOOKUP(B124,Table3[[Typed Name]:[MS Prevalence]],3,FALSE)),VLOOKUP(B124,Table4[[Country]:[Estimated prevalence of modern slavery per 1,000 population]],2,FALSE)),0))</f>
        <v>1.611743211746216</v>
      </c>
      <c r="D124" s="20" t="s">
        <v>376</v>
      </c>
      <c r="E124" s="22">
        <f>IFERROR(VLOOKUP(Table2[[#This Row],[Country]],Table6[[Tool Name]:[MS Prevalence]],2,FALSE),999)</f>
        <v>0.56841355562210083</v>
      </c>
      <c r="F124" s="6" t="str">
        <f>LEFT(Table2[[#This Row],[Country]],4)</f>
        <v>Neth</v>
      </c>
      <c r="G124" s="6" cm="1">
        <f t="array" ref="G124">SUMPRODUCT(--(Table2[[#This Row],[Country]]=Input!$B$39:$C$58))+SUMPRODUCT(--(Table2[[#This Row],[Country]]=Table3[Tool Name]),--(Table3[Selected]&gt;0))</f>
        <v>0</v>
      </c>
      <c r="H124" s="6" t="b">
        <f>IFERROR(MATCH(Table2[[#This Row],[Country]],GSI!F:F,0)&gt;0,FALSE)</f>
        <v>0</v>
      </c>
      <c r="M124" s="120" t="s">
        <v>97</v>
      </c>
      <c r="N124" s="11" t="s">
        <v>97</v>
      </c>
      <c r="O124" s="11" t="s">
        <v>107</v>
      </c>
      <c r="Q124" t="s">
        <v>229</v>
      </c>
      <c r="R124" s="120" t="s">
        <v>173</v>
      </c>
      <c r="S124" s="42">
        <f>SIGN(SUMPRODUCT($T$3:$AQ$3,$T124:$AQ124))*(MAX($S$3:S123)+1)</f>
        <v>0</v>
      </c>
      <c r="T124" s="31"/>
      <c r="U124" s="31"/>
      <c r="V124" s="31"/>
      <c r="W124" s="31"/>
      <c r="X124" s="31">
        <v>1</v>
      </c>
      <c r="Y124" s="31"/>
      <c r="Z124" s="31"/>
      <c r="AA124" s="31"/>
      <c r="AB124" s="31"/>
      <c r="AC124" s="31"/>
      <c r="AD124" s="31"/>
      <c r="AE124" s="31"/>
      <c r="AF124" s="31"/>
      <c r="AG124" s="31"/>
      <c r="AH124" s="31"/>
      <c r="AI124" s="31"/>
      <c r="AJ124" s="31">
        <v>1</v>
      </c>
      <c r="AK124" s="31"/>
      <c r="AL124" s="31"/>
      <c r="AM124" s="31"/>
      <c r="AN124" s="31"/>
      <c r="AO124" s="31"/>
      <c r="AP124" s="31"/>
      <c r="AQ124" s="31"/>
    </row>
    <row r="125" spans="2:43" x14ac:dyDescent="0.35">
      <c r="B125" s="120" t="s">
        <v>380</v>
      </c>
      <c r="C125">
        <f>IF(B125="","",IFERROR(IFERROR(IFERROR(VLOOKUP(B125,Table6[[Tool Name]:[MS Prevalence]],2,FALSE),VLOOKUP(B125,Table3[[Typed Name]:[MS Prevalence]],3,FALSE)),VLOOKUP(B125,Table4[[Country]:[Estimated prevalence of modern slavery per 1,000 population]],2,FALSE)),0))</f>
        <v>7.3434171676635742</v>
      </c>
      <c r="D125" s="20" t="s">
        <v>378</v>
      </c>
      <c r="E125" s="22">
        <f>IFERROR(VLOOKUP(Table2[[#This Row],[Country]],Table6[[Tool Name]:[MS Prevalence]],2,FALSE),999)</f>
        <v>1.611743211746216</v>
      </c>
      <c r="F125" s="6" t="str">
        <f>LEFT(Table2[[#This Row],[Country]],4)</f>
        <v xml:space="preserve">New </v>
      </c>
      <c r="G125" s="6" cm="1">
        <f t="array" ref="G125">SUMPRODUCT(--(Table2[[#This Row],[Country]]=Input!$B$39:$C$58))+SUMPRODUCT(--(Table2[[#This Row],[Country]]=Table3[Tool Name]),--(Table3[Selected]&gt;0))</f>
        <v>0</v>
      </c>
      <c r="H125" s="6" t="b">
        <f>IFERROR(MATCH(Table2[[#This Row],[Country]],GSI!F:F,0)&gt;0,FALSE)</f>
        <v>0</v>
      </c>
      <c r="M125" s="120" t="s">
        <v>97</v>
      </c>
      <c r="N125" s="11" t="s">
        <v>97</v>
      </c>
      <c r="O125" s="11" t="s">
        <v>180</v>
      </c>
      <c r="Q125" t="s">
        <v>377</v>
      </c>
      <c r="R125" s="120" t="s">
        <v>752</v>
      </c>
      <c r="S125" s="42">
        <f>SIGN(SUMPRODUCT($T$3:$AQ$3,$T125:$AQ125))*(MAX($S$3:S124)+1)</f>
        <v>0</v>
      </c>
      <c r="T125" s="31"/>
      <c r="U125" s="31"/>
      <c r="V125" s="31"/>
      <c r="W125" s="31"/>
      <c r="X125" s="31">
        <v>1</v>
      </c>
      <c r="Y125" s="31"/>
      <c r="Z125" s="31"/>
      <c r="AA125" s="31"/>
      <c r="AB125" s="31"/>
      <c r="AC125" s="31"/>
      <c r="AD125" s="31"/>
      <c r="AE125" s="31"/>
      <c r="AF125" s="31"/>
      <c r="AG125" s="31"/>
      <c r="AH125" s="31"/>
      <c r="AI125" s="31"/>
      <c r="AJ125" s="31">
        <v>1</v>
      </c>
      <c r="AK125" s="31"/>
      <c r="AL125" s="31"/>
      <c r="AM125" s="31"/>
      <c r="AN125" s="31"/>
      <c r="AO125" s="31"/>
      <c r="AP125" s="31"/>
      <c r="AQ125" s="31"/>
    </row>
    <row r="126" spans="2:43" x14ac:dyDescent="0.35">
      <c r="B126" s="120" t="s">
        <v>382</v>
      </c>
      <c r="C126">
        <f>IF(B126="","",IFERROR(IFERROR(IFERROR(VLOOKUP(B126,Table6[[Tool Name]:[MS Prevalence]],2,FALSE),VLOOKUP(B126,Table3[[Typed Name]:[MS Prevalence]],3,FALSE)),VLOOKUP(B126,Table4[[Country]:[Estimated prevalence of modern slavery per 1,000 population]],2,FALSE)),0))</f>
        <v>4.6451253890991211</v>
      </c>
      <c r="D126" s="20" t="s">
        <v>380</v>
      </c>
      <c r="E126" s="22">
        <f>IFERROR(VLOOKUP(Table2[[#This Row],[Country]],Table6[[Tool Name]:[MS Prevalence]],2,FALSE),999)</f>
        <v>7.3434171676635742</v>
      </c>
      <c r="F126" s="6" t="str">
        <f>LEFT(Table2[[#This Row],[Country]],4)</f>
        <v>Nica</v>
      </c>
      <c r="G126" s="6" cm="1">
        <f t="array" ref="G126">SUMPRODUCT(--(Table2[[#This Row],[Country]]=Input!$B$39:$C$58))+SUMPRODUCT(--(Table2[[#This Row],[Country]]=Table3[Tool Name]),--(Table3[Selected]&gt;0))</f>
        <v>0</v>
      </c>
      <c r="H126" s="6" t="b">
        <f>IFERROR(MATCH(Table2[[#This Row],[Country]],GSI!F:F,0)&gt;0,FALSE)</f>
        <v>0</v>
      </c>
      <c r="M126" s="120" t="s">
        <v>97</v>
      </c>
      <c r="N126" s="11" t="s">
        <v>97</v>
      </c>
      <c r="O126" s="11" t="s">
        <v>134</v>
      </c>
      <c r="Q126" t="s">
        <v>379</v>
      </c>
      <c r="R126" s="120" t="s">
        <v>382</v>
      </c>
      <c r="S126" s="42">
        <f>SIGN(SUMPRODUCT($T$3:$AQ$3,$T126:$AQ126))*(MAX($S$3:S125)+1)</f>
        <v>0</v>
      </c>
      <c r="T126" s="31"/>
      <c r="U126" s="31"/>
      <c r="V126" s="31"/>
      <c r="W126" s="31"/>
      <c r="X126" s="31">
        <v>1</v>
      </c>
      <c r="Y126" s="31"/>
      <c r="Z126" s="31"/>
      <c r="AA126" s="31"/>
      <c r="AB126" s="31"/>
      <c r="AC126" s="31"/>
      <c r="AD126" s="31"/>
      <c r="AE126" s="31"/>
      <c r="AF126" s="31"/>
      <c r="AG126" s="31"/>
      <c r="AH126" s="31"/>
      <c r="AI126" s="31"/>
      <c r="AJ126" s="31">
        <v>1</v>
      </c>
      <c r="AK126" s="31"/>
      <c r="AL126" s="31"/>
      <c r="AM126" s="31"/>
      <c r="AN126" s="31"/>
      <c r="AO126" s="31"/>
      <c r="AP126" s="31"/>
      <c r="AQ126" s="31"/>
    </row>
    <row r="127" spans="2:43" x14ac:dyDescent="0.35">
      <c r="B127" s="120" t="s">
        <v>384</v>
      </c>
      <c r="C127">
        <f>IF(B127="","",IFERROR(IFERROR(IFERROR(VLOOKUP(B127,Table6[[Tool Name]:[MS Prevalence]],2,FALSE),VLOOKUP(B127,Table3[[Typed Name]:[MS Prevalence]],3,FALSE)),VLOOKUP(B127,Table4[[Country]:[Estimated prevalence of modern slavery per 1,000 population]],2,FALSE)),0))</f>
        <v>7.8147635459899902</v>
      </c>
      <c r="D127" s="20" t="s">
        <v>382</v>
      </c>
      <c r="E127" s="22">
        <f>IFERROR(VLOOKUP(Table2[[#This Row],[Country]],Table6[[Tool Name]:[MS Prevalence]],2,FALSE),999)</f>
        <v>4.6451253890991211</v>
      </c>
      <c r="F127" s="6" t="str">
        <f>LEFT(Table2[[#This Row],[Country]],4)</f>
        <v>Nige</v>
      </c>
      <c r="G127" s="6" cm="1">
        <f t="array" ref="G127">SUMPRODUCT(--(Table2[[#This Row],[Country]]=Input!$B$39:$C$58))+SUMPRODUCT(--(Table2[[#This Row],[Country]]=Table3[Tool Name]),--(Table3[Selected]&gt;0))</f>
        <v>0</v>
      </c>
      <c r="H127" s="6" t="b">
        <f>IFERROR(MATCH(Table2[[#This Row],[Country]],GSI!F:F,0)&gt;0,FALSE)</f>
        <v>0</v>
      </c>
      <c r="M127" s="120" t="s">
        <v>97</v>
      </c>
      <c r="N127" s="11" t="s">
        <v>97</v>
      </c>
      <c r="O127" s="11" t="s">
        <v>328</v>
      </c>
      <c r="Q127" t="s">
        <v>381</v>
      </c>
      <c r="R127" s="120" t="s">
        <v>753</v>
      </c>
      <c r="S127" s="42">
        <f>SIGN(SUMPRODUCT($T$3:$AQ$3,$T127:$AQ127))*(MAX($S$3:S126)+1)</f>
        <v>0</v>
      </c>
      <c r="T127" s="31"/>
      <c r="U127" s="31"/>
      <c r="V127" s="31"/>
      <c r="W127" s="31"/>
      <c r="X127" s="31"/>
      <c r="Y127" s="31"/>
      <c r="Z127" s="31"/>
      <c r="AA127" s="31"/>
      <c r="AB127" s="31"/>
      <c r="AC127" s="31"/>
      <c r="AD127" s="31">
        <v>1</v>
      </c>
      <c r="AE127" s="31"/>
      <c r="AF127" s="31"/>
      <c r="AG127" s="31"/>
      <c r="AH127" s="31"/>
      <c r="AI127" s="31"/>
      <c r="AJ127" s="31">
        <v>1</v>
      </c>
      <c r="AK127" s="31"/>
      <c r="AL127" s="31"/>
      <c r="AM127" s="31"/>
      <c r="AN127" s="31"/>
      <c r="AO127" s="31"/>
      <c r="AP127" s="31"/>
      <c r="AQ127" s="31"/>
    </row>
    <row r="128" spans="2:43" x14ac:dyDescent="0.35">
      <c r="B128" s="120" t="s">
        <v>386</v>
      </c>
      <c r="C128">
        <f>IF(B128="","",IFERROR(IFERROR(IFERROR(VLOOKUP(B128,Table6[[Tool Name]:[MS Prevalence]],2,FALSE),VLOOKUP(B128,Table3[[Typed Name]:[MS Prevalence]],3,FALSE)),VLOOKUP(B128,Table4[[Country]:[Estimated prevalence of modern slavery per 1,000 population]],2,FALSE)),0))</f>
        <v>104.6</v>
      </c>
      <c r="D128" s="20" t="s">
        <v>384</v>
      </c>
      <c r="E128" s="22">
        <f>IFERROR(VLOOKUP(Table2[[#This Row],[Country]],Table6[[Tool Name]:[MS Prevalence]],2,FALSE),999)</f>
        <v>7.8147635459899902</v>
      </c>
      <c r="F128" s="6" t="str">
        <f>LEFT(Table2[[#This Row],[Country]],4)</f>
        <v>Nige</v>
      </c>
      <c r="G128" s="6" cm="1">
        <f t="array" ref="G128">SUMPRODUCT(--(Table2[[#This Row],[Country]]=Input!$B$39:$C$58))+SUMPRODUCT(--(Table2[[#This Row],[Country]]=Table3[Tool Name]),--(Table3[Selected]&gt;0))</f>
        <v>0</v>
      </c>
      <c r="H128" s="6" t="b">
        <f>IFERROR(MATCH(Table2[[#This Row],[Country]],GSI!F:F,0)&gt;0,FALSE)</f>
        <v>0</v>
      </c>
      <c r="M128" s="120" t="s">
        <v>97</v>
      </c>
      <c r="N128" s="11" t="s">
        <v>97</v>
      </c>
      <c r="O128" s="11" t="s">
        <v>383</v>
      </c>
      <c r="Q128" t="s">
        <v>110</v>
      </c>
      <c r="R128" s="120" t="s">
        <v>754</v>
      </c>
      <c r="S128" s="42">
        <f>SIGN(SUMPRODUCT($T$3:$AQ$3,$T128:$AQ128))*(MAX($S$3:S127)+1)</f>
        <v>0</v>
      </c>
      <c r="T128" s="31"/>
      <c r="U128" s="31"/>
      <c r="V128" s="31"/>
      <c r="W128" s="31"/>
      <c r="X128" s="31"/>
      <c r="Y128" s="31"/>
      <c r="Z128" s="31"/>
      <c r="AA128" s="31"/>
      <c r="AB128" s="31"/>
      <c r="AC128" s="31"/>
      <c r="AD128" s="31"/>
      <c r="AE128" s="31"/>
      <c r="AF128" s="31"/>
      <c r="AG128" s="31"/>
      <c r="AH128" s="31"/>
      <c r="AI128" s="31"/>
      <c r="AJ128" s="31">
        <v>1</v>
      </c>
      <c r="AK128" s="31"/>
      <c r="AL128" s="31"/>
      <c r="AM128" s="31"/>
      <c r="AN128" s="31"/>
      <c r="AO128" s="31"/>
      <c r="AP128" s="31"/>
      <c r="AQ128" s="31"/>
    </row>
    <row r="129" spans="2:43" x14ac:dyDescent="0.35">
      <c r="B129" s="120" t="s">
        <v>389</v>
      </c>
      <c r="C129">
        <f>IF(B129="","",IFERROR(IFERROR(IFERROR(VLOOKUP(B129,Table6[[Tool Name]:[MS Prevalence]],2,FALSE),VLOOKUP(B129,Table3[[Typed Name]:[MS Prevalence]],3,FALSE)),VLOOKUP(B129,Table4[[Country]:[Estimated prevalence of modern slavery per 1,000 population]],2,FALSE)),0))</f>
        <v>12.602495193481451</v>
      </c>
      <c r="D129" s="20" t="s">
        <v>386</v>
      </c>
      <c r="E129" s="22">
        <f>IFERROR(VLOOKUP(Table2[[#This Row],[Country]],Table6[[Tool Name]:[MS Prevalence]],2,FALSE),999)</f>
        <v>104.6</v>
      </c>
      <c r="F129" s="6" t="str">
        <f>LEFT(Table2[[#This Row],[Country]],4)</f>
        <v>Nort</v>
      </c>
      <c r="G129" s="6" cm="1">
        <f t="array" ref="G129">SUMPRODUCT(--(Table2[[#This Row],[Country]]=Input!$B$39:$C$58))+SUMPRODUCT(--(Table2[[#This Row],[Country]]=Table3[Tool Name]),--(Table3[Selected]&gt;0))</f>
        <v>0</v>
      </c>
      <c r="H129" s="6" t="b">
        <f>IFERROR(MATCH(Table2[[#This Row],[Country]],GSI!F:F,0)&gt;0,FALSE)</f>
        <v>0</v>
      </c>
      <c r="M129" s="120" t="s">
        <v>97</v>
      </c>
      <c r="N129" s="11" t="s">
        <v>97</v>
      </c>
      <c r="O129" s="11" t="s">
        <v>287</v>
      </c>
      <c r="Q129" t="s">
        <v>385</v>
      </c>
      <c r="R129" s="120" t="s">
        <v>755</v>
      </c>
      <c r="S129" s="42">
        <f>SIGN(SUMPRODUCT($T$3:$AQ$3,$T129:$AQ129))*(MAX($S$3:S128)+1)</f>
        <v>0</v>
      </c>
      <c r="T129" s="31"/>
      <c r="U129" s="31"/>
      <c r="V129" s="31"/>
      <c r="W129" s="31"/>
      <c r="X129" s="31">
        <v>1</v>
      </c>
      <c r="Y129" s="31"/>
      <c r="Z129" s="31"/>
      <c r="AA129" s="31"/>
      <c r="AB129" s="31"/>
      <c r="AC129" s="31"/>
      <c r="AD129" s="31"/>
      <c r="AE129" s="31">
        <v>1</v>
      </c>
      <c r="AF129" s="31"/>
      <c r="AG129" s="31"/>
      <c r="AH129" s="31"/>
      <c r="AI129" s="31"/>
      <c r="AJ129" s="31">
        <v>1</v>
      </c>
      <c r="AK129" s="31"/>
      <c r="AL129" s="31"/>
      <c r="AM129" s="31"/>
      <c r="AN129" s="31"/>
      <c r="AO129" s="31"/>
      <c r="AP129" s="31"/>
      <c r="AQ129" s="31"/>
    </row>
    <row r="130" spans="2:43" x14ac:dyDescent="0.35">
      <c r="B130" s="120" t="s">
        <v>392</v>
      </c>
      <c r="C130">
        <f>IF(B130="","",IFERROR(IFERROR(IFERROR(VLOOKUP(B130,Table6[[Tool Name]:[MS Prevalence]],2,FALSE),VLOOKUP(B130,Table3[[Typed Name]:[MS Prevalence]],3,FALSE)),VLOOKUP(B130,Table4[[Country]:[Estimated prevalence of modern slavery per 1,000 population]],2,FALSE)),0))</f>
        <v>0.51513570547103882</v>
      </c>
      <c r="D130" s="20" t="s">
        <v>389</v>
      </c>
      <c r="E130" s="22">
        <f>IFERROR(VLOOKUP(Table2[[#This Row],[Country]],Table6[[Tool Name]:[MS Prevalence]],2,FALSE),999)</f>
        <v>12.602495193481451</v>
      </c>
      <c r="F130" s="6" t="str">
        <f>LEFT(Table2[[#This Row],[Country]],4)</f>
        <v>Nort</v>
      </c>
      <c r="G130" s="6" cm="1">
        <f t="array" ref="G130">SUMPRODUCT(--(Table2[[#This Row],[Country]]=Input!$B$39:$C$58))+SUMPRODUCT(--(Table2[[#This Row],[Country]]=Table3[Tool Name]),--(Table3[Selected]&gt;0))</f>
        <v>0</v>
      </c>
      <c r="H130" s="6" t="b">
        <f>IFERROR(MATCH(Table2[[#This Row],[Country]],GSI!F:F,0)&gt;0,FALSE)</f>
        <v>0</v>
      </c>
      <c r="M130" s="120" t="s">
        <v>97</v>
      </c>
      <c r="N130" s="11" t="s">
        <v>97</v>
      </c>
      <c r="O130" s="11" t="s">
        <v>387</v>
      </c>
      <c r="Q130" t="s">
        <v>388</v>
      </c>
      <c r="R130" s="120" t="s">
        <v>302</v>
      </c>
      <c r="S130" s="42">
        <f>SIGN(SUMPRODUCT($T$3:$AQ$3,$T130:$AQ130))*(MAX($S$3:S129)+1)</f>
        <v>0</v>
      </c>
      <c r="T130" s="31"/>
      <c r="U130" s="31"/>
      <c r="V130" s="31"/>
      <c r="W130" s="31"/>
      <c r="X130" s="31">
        <v>1</v>
      </c>
      <c r="Y130" s="31"/>
      <c r="Z130" s="31"/>
      <c r="AA130" s="31"/>
      <c r="AB130" s="31"/>
      <c r="AC130" s="31"/>
      <c r="AD130" s="31"/>
      <c r="AE130" s="31"/>
      <c r="AF130" s="31"/>
      <c r="AG130" s="31"/>
      <c r="AH130" s="31"/>
      <c r="AI130" s="31"/>
      <c r="AJ130" s="31"/>
      <c r="AK130" s="31"/>
      <c r="AL130" s="31"/>
      <c r="AM130" s="31"/>
      <c r="AN130" s="31"/>
      <c r="AO130" s="31"/>
      <c r="AP130" s="31"/>
      <c r="AQ130" s="31"/>
    </row>
    <row r="131" spans="2:43" x14ac:dyDescent="0.35">
      <c r="B131" s="120" t="s">
        <v>394</v>
      </c>
      <c r="C131">
        <f>IF(B131="","",IFERROR(IFERROR(IFERROR(VLOOKUP(B131,Table6[[Tool Name]:[MS Prevalence]],2,FALSE),VLOOKUP(B131,Table3[[Typed Name]:[MS Prevalence]],3,FALSE)),VLOOKUP(B131,Table4[[Country]:[Estimated prevalence of modern slavery per 1,000 population]],2,FALSE)),0))</f>
        <v>6.5004955358003986</v>
      </c>
      <c r="D131" s="20" t="s">
        <v>392</v>
      </c>
      <c r="E131" s="22">
        <f>IFERROR(VLOOKUP(Table2[[#This Row],[Country]],Table6[[Tool Name]:[MS Prevalence]],2,FALSE),999)</f>
        <v>0.51513570547103882</v>
      </c>
      <c r="F131" s="6" t="str">
        <f>LEFT(Table2[[#This Row],[Country]],4)</f>
        <v>Norw</v>
      </c>
      <c r="G131" s="6" cm="1">
        <f t="array" ref="G131">SUMPRODUCT(--(Table2[[#This Row],[Country]]=Input!$B$39:$C$58))+SUMPRODUCT(--(Table2[[#This Row],[Country]]=Table3[Tool Name]),--(Table3[Selected]&gt;0))</f>
        <v>0</v>
      </c>
      <c r="H131" s="6" t="b">
        <f>IFERROR(MATCH(Table2[[#This Row],[Country]],GSI!F:F,0)&gt;0,FALSE)</f>
        <v>0</v>
      </c>
      <c r="M131" s="120" t="s">
        <v>97</v>
      </c>
      <c r="N131" s="11" t="s">
        <v>97</v>
      </c>
      <c r="O131" s="11" t="s">
        <v>390</v>
      </c>
      <c r="Q131" t="s">
        <v>391</v>
      </c>
      <c r="R131" s="120" t="s">
        <v>756</v>
      </c>
      <c r="S131" s="42">
        <f>SIGN(SUMPRODUCT($T$3:$AQ$3,$T131:$AQ131))*(MAX($S$3:S130)+1)</f>
        <v>0</v>
      </c>
      <c r="T131" s="31"/>
      <c r="U131" s="31"/>
      <c r="V131" s="31"/>
      <c r="W131" s="31"/>
      <c r="X131" s="31">
        <v>1</v>
      </c>
      <c r="Y131" s="31"/>
      <c r="Z131" s="31"/>
      <c r="AA131" s="31"/>
      <c r="AB131" s="31"/>
      <c r="AC131" s="31"/>
      <c r="AD131" s="31">
        <v>1</v>
      </c>
      <c r="AE131" s="31"/>
      <c r="AF131" s="31"/>
      <c r="AG131" s="31"/>
      <c r="AH131" s="31"/>
      <c r="AI131" s="31"/>
      <c r="AJ131" s="31"/>
      <c r="AK131" s="31"/>
      <c r="AL131" s="31"/>
      <c r="AM131" s="31"/>
      <c r="AN131" s="31"/>
      <c r="AO131" s="31"/>
      <c r="AP131" s="31"/>
      <c r="AQ131" s="31"/>
    </row>
    <row r="132" spans="2:43" x14ac:dyDescent="0.35">
      <c r="B132" s="120" t="s">
        <v>397</v>
      </c>
      <c r="C132">
        <f>IF(B132="","",IFERROR(IFERROR(IFERROR(VLOOKUP(B132,Table6[[Tool Name]:[MS Prevalence]],2,FALSE),VLOOKUP(B132,Table3[[Typed Name]:[MS Prevalence]],3,FALSE)),VLOOKUP(B132,Table4[[Country]:[Estimated prevalence of modern slavery per 1,000 population]],2,FALSE)),0))</f>
        <v>10.63333225250244</v>
      </c>
      <c r="D132" s="20" t="s">
        <v>394</v>
      </c>
      <c r="E132" s="22">
        <f>IFERROR(VLOOKUP(Table2[[#This Row],[Country]],Table6[[Tool Name]:[MS Prevalence]],2,FALSE),999)</f>
        <v>6.5004955358003986</v>
      </c>
      <c r="F132" s="6" t="str">
        <f>LEFT(Table2[[#This Row],[Country]],4)</f>
        <v>Oman</v>
      </c>
      <c r="G132" s="6" cm="1">
        <f t="array" ref="G132">SUMPRODUCT(--(Table2[[#This Row],[Country]]=Input!$B$39:$C$58))+SUMPRODUCT(--(Table2[[#This Row],[Country]]=Table3[Tool Name]),--(Table3[Selected]&gt;0))</f>
        <v>0</v>
      </c>
      <c r="H132" s="6" t="b">
        <f>IFERROR(MATCH(Table2[[#This Row],[Country]],GSI!F:F,0)&gt;0,FALSE)</f>
        <v>0</v>
      </c>
      <c r="M132" s="120" t="s">
        <v>97</v>
      </c>
      <c r="N132" s="11" t="s">
        <v>97</v>
      </c>
      <c r="O132" s="11" t="s">
        <v>112</v>
      </c>
      <c r="Q132" t="s">
        <v>393</v>
      </c>
      <c r="R132" s="120" t="s">
        <v>757</v>
      </c>
      <c r="S132" s="42">
        <f>SIGN(SUMPRODUCT($T$3:$AQ$3,$T132:$AQ132))*(MAX($S$3:S131)+1)</f>
        <v>0</v>
      </c>
      <c r="T132" s="31"/>
      <c r="U132" s="31"/>
      <c r="V132" s="31"/>
      <c r="W132" s="31"/>
      <c r="X132" s="31">
        <v>1</v>
      </c>
      <c r="Y132" s="31"/>
      <c r="Z132" s="31"/>
      <c r="AA132" s="31"/>
      <c r="AB132" s="31"/>
      <c r="AC132" s="31"/>
      <c r="AD132" s="31"/>
      <c r="AE132" s="31">
        <v>1</v>
      </c>
      <c r="AF132" s="31"/>
      <c r="AG132" s="31"/>
      <c r="AH132" s="31"/>
      <c r="AI132" s="31"/>
      <c r="AJ132" s="31"/>
      <c r="AK132" s="31"/>
      <c r="AL132" s="31"/>
      <c r="AM132" s="31"/>
      <c r="AN132" s="31"/>
      <c r="AO132" s="31"/>
      <c r="AP132" s="31"/>
      <c r="AQ132" s="31"/>
    </row>
    <row r="133" spans="2:43" x14ac:dyDescent="0.35">
      <c r="B133" s="120" t="s">
        <v>399</v>
      </c>
      <c r="C133">
        <f>IF(B133="","",IFERROR(IFERROR(IFERROR(VLOOKUP(B133,Table6[[Tool Name]:[MS Prevalence]],2,FALSE),VLOOKUP(B133,Table3[[Typed Name]:[MS Prevalence]],3,FALSE)),VLOOKUP(B133,Table4[[Country]:[Estimated prevalence of modern slavery per 1,000 population]],2,FALSE)),0))</f>
        <v>0</v>
      </c>
      <c r="D133" s="20" t="s">
        <v>397</v>
      </c>
      <c r="E133" s="22">
        <f>IFERROR(VLOOKUP(Table2[[#This Row],[Country]],Table6[[Tool Name]:[MS Prevalence]],2,FALSE),999)</f>
        <v>10.63333225250244</v>
      </c>
      <c r="F133" s="6" t="str">
        <f>LEFT(Table2[[#This Row],[Country]],4)</f>
        <v>Paki</v>
      </c>
      <c r="G133" s="6" cm="1">
        <f t="array" ref="G133">SUMPRODUCT(--(Table2[[#This Row],[Country]]=Input!$B$39:$C$58))+SUMPRODUCT(--(Table2[[#This Row],[Country]]=Table3[Tool Name]),--(Table3[Selected]&gt;0))</f>
        <v>0</v>
      </c>
      <c r="H133" s="6" t="b">
        <f>IFERROR(MATCH(Table2[[#This Row],[Country]],GSI!F:F,0)&gt;0,FALSE)</f>
        <v>0</v>
      </c>
      <c r="M133" s="120" t="s">
        <v>97</v>
      </c>
      <c r="N133" s="11" t="s">
        <v>97</v>
      </c>
      <c r="O133" s="11" t="s">
        <v>395</v>
      </c>
      <c r="Q133" t="s">
        <v>396</v>
      </c>
      <c r="R133" s="120" t="s">
        <v>380</v>
      </c>
      <c r="S133" s="42">
        <f>SIGN(SUMPRODUCT($T$3:$AQ$3,$T133:$AQ133))*(MAX($S$3:S132)+1)</f>
        <v>0</v>
      </c>
      <c r="T133" s="31"/>
      <c r="U133" s="31"/>
      <c r="V133" s="31"/>
      <c r="W133" s="31"/>
      <c r="X133" s="31">
        <v>1</v>
      </c>
      <c r="Y133" s="31"/>
      <c r="Z133" s="31"/>
      <c r="AA133" s="31"/>
      <c r="AB133" s="31"/>
      <c r="AC133" s="31"/>
      <c r="AD133" s="31"/>
      <c r="AE133" s="31"/>
      <c r="AF133" s="31"/>
      <c r="AG133" s="31"/>
      <c r="AH133" s="31"/>
      <c r="AI133" s="31"/>
      <c r="AJ133" s="31"/>
      <c r="AK133" s="31"/>
      <c r="AL133" s="31"/>
      <c r="AM133" s="31"/>
      <c r="AN133" s="31"/>
      <c r="AO133" s="31"/>
      <c r="AP133" s="31"/>
      <c r="AQ133" s="31"/>
    </row>
    <row r="134" spans="2:43" x14ac:dyDescent="0.35">
      <c r="B134" s="120" t="s">
        <v>400</v>
      </c>
      <c r="C134">
        <f>IF(B134="","",IFERROR(IFERROR(IFERROR(VLOOKUP(B134,Table6[[Tool Name]:[MS Prevalence]],2,FALSE),VLOOKUP(B134,Table3[[Typed Name]:[MS Prevalence]],3,FALSE)),VLOOKUP(B134,Table4[[Country]:[Estimated prevalence of modern slavery per 1,000 population]],2,FALSE)),0))</f>
        <v>4.6619625091552734</v>
      </c>
      <c r="D134" s="20" t="s">
        <v>399</v>
      </c>
      <c r="E134" s="22">
        <f>IFERROR(VLOOKUP(Table2[[#This Row],[Country]],Table6[[Tool Name]:[MS Prevalence]],2,FALSE),999)</f>
        <v>0</v>
      </c>
      <c r="F134" s="6" t="str">
        <f>LEFT(Table2[[#This Row],[Country]],4)</f>
        <v>Pala</v>
      </c>
      <c r="G134" s="6" cm="1">
        <f t="array" ref="G134">SUMPRODUCT(--(Table2[[#This Row],[Country]]=Input!$B$39:$C$58))+SUMPRODUCT(--(Table2[[#This Row],[Country]]=Table3[Tool Name]),--(Table3[Selected]&gt;0))</f>
        <v>0</v>
      </c>
      <c r="H134" s="6" t="b">
        <f>IFERROR(MATCH(Table2[[#This Row],[Country]],GSI!F:F,0)&gt;0,FALSE)</f>
        <v>0</v>
      </c>
      <c r="M134" s="120" t="s">
        <v>97</v>
      </c>
      <c r="N134" s="11" t="s">
        <v>97</v>
      </c>
      <c r="O134" s="11" t="s">
        <v>143</v>
      </c>
      <c r="Q134" t="s">
        <v>398</v>
      </c>
      <c r="R134" s="120" t="s">
        <v>382</v>
      </c>
      <c r="S134" s="42">
        <f>SIGN(SUMPRODUCT($T$3:$AQ$3,$T134:$AQ134))*(MAX($S$3:S133)+1)</f>
        <v>0</v>
      </c>
      <c r="T134" s="31"/>
      <c r="U134" s="31"/>
      <c r="V134" s="31">
        <v>1</v>
      </c>
      <c r="W134" s="31"/>
      <c r="X134" s="31"/>
      <c r="Y134" s="31"/>
      <c r="Z134" s="31"/>
      <c r="AA134" s="31"/>
      <c r="AB134" s="31">
        <v>1</v>
      </c>
      <c r="AC134" s="31">
        <v>1</v>
      </c>
      <c r="AD134" s="31"/>
      <c r="AE134" s="31">
        <v>1</v>
      </c>
      <c r="AF134" s="31"/>
      <c r="AG134" s="31"/>
      <c r="AH134" s="31"/>
      <c r="AI134" s="31"/>
      <c r="AJ134" s="31">
        <v>1</v>
      </c>
      <c r="AK134" s="31"/>
      <c r="AL134" s="31"/>
      <c r="AM134" s="31"/>
      <c r="AN134" s="31"/>
      <c r="AO134" s="31"/>
      <c r="AP134" s="31"/>
      <c r="AQ134" s="31"/>
    </row>
    <row r="135" spans="2:43" x14ac:dyDescent="0.35">
      <c r="B135" s="120" t="s">
        <v>402</v>
      </c>
      <c r="C135">
        <f>IF(B135="","",IFERROR(IFERROR(IFERROR(VLOOKUP(B135,Table6[[Tool Name]:[MS Prevalence]],2,FALSE),VLOOKUP(B135,Table3[[Typed Name]:[MS Prevalence]],3,FALSE)),VLOOKUP(B135,Table4[[Country]:[Estimated prevalence of modern slavery per 1,000 population]],2,FALSE)),0))</f>
        <v>10.346175193786619</v>
      </c>
      <c r="D135" s="20" t="s">
        <v>400</v>
      </c>
      <c r="E135" s="22">
        <f>IFERROR(VLOOKUP(Table2[[#This Row],[Country]],Table6[[Tool Name]:[MS Prevalence]],2,FALSE),999)</f>
        <v>4.6619625091552734</v>
      </c>
      <c r="F135" s="6" t="str">
        <f>LEFT(Table2[[#This Row],[Country]],4)</f>
        <v>Pana</v>
      </c>
      <c r="G135" s="6" cm="1">
        <f t="array" ref="G135">SUMPRODUCT(--(Table2[[#This Row],[Country]]=Input!$B$39:$C$58))+SUMPRODUCT(--(Table2[[#This Row],[Country]]=Table3[Tool Name]),--(Table3[Selected]&gt;0))</f>
        <v>0</v>
      </c>
      <c r="H135" s="6" t="b">
        <f>IFERROR(MATCH(Table2[[#This Row],[Country]],GSI!F:F,0)&gt;0,FALSE)</f>
        <v>0</v>
      </c>
      <c r="M135" s="120" t="s">
        <v>97</v>
      </c>
      <c r="N135" s="11" t="s">
        <v>97</v>
      </c>
      <c r="O135" s="11" t="s">
        <v>214</v>
      </c>
      <c r="Q135" t="s">
        <v>98</v>
      </c>
      <c r="R135" s="120" t="s">
        <v>97</v>
      </c>
      <c r="S135" s="42">
        <f>SIGN(SUMPRODUCT($T$3:$AQ$3,$T135:$AQ135))*(MAX($S$3:S134)+1)</f>
        <v>0</v>
      </c>
      <c r="T135" s="31"/>
      <c r="U135" s="31">
        <v>1</v>
      </c>
      <c r="V135" s="31"/>
      <c r="W135" s="31">
        <v>1</v>
      </c>
      <c r="X135" s="31">
        <v>1</v>
      </c>
      <c r="Y135" s="31"/>
      <c r="Z135" s="31">
        <v>1</v>
      </c>
      <c r="AA135" s="31"/>
      <c r="AB135" s="31"/>
      <c r="AC135" s="31"/>
      <c r="AD135" s="31">
        <v>1</v>
      </c>
      <c r="AE135" s="31"/>
      <c r="AF135" s="31"/>
      <c r="AG135" s="31"/>
      <c r="AH135" s="31"/>
      <c r="AI135" s="31">
        <v>1</v>
      </c>
      <c r="AJ135" s="31">
        <v>1</v>
      </c>
      <c r="AK135" s="31">
        <v>1</v>
      </c>
      <c r="AL135" s="31"/>
      <c r="AM135" s="31"/>
      <c r="AN135" s="31">
        <v>1</v>
      </c>
      <c r="AO135" s="31"/>
      <c r="AP135" s="31"/>
      <c r="AQ135" s="31">
        <v>1</v>
      </c>
    </row>
    <row r="136" spans="2:43" x14ac:dyDescent="0.35">
      <c r="B136" s="120" t="s">
        <v>403</v>
      </c>
      <c r="C136">
        <f>IF(B136="","",IFERROR(IFERROR(IFERROR(VLOOKUP(B136,Table6[[Tool Name]:[MS Prevalence]],2,FALSE),VLOOKUP(B136,Table3[[Typed Name]:[MS Prevalence]],3,FALSE)),VLOOKUP(B136,Table4[[Country]:[Estimated prevalence of modern slavery per 1,000 population]],2,FALSE)),0))</f>
        <v>6.4171395301818848</v>
      </c>
      <c r="D136" s="20" t="s">
        <v>402</v>
      </c>
      <c r="E136" s="22">
        <f>IFERROR(VLOOKUP(Table2[[#This Row],[Country]],Table6[[Tool Name]:[MS Prevalence]],2,FALSE),999)</f>
        <v>10.346175193786619</v>
      </c>
      <c r="F136" s="6" t="str">
        <f>LEFT(Table2[[#This Row],[Country]],4)</f>
        <v>Papu</v>
      </c>
      <c r="G136" s="6" cm="1">
        <f t="array" ref="G136">SUMPRODUCT(--(Table2[[#This Row],[Country]]=Input!$B$39:$C$58))+SUMPRODUCT(--(Table2[[#This Row],[Country]]=Table3[Tool Name]),--(Table3[Selected]&gt;0))</f>
        <v>0</v>
      </c>
      <c r="H136" s="6" t="b">
        <f>IFERROR(MATCH(Table2[[#This Row],[Country]],GSI!F:F,0)&gt;0,FALSE)</f>
        <v>0</v>
      </c>
      <c r="M136" s="120" t="s">
        <v>97</v>
      </c>
      <c r="N136" s="11" t="s">
        <v>97</v>
      </c>
      <c r="O136" s="11" t="s">
        <v>346</v>
      </c>
      <c r="Q136" t="s">
        <v>401</v>
      </c>
      <c r="R136" s="120" t="s">
        <v>302</v>
      </c>
      <c r="S136" s="42">
        <f>SIGN(SUMPRODUCT($T$3:$AQ$3,$T136:$AQ136))*(MAX($S$3:S135)+1)</f>
        <v>0</v>
      </c>
      <c r="T136" s="31"/>
      <c r="U136" s="31"/>
      <c r="V136" s="31"/>
      <c r="W136" s="31">
        <v>1</v>
      </c>
      <c r="X136" s="31"/>
      <c r="Y136" s="31"/>
      <c r="Z136" s="31"/>
      <c r="AA136" s="31"/>
      <c r="AB136" s="31"/>
      <c r="AC136" s="31"/>
      <c r="AD136" s="31">
        <v>1</v>
      </c>
      <c r="AE136" s="31"/>
      <c r="AF136" s="31"/>
      <c r="AG136" s="31"/>
      <c r="AH136" s="31"/>
      <c r="AI136" s="31"/>
      <c r="AJ136" s="31"/>
      <c r="AK136" s="31">
        <v>1</v>
      </c>
      <c r="AL136" s="31"/>
      <c r="AM136" s="31"/>
      <c r="AN136" s="31"/>
      <c r="AO136" s="31"/>
      <c r="AP136" s="31"/>
      <c r="AQ136" s="31"/>
    </row>
    <row r="137" spans="2:43" x14ac:dyDescent="0.35">
      <c r="B137" s="120" t="s">
        <v>405</v>
      </c>
      <c r="C137">
        <f>IF(B137="","",IFERROR(IFERROR(IFERROR(VLOOKUP(B137,Table6[[Tool Name]:[MS Prevalence]],2,FALSE),VLOOKUP(B137,Table3[[Typed Name]:[MS Prevalence]],3,FALSE)),VLOOKUP(B137,Table4[[Country]:[Estimated prevalence of modern slavery per 1,000 population]],2,FALSE)),0))</f>
        <v>7.0985183715820313</v>
      </c>
      <c r="D137" s="20" t="s">
        <v>403</v>
      </c>
      <c r="E137" s="22">
        <f>IFERROR(VLOOKUP(Table2[[#This Row],[Country]],Table6[[Tool Name]:[MS Prevalence]],2,FALSE),999)</f>
        <v>6.4171395301818848</v>
      </c>
      <c r="F137" s="6" t="str">
        <f>LEFT(Table2[[#This Row],[Country]],4)</f>
        <v>Para</v>
      </c>
      <c r="G137" s="6" cm="1">
        <f t="array" ref="G137">SUMPRODUCT(--(Table2[[#This Row],[Country]]=Input!$B$39:$C$58))+SUMPRODUCT(--(Table2[[#This Row],[Country]]=Table3[Tool Name]),--(Table3[Selected]&gt;0))</f>
        <v>0</v>
      </c>
      <c r="H137" s="6" t="b">
        <f>IFERROR(MATCH(Table2[[#This Row],[Country]],GSI!F:F,0)&gt;0,FALSE)</f>
        <v>0</v>
      </c>
      <c r="M137" s="120" t="s">
        <v>97</v>
      </c>
      <c r="N137" s="11" t="s">
        <v>97</v>
      </c>
      <c r="O137" s="11" t="s">
        <v>275</v>
      </c>
      <c r="Q137" t="s">
        <v>126</v>
      </c>
      <c r="R137" s="120" t="s">
        <v>125</v>
      </c>
      <c r="S137" s="42">
        <f>SIGN(SUMPRODUCT($T$3:$AQ$3,$T137:$AQ137))*(MAX($S$3:S136)+1)</f>
        <v>0</v>
      </c>
      <c r="T137" s="31"/>
      <c r="U137" s="31"/>
      <c r="V137" s="31"/>
      <c r="W137" s="31"/>
      <c r="X137" s="31"/>
      <c r="Y137" s="31"/>
      <c r="Z137" s="31">
        <v>1</v>
      </c>
      <c r="AA137" s="31"/>
      <c r="AB137" s="31"/>
      <c r="AC137" s="31"/>
      <c r="AD137" s="31"/>
      <c r="AE137" s="31"/>
      <c r="AF137" s="31"/>
      <c r="AG137" s="31"/>
      <c r="AH137" s="31"/>
      <c r="AI137" s="31"/>
      <c r="AJ137" s="31">
        <v>1</v>
      </c>
      <c r="AK137" s="31"/>
      <c r="AL137" s="31"/>
      <c r="AM137" s="31"/>
      <c r="AN137" s="31"/>
      <c r="AO137" s="31"/>
      <c r="AP137" s="31"/>
      <c r="AQ137" s="31">
        <v>1</v>
      </c>
    </row>
    <row r="138" spans="2:43" x14ac:dyDescent="0.35">
      <c r="B138" s="120" t="s">
        <v>182</v>
      </c>
      <c r="C138">
        <f>IF(B138="","",IFERROR(IFERROR(IFERROR(VLOOKUP(B138,Table6[[Tool Name]:[MS Prevalence]],2,FALSE),VLOOKUP(B138,Table3[[Typed Name]:[MS Prevalence]],3,FALSE)),VLOOKUP(B138,Table4[[Country]:[Estimated prevalence of modern slavery per 1,000 population]],2,FALSE)),0))</f>
        <v>7.8424558639526367</v>
      </c>
      <c r="D138" s="20" t="s">
        <v>405</v>
      </c>
      <c r="E138" s="22">
        <f>IFERROR(VLOOKUP(Table2[[#This Row],[Country]],Table6[[Tool Name]:[MS Prevalence]],2,FALSE),999)</f>
        <v>7.0985183715820313</v>
      </c>
      <c r="F138" s="6" t="str">
        <f>LEFT(Table2[[#This Row],[Country]],4)</f>
        <v>Peru</v>
      </c>
      <c r="G138" s="6" cm="1">
        <f t="array" ref="G138">SUMPRODUCT(--(Table2[[#This Row],[Country]]=Input!$B$39:$C$58))+SUMPRODUCT(--(Table2[[#This Row],[Country]]=Table3[Tool Name]),--(Table3[Selected]&gt;0))</f>
        <v>0</v>
      </c>
      <c r="H138" s="6" t="b">
        <f>IFERROR(MATCH(Table2[[#This Row],[Country]],GSI!F:F,0)&gt;0,FALSE)</f>
        <v>0</v>
      </c>
      <c r="M138" s="120" t="s">
        <v>97</v>
      </c>
      <c r="N138" s="11" t="s">
        <v>97</v>
      </c>
      <c r="O138" s="11" t="s">
        <v>404</v>
      </c>
      <c r="Q138" t="s">
        <v>131</v>
      </c>
      <c r="R138" s="120" t="s">
        <v>758</v>
      </c>
      <c r="S138" s="42">
        <f>SIGN(SUMPRODUCT($T$3:$AQ$3,$T138:$AQ138))*(MAX($S$3:S137)+1)</f>
        <v>0</v>
      </c>
      <c r="T138" s="31"/>
      <c r="U138" s="31"/>
      <c r="V138" s="31"/>
      <c r="W138" s="31">
        <v>1</v>
      </c>
      <c r="X138" s="31">
        <v>1</v>
      </c>
      <c r="Y138" s="31"/>
      <c r="Z138" s="31">
        <v>1</v>
      </c>
      <c r="AA138" s="31"/>
      <c r="AB138" s="31"/>
      <c r="AC138" s="31"/>
      <c r="AD138" s="31">
        <v>1</v>
      </c>
      <c r="AE138" s="31"/>
      <c r="AF138" s="31"/>
      <c r="AG138" s="31"/>
      <c r="AH138" s="31">
        <v>1</v>
      </c>
      <c r="AI138" s="31">
        <v>1</v>
      </c>
      <c r="AJ138" s="31">
        <v>1</v>
      </c>
      <c r="AK138" s="31">
        <v>1</v>
      </c>
      <c r="AL138" s="31"/>
      <c r="AM138" s="31"/>
      <c r="AN138" s="31">
        <v>1</v>
      </c>
      <c r="AO138" s="31"/>
      <c r="AP138" s="31"/>
      <c r="AQ138" s="31">
        <v>1</v>
      </c>
    </row>
    <row r="139" spans="2:43" x14ac:dyDescent="0.35">
      <c r="B139" s="120" t="s">
        <v>407</v>
      </c>
      <c r="C139">
        <f>IF(B139="","",IFERROR(IFERROR(IFERROR(VLOOKUP(B139,Table6[[Tool Name]:[MS Prevalence]],2,FALSE),VLOOKUP(B139,Table3[[Typed Name]:[MS Prevalence]],3,FALSE)),VLOOKUP(B139,Table4[[Country]:[Estimated prevalence of modern slavery per 1,000 population]],2,FALSE)),0))</f>
        <v>5.5102720260620117</v>
      </c>
      <c r="D139" s="20" t="s">
        <v>182</v>
      </c>
      <c r="E139" s="22">
        <f>IFERROR(VLOOKUP(Table2[[#This Row],[Country]],Table6[[Tool Name]:[MS Prevalence]],2,FALSE),999)</f>
        <v>7.8424558639526367</v>
      </c>
      <c r="F139" s="6" t="str">
        <f>LEFT(Table2[[#This Row],[Country]],4)</f>
        <v>Phil</v>
      </c>
      <c r="G139" s="6" cm="1">
        <f t="array" ref="G139">SUMPRODUCT(--(Table2[[#This Row],[Country]]=Input!$B$39:$C$58))+SUMPRODUCT(--(Table2[[#This Row],[Country]]=Table3[Tool Name]),--(Table3[Selected]&gt;0))</f>
        <v>0</v>
      </c>
      <c r="H139" s="6" t="b">
        <f>IFERROR(MATCH(Table2[[#This Row],[Country]],GSI!F:F,0)&gt;0,FALSE)</f>
        <v>0</v>
      </c>
      <c r="M139" s="120" t="s">
        <v>224</v>
      </c>
      <c r="N139" s="11" t="s">
        <v>224</v>
      </c>
      <c r="O139" s="11" t="s">
        <v>363</v>
      </c>
      <c r="Q139" t="s">
        <v>240</v>
      </c>
      <c r="R139" s="120" t="s">
        <v>759</v>
      </c>
      <c r="S139" s="42">
        <f>SIGN(SUMPRODUCT($T$3:$AQ$3,$T139:$AQ139))*(MAX($S$3:S138)+1)</f>
        <v>0</v>
      </c>
      <c r="T139" s="31"/>
      <c r="U139" s="31"/>
      <c r="V139" s="31"/>
      <c r="W139" s="31"/>
      <c r="X139" s="31"/>
      <c r="Y139" s="31"/>
      <c r="Z139" s="31">
        <v>1</v>
      </c>
      <c r="AA139" s="31"/>
      <c r="AB139" s="31"/>
      <c r="AC139" s="31"/>
      <c r="AD139" s="31"/>
      <c r="AE139" s="31"/>
      <c r="AF139" s="31"/>
      <c r="AG139" s="31"/>
      <c r="AH139" s="31"/>
      <c r="AI139" s="31"/>
      <c r="AJ139" s="31">
        <v>1</v>
      </c>
      <c r="AK139" s="31"/>
      <c r="AL139" s="31"/>
      <c r="AM139" s="31"/>
      <c r="AN139" s="31"/>
      <c r="AO139" s="31"/>
      <c r="AP139" s="31"/>
      <c r="AQ139" s="31">
        <v>1</v>
      </c>
    </row>
    <row r="140" spans="2:43" x14ac:dyDescent="0.35">
      <c r="B140" s="120" t="s">
        <v>408</v>
      </c>
      <c r="C140">
        <f>IF(B140="","",IFERROR(IFERROR(IFERROR(VLOOKUP(B140,Table6[[Tool Name]:[MS Prevalence]],2,FALSE),VLOOKUP(B140,Table3[[Typed Name]:[MS Prevalence]],3,FALSE)),VLOOKUP(B140,Table4[[Country]:[Estimated prevalence of modern slavery per 1,000 population]],2,FALSE)),0))</f>
        <v>3.8138153553009029</v>
      </c>
      <c r="D140" s="20" t="s">
        <v>407</v>
      </c>
      <c r="E140" s="22">
        <f>IFERROR(VLOOKUP(Table2[[#This Row],[Country]],Table6[[Tool Name]:[MS Prevalence]],2,FALSE),999)</f>
        <v>5.5102720260620117</v>
      </c>
      <c r="F140" s="6" t="str">
        <f>LEFT(Table2[[#This Row],[Country]],4)</f>
        <v>Pola</v>
      </c>
      <c r="G140" s="6" cm="1">
        <f t="array" ref="G140">SUMPRODUCT(--(Table2[[#This Row],[Country]]=Input!$B$39:$C$58))+SUMPRODUCT(--(Table2[[#This Row],[Country]]=Table3[Tool Name]),--(Table3[Selected]&gt;0))</f>
        <v>0</v>
      </c>
      <c r="H140" s="6" t="b">
        <f>IFERROR(MATCH(Table2[[#This Row],[Country]],GSI!F:F,0)&gt;0,FALSE)</f>
        <v>0</v>
      </c>
      <c r="M140" s="120" t="s">
        <v>224</v>
      </c>
      <c r="N140" s="11" t="s">
        <v>224</v>
      </c>
      <c r="O140" s="11" t="s">
        <v>101</v>
      </c>
      <c r="Q140" t="s">
        <v>406</v>
      </c>
      <c r="R140" s="120" t="s">
        <v>386</v>
      </c>
      <c r="S140" s="42">
        <f>SIGN(SUMPRODUCT($T$3:$AQ$3,$T140:$AQ140))*(MAX($S$3:S139)+1)</f>
        <v>0</v>
      </c>
      <c r="T140" s="31"/>
      <c r="U140" s="31"/>
      <c r="V140" s="31"/>
      <c r="W140" s="31"/>
      <c r="X140" s="31">
        <v>1</v>
      </c>
      <c r="Y140" s="31"/>
      <c r="Z140" s="31"/>
      <c r="AA140" s="31"/>
      <c r="AB140" s="31"/>
      <c r="AC140" s="31"/>
      <c r="AD140" s="31"/>
      <c r="AE140" s="31"/>
      <c r="AF140" s="31"/>
      <c r="AG140" s="31"/>
      <c r="AH140" s="31">
        <v>1</v>
      </c>
      <c r="AI140" s="31"/>
      <c r="AJ140" s="31">
        <v>1</v>
      </c>
      <c r="AK140" s="31"/>
      <c r="AL140" s="31"/>
      <c r="AM140" s="31"/>
      <c r="AN140" s="31">
        <v>1</v>
      </c>
      <c r="AO140" s="31"/>
      <c r="AP140" s="31"/>
      <c r="AQ140" s="31">
        <v>1</v>
      </c>
    </row>
    <row r="141" spans="2:43" x14ac:dyDescent="0.35">
      <c r="B141" s="120" t="s">
        <v>410</v>
      </c>
      <c r="C141">
        <f>IF(B141="","",IFERROR(IFERROR(IFERROR(VLOOKUP(B141,Table6[[Tool Name]:[MS Prevalence]],2,FALSE),VLOOKUP(B141,Table3[[Typed Name]:[MS Prevalence]],3,FALSE)),VLOOKUP(B141,Table4[[Country]:[Estimated prevalence of modern slavery per 1,000 population]],2,FALSE)),0))</f>
        <v>6.8045035628270476</v>
      </c>
      <c r="D141" s="20" t="s">
        <v>408</v>
      </c>
      <c r="E141" s="22">
        <f>IFERROR(VLOOKUP(Table2[[#This Row],[Country]],Table6[[Tool Name]:[MS Prevalence]],2,FALSE),999)</f>
        <v>3.8138153553009029</v>
      </c>
      <c r="F141" s="6" t="str">
        <f>LEFT(Table2[[#This Row],[Country]],4)</f>
        <v>Port</v>
      </c>
      <c r="G141" s="6" cm="1">
        <f t="array" ref="G141">SUMPRODUCT(--(Table2[[#This Row],[Country]]=Input!$B$39:$C$58))+SUMPRODUCT(--(Table2[[#This Row],[Country]]=Table3[Tool Name]),--(Table3[Selected]&gt;0))</f>
        <v>0</v>
      </c>
      <c r="H141" s="6" t="b">
        <f>IFERROR(MATCH(Table2[[#This Row],[Country]],GSI!F:F,0)&gt;0,FALSE)</f>
        <v>0</v>
      </c>
      <c r="M141" s="120" t="s">
        <v>224</v>
      </c>
      <c r="N141" s="11" t="s">
        <v>224</v>
      </c>
      <c r="O141" s="11" t="s">
        <v>236</v>
      </c>
      <c r="Q141" t="s">
        <v>243</v>
      </c>
      <c r="R141" s="120" t="s">
        <v>90</v>
      </c>
      <c r="S141" s="42">
        <f>SIGN(SUMPRODUCT($T$3:$AQ$3,$T141:$AQ141))*(MAX($S$3:S140)+1)</f>
        <v>0</v>
      </c>
      <c r="T141" s="31"/>
      <c r="U141" s="31"/>
      <c r="V141" s="31"/>
      <c r="W141" s="31"/>
      <c r="X141" s="31"/>
      <c r="Y141" s="31"/>
      <c r="Z141" s="31">
        <v>1</v>
      </c>
      <c r="AA141" s="31"/>
      <c r="AB141" s="31"/>
      <c r="AC141" s="31"/>
      <c r="AD141" s="31"/>
      <c r="AE141" s="31"/>
      <c r="AF141" s="31"/>
      <c r="AG141" s="31"/>
      <c r="AH141" s="31"/>
      <c r="AI141" s="31"/>
      <c r="AJ141" s="31">
        <v>1</v>
      </c>
      <c r="AK141" s="31"/>
      <c r="AL141" s="31"/>
      <c r="AM141" s="31"/>
      <c r="AN141" s="31"/>
      <c r="AO141" s="31"/>
      <c r="AP141" s="31"/>
      <c r="AQ141" s="31">
        <v>1</v>
      </c>
    </row>
    <row r="142" spans="2:43" x14ac:dyDescent="0.35">
      <c r="B142" s="120" t="s">
        <v>413</v>
      </c>
      <c r="C142">
        <f>IF(B142="","",IFERROR(IFERROR(IFERROR(VLOOKUP(B142,Table6[[Tool Name]:[MS Prevalence]],2,FALSE),VLOOKUP(B142,Table3[[Typed Name]:[MS Prevalence]],3,FALSE)),VLOOKUP(B142,Table4[[Country]:[Estimated prevalence of modern slavery per 1,000 population]],2,FALSE)),0))</f>
        <v>7.5499615669250488</v>
      </c>
      <c r="D142" s="20" t="s">
        <v>410</v>
      </c>
      <c r="E142" s="22">
        <f>IFERROR(VLOOKUP(Table2[[#This Row],[Country]],Table6[[Tool Name]:[MS Prevalence]],2,FALSE),999)</f>
        <v>6.8045035628270476</v>
      </c>
      <c r="F142" s="6" t="str">
        <f>LEFT(Table2[[#This Row],[Country]],4)</f>
        <v>Qata</v>
      </c>
      <c r="G142" s="6" cm="1">
        <f t="array" ref="G142">SUMPRODUCT(--(Table2[[#This Row],[Country]]=Input!$B$39:$C$58))+SUMPRODUCT(--(Table2[[#This Row],[Country]]=Table3[Tool Name]),--(Table3[Selected]&gt;0))</f>
        <v>0</v>
      </c>
      <c r="H142" s="6" t="b">
        <f>IFERROR(MATCH(Table2[[#This Row],[Country]],GSI!F:F,0)&gt;0,FALSE)</f>
        <v>0</v>
      </c>
      <c r="M142" s="120" t="s">
        <v>224</v>
      </c>
      <c r="N142" s="11" t="s">
        <v>224</v>
      </c>
      <c r="O142" s="11" t="s">
        <v>272</v>
      </c>
      <c r="Q142" t="s">
        <v>409</v>
      </c>
      <c r="R142" s="120" t="s">
        <v>478</v>
      </c>
      <c r="S142" s="42">
        <f>SIGN(SUMPRODUCT($T$3:$AQ$3,$T142:$AQ142))*(MAX($S$3:S141)+1)</f>
        <v>0</v>
      </c>
      <c r="T142" s="31"/>
      <c r="U142" s="31"/>
      <c r="V142" s="31"/>
      <c r="W142" s="31"/>
      <c r="X142" s="31"/>
      <c r="Y142" s="31"/>
      <c r="Z142" s="31">
        <v>1</v>
      </c>
      <c r="AA142" s="31"/>
      <c r="AB142" s="31"/>
      <c r="AC142" s="31"/>
      <c r="AD142" s="31"/>
      <c r="AE142" s="31"/>
      <c r="AF142" s="31"/>
      <c r="AG142" s="31"/>
      <c r="AH142" s="31"/>
      <c r="AI142" s="31"/>
      <c r="AJ142" s="31">
        <v>1</v>
      </c>
      <c r="AK142" s="31"/>
      <c r="AL142" s="31"/>
      <c r="AM142" s="31"/>
      <c r="AN142" s="31">
        <v>1</v>
      </c>
      <c r="AO142" s="31"/>
      <c r="AP142" s="31"/>
      <c r="AQ142" s="31">
        <v>1</v>
      </c>
    </row>
    <row r="143" spans="2:43" x14ac:dyDescent="0.35">
      <c r="B143" s="120" t="s">
        <v>414</v>
      </c>
      <c r="C143">
        <f>IF(B143="","",IFERROR(IFERROR(IFERROR(VLOOKUP(B143,Table6[[Tool Name]:[MS Prevalence]],2,FALSE),VLOOKUP(B143,Table3[[Typed Name]:[MS Prevalence]],3,FALSE)),VLOOKUP(B143,Table4[[Country]:[Estimated prevalence of modern slavery per 1,000 population]],2,FALSE)),0))</f>
        <v>13.015791893005369</v>
      </c>
      <c r="D143" s="20" t="s">
        <v>413</v>
      </c>
      <c r="E143" s="22">
        <f>IFERROR(VLOOKUP(Table2[[#This Row],[Country]],Table6[[Tool Name]:[MS Prevalence]],2,FALSE),999)</f>
        <v>7.5499615669250488</v>
      </c>
      <c r="F143" s="6" t="str">
        <f>LEFT(Table2[[#This Row],[Country]],4)</f>
        <v>Roma</v>
      </c>
      <c r="G143" s="6" cm="1">
        <f t="array" ref="G143">SUMPRODUCT(--(Table2[[#This Row],[Country]]=Input!$B$39:$C$58))+SUMPRODUCT(--(Table2[[#This Row],[Country]]=Table3[Tool Name]),--(Table3[Selected]&gt;0))</f>
        <v>0</v>
      </c>
      <c r="H143" s="6" t="b">
        <f>IFERROR(MATCH(Table2[[#This Row],[Country]],GSI!F:F,0)&gt;0,FALSE)</f>
        <v>0</v>
      </c>
      <c r="M143" s="120" t="s">
        <v>224</v>
      </c>
      <c r="N143" s="11" t="s">
        <v>224</v>
      </c>
      <c r="O143" s="11" t="s">
        <v>351</v>
      </c>
      <c r="Q143" t="s">
        <v>411</v>
      </c>
      <c r="R143" s="120" t="s">
        <v>477</v>
      </c>
      <c r="S143" s="42">
        <f>SIGN(SUMPRODUCT($T$3:$AQ$3,$T143:$AQ143))*(MAX($S$3:S142)+1)</f>
        <v>0</v>
      </c>
      <c r="T143" s="31"/>
      <c r="U143" s="31"/>
      <c r="V143" s="31"/>
      <c r="W143" s="31"/>
      <c r="X143" s="31"/>
      <c r="Y143" s="31"/>
      <c r="Z143" s="31"/>
      <c r="AA143" s="31"/>
      <c r="AB143" s="31"/>
      <c r="AC143" s="31"/>
      <c r="AD143" s="31"/>
      <c r="AE143" s="31"/>
      <c r="AF143" s="31"/>
      <c r="AG143" s="31"/>
      <c r="AH143" s="31"/>
      <c r="AI143" s="31"/>
      <c r="AJ143" s="31">
        <v>1</v>
      </c>
      <c r="AK143" s="31"/>
      <c r="AL143" s="31"/>
      <c r="AM143" s="31"/>
      <c r="AN143" s="31"/>
      <c r="AO143" s="31"/>
      <c r="AP143" s="31"/>
      <c r="AQ143" s="31">
        <v>1</v>
      </c>
    </row>
    <row r="144" spans="2:43" x14ac:dyDescent="0.35">
      <c r="B144" s="120" t="s">
        <v>416</v>
      </c>
      <c r="C144">
        <f>IF(B144="","",IFERROR(IFERROR(IFERROR(VLOOKUP(B144,Table6[[Tool Name]:[MS Prevalence]],2,FALSE),VLOOKUP(B144,Table3[[Typed Name]:[MS Prevalence]],3,FALSE)),VLOOKUP(B144,Table4[[Country]:[Estimated prevalence of modern slavery per 1,000 population]],2,FALSE)),0))</f>
        <v>4.2523036003112793</v>
      </c>
      <c r="D144" s="20" t="s">
        <v>414</v>
      </c>
      <c r="E144" s="22">
        <f>IFERROR(VLOOKUP(Table2[[#This Row],[Country]],Table6[[Tool Name]:[MS Prevalence]],2,FALSE),999)</f>
        <v>13.015791893005369</v>
      </c>
      <c r="F144" s="6" t="str">
        <f>LEFT(Table2[[#This Row],[Country]],4)</f>
        <v>Russ</v>
      </c>
      <c r="G144" s="6" cm="1">
        <f t="array" ref="G144">SUMPRODUCT(--(Table2[[#This Row],[Country]]=Input!$B$39:$C$58))+SUMPRODUCT(--(Table2[[#This Row],[Country]]=Table3[Tool Name]),--(Table3[Selected]&gt;0))</f>
        <v>0</v>
      </c>
      <c r="H144" s="6" t="b">
        <f>IFERROR(MATCH(Table2[[#This Row],[Country]],GSI!F:F,0)&gt;0,FALSE)</f>
        <v>0</v>
      </c>
      <c r="M144" s="120" t="s">
        <v>224</v>
      </c>
      <c r="N144" s="11" t="s">
        <v>224</v>
      </c>
      <c r="O144" s="11" t="s">
        <v>227</v>
      </c>
      <c r="Q144" t="s">
        <v>387</v>
      </c>
      <c r="R144" s="120" t="s">
        <v>97</v>
      </c>
      <c r="S144" s="42">
        <f>SIGN(SUMPRODUCT($T$3:$AQ$3,$T144:$AQ144))*(MAX($S$3:S143)+1)</f>
        <v>0</v>
      </c>
      <c r="T144" s="31"/>
      <c r="U144" s="31"/>
      <c r="V144" s="31"/>
      <c r="W144" s="31"/>
      <c r="X144" s="31"/>
      <c r="Y144" s="31"/>
      <c r="Z144" s="31">
        <v>1</v>
      </c>
      <c r="AA144" s="31"/>
      <c r="AB144" s="31"/>
      <c r="AC144" s="31"/>
      <c r="AD144" s="31"/>
      <c r="AE144" s="31"/>
      <c r="AF144" s="31"/>
      <c r="AG144" s="31"/>
      <c r="AH144" s="31"/>
      <c r="AI144" s="31"/>
      <c r="AJ144" s="31">
        <v>1</v>
      </c>
      <c r="AK144" s="31"/>
      <c r="AL144" s="31"/>
      <c r="AM144" s="31"/>
      <c r="AN144" s="31"/>
      <c r="AO144" s="31"/>
      <c r="AP144" s="31"/>
      <c r="AQ144" s="31">
        <v>1</v>
      </c>
    </row>
    <row r="145" spans="2:43" x14ac:dyDescent="0.35">
      <c r="B145" s="120" t="s">
        <v>418</v>
      </c>
      <c r="C145">
        <f>IF(B145="","",IFERROR(IFERROR(IFERROR(VLOOKUP(B145,Table6[[Tool Name]:[MS Prevalence]],2,FALSE),VLOOKUP(B145,Table3[[Typed Name]:[MS Prevalence]],3,FALSE)),VLOOKUP(B145,Table4[[Country]:[Estimated prevalence of modern slavery per 1,000 population]],2,FALSE)),0))</f>
        <v>0</v>
      </c>
      <c r="D145" s="20" t="s">
        <v>416</v>
      </c>
      <c r="E145" s="22">
        <f>IFERROR(VLOOKUP(Table2[[#This Row],[Country]],Table6[[Tool Name]:[MS Prevalence]],2,FALSE),999)</f>
        <v>4.2523036003112793</v>
      </c>
      <c r="F145" s="6" t="str">
        <f>LEFT(Table2[[#This Row],[Country]],4)</f>
        <v>Rwan</v>
      </c>
      <c r="G145" s="6" cm="1">
        <f t="array" ref="G145">SUMPRODUCT(--(Table2[[#This Row],[Country]]=Input!$B$39:$C$58))+SUMPRODUCT(--(Table2[[#This Row],[Country]]=Table3[Tool Name]),--(Table3[Selected]&gt;0))</f>
        <v>0</v>
      </c>
      <c r="H145" s="6" t="b">
        <f>IFERROR(MATCH(Table2[[#This Row],[Country]],GSI!F:F,0)&gt;0,FALSE)</f>
        <v>0</v>
      </c>
      <c r="M145" s="120" t="s">
        <v>224</v>
      </c>
      <c r="N145" s="11" t="s">
        <v>224</v>
      </c>
      <c r="O145" s="11" t="s">
        <v>240</v>
      </c>
      <c r="Q145" t="s">
        <v>390</v>
      </c>
      <c r="R145" s="120" t="s">
        <v>97</v>
      </c>
      <c r="S145" s="42">
        <f>SIGN(SUMPRODUCT($T$3:$AQ$3,$T145:$AQ145))*(MAX($S$3:S144)+1)</f>
        <v>0</v>
      </c>
      <c r="T145" s="31"/>
      <c r="U145" s="31"/>
      <c r="V145" s="31"/>
      <c r="W145" s="31"/>
      <c r="X145" s="31">
        <v>1</v>
      </c>
      <c r="Y145" s="31"/>
      <c r="Z145" s="31"/>
      <c r="AA145" s="31"/>
      <c r="AB145" s="31"/>
      <c r="AC145" s="31"/>
      <c r="AD145" s="31">
        <v>1</v>
      </c>
      <c r="AE145" s="31"/>
      <c r="AF145" s="31"/>
      <c r="AG145" s="31"/>
      <c r="AH145" s="31"/>
      <c r="AI145" s="31"/>
      <c r="AJ145" s="31">
        <v>1</v>
      </c>
      <c r="AK145" s="31"/>
      <c r="AL145" s="31"/>
      <c r="AM145" s="31"/>
      <c r="AN145" s="31"/>
      <c r="AO145" s="31"/>
      <c r="AP145" s="31"/>
      <c r="AQ145" s="31"/>
    </row>
    <row r="146" spans="2:43" x14ac:dyDescent="0.35">
      <c r="B146" s="120" t="s">
        <v>420</v>
      </c>
      <c r="C146">
        <f>IF(B146="","",IFERROR(IFERROR(IFERROR(VLOOKUP(B146,Table6[[Tool Name]:[MS Prevalence]],2,FALSE),VLOOKUP(B146,Table3[[Typed Name]:[MS Prevalence]],3,FALSE)),VLOOKUP(B146,Table4[[Country]:[Estimated prevalence of modern slavery per 1,000 population]],2,FALSE)),0))</f>
        <v>0</v>
      </c>
      <c r="D146" s="20" t="s">
        <v>418</v>
      </c>
      <c r="E146" s="22">
        <f>IFERROR(VLOOKUP(Table2[[#This Row],[Country]],Table6[[Tool Name]:[MS Prevalence]],2,FALSE),999)</f>
        <v>0</v>
      </c>
      <c r="F146" s="6" t="str">
        <f>LEFT(Table2[[#This Row],[Country]],4)</f>
        <v>Samo</v>
      </c>
      <c r="G146" s="6" cm="1">
        <f t="array" ref="G146">SUMPRODUCT(--(Table2[[#This Row],[Country]]=Input!$B$39:$C$58))+SUMPRODUCT(--(Table2[[#This Row],[Country]]=Table3[Tool Name]),--(Table3[Selected]&gt;0))</f>
        <v>0</v>
      </c>
      <c r="H146" s="6" t="b">
        <f>IFERROR(MATCH(Table2[[#This Row],[Country]],GSI!F:F,0)&gt;0,FALSE)</f>
        <v>0</v>
      </c>
      <c r="M146" s="120" t="s">
        <v>224</v>
      </c>
      <c r="N146" s="11" t="s">
        <v>224</v>
      </c>
      <c r="O146" s="11" t="s">
        <v>138</v>
      </c>
      <c r="Q146" t="s">
        <v>415</v>
      </c>
      <c r="R146" s="120" t="s">
        <v>158</v>
      </c>
      <c r="S146" s="42">
        <f>SIGN(SUMPRODUCT($T$3:$AQ$3,$T146:$AQ146))*(MAX($S$3:S145)+1)</f>
        <v>0</v>
      </c>
      <c r="T146" s="31"/>
      <c r="U146" s="31"/>
      <c r="V146" s="31"/>
      <c r="W146" s="31">
        <v>1</v>
      </c>
      <c r="X146" s="31">
        <v>1</v>
      </c>
      <c r="Y146" s="31"/>
      <c r="Z146" s="31">
        <v>1</v>
      </c>
      <c r="AA146" s="31"/>
      <c r="AB146" s="31"/>
      <c r="AC146" s="31"/>
      <c r="AD146" s="31">
        <v>1</v>
      </c>
      <c r="AE146" s="31"/>
      <c r="AF146" s="31"/>
      <c r="AG146" s="31"/>
      <c r="AH146" s="31"/>
      <c r="AI146" s="31">
        <v>1</v>
      </c>
      <c r="AJ146" s="31">
        <v>1</v>
      </c>
      <c r="AK146" s="31">
        <v>1</v>
      </c>
      <c r="AL146" s="31"/>
      <c r="AM146" s="31"/>
      <c r="AN146" s="31">
        <v>1</v>
      </c>
      <c r="AO146" s="31"/>
      <c r="AP146" s="31"/>
      <c r="AQ146" s="31">
        <v>1</v>
      </c>
    </row>
    <row r="147" spans="2:43" x14ac:dyDescent="0.35">
      <c r="B147" s="120" t="s">
        <v>421</v>
      </c>
      <c r="C147">
        <f>IF(B147="","",IFERROR(IFERROR(IFERROR(VLOOKUP(B147,Table6[[Tool Name]:[MS Prevalence]],2,FALSE),VLOOKUP(B147,Table3[[Typed Name]:[MS Prevalence]],3,FALSE)),VLOOKUP(B147,Table4[[Country]:[Estimated prevalence of modern slavery per 1,000 population]],2,FALSE)),0))</f>
        <v>0</v>
      </c>
      <c r="D147" s="20" t="s">
        <v>420</v>
      </c>
      <c r="E147" s="22">
        <f>IFERROR(VLOOKUP(Table2[[#This Row],[Country]],Table6[[Tool Name]:[MS Prevalence]],2,FALSE),999)</f>
        <v>0</v>
      </c>
      <c r="F147" s="6" t="str">
        <f>LEFT(Table2[[#This Row],[Country]],4)</f>
        <v xml:space="preserve">San </v>
      </c>
      <c r="G147" s="6" cm="1">
        <f t="array" ref="G147">SUMPRODUCT(--(Table2[[#This Row],[Country]]=Input!$B$39:$C$58))+SUMPRODUCT(--(Table2[[#This Row],[Country]]=Table3[Tool Name]),--(Table3[Selected]&gt;0))</f>
        <v>0</v>
      </c>
      <c r="H147" s="6" t="b">
        <f>IFERROR(MATCH(Table2[[#This Row],[Country]],GSI!F:F,0)&gt;0,FALSE)</f>
        <v>0</v>
      </c>
      <c r="M147" s="120" t="s">
        <v>224</v>
      </c>
      <c r="N147" s="11" t="s">
        <v>224</v>
      </c>
      <c r="O147" s="11" t="s">
        <v>417</v>
      </c>
      <c r="Q147" t="s">
        <v>112</v>
      </c>
      <c r="R147" s="120" t="s">
        <v>97</v>
      </c>
      <c r="S147" s="42">
        <f>SIGN(SUMPRODUCT($T$3:$AQ$3,$T147:$AQ147))*(MAX($S$3:S146)+1)</f>
        <v>0</v>
      </c>
      <c r="T147" s="31"/>
      <c r="U147" s="31"/>
      <c r="V147" s="31"/>
      <c r="W147" s="31"/>
      <c r="X147" s="31"/>
      <c r="Y147" s="31"/>
      <c r="Z147" s="31">
        <v>1</v>
      </c>
      <c r="AA147" s="31"/>
      <c r="AB147" s="31"/>
      <c r="AC147" s="31"/>
      <c r="AD147" s="31"/>
      <c r="AE147" s="31"/>
      <c r="AF147" s="31"/>
      <c r="AG147" s="31"/>
      <c r="AH147" s="31"/>
      <c r="AI147" s="31"/>
      <c r="AJ147" s="31"/>
      <c r="AK147" s="31"/>
      <c r="AL147" s="31"/>
      <c r="AM147" s="31"/>
      <c r="AN147" s="31">
        <v>1</v>
      </c>
      <c r="AO147" s="31"/>
      <c r="AP147" s="31"/>
      <c r="AQ147" s="31">
        <v>1</v>
      </c>
    </row>
    <row r="148" spans="2:43" x14ac:dyDescent="0.35">
      <c r="B148" s="120" t="s">
        <v>423</v>
      </c>
      <c r="C148">
        <f>IF(B148="","",IFERROR(IFERROR(IFERROR(VLOOKUP(B148,Table6[[Tool Name]:[MS Prevalence]],2,FALSE),VLOOKUP(B148,Table3[[Typed Name]:[MS Prevalence]],3,FALSE)),VLOOKUP(B148,Table4[[Country]:[Estimated prevalence of modern slavery per 1,000 population]],2,FALSE)),0))</f>
        <v>21.261520559411871</v>
      </c>
      <c r="D148" s="20" t="s">
        <v>421</v>
      </c>
      <c r="E148" s="22">
        <f>IFERROR(VLOOKUP(Table2[[#This Row],[Country]],Table6[[Tool Name]:[MS Prevalence]],2,FALSE),999)</f>
        <v>0</v>
      </c>
      <c r="F148" s="6" t="str">
        <f>LEFT(Table2[[#This Row],[Country]],4)</f>
        <v xml:space="preserve">Sao </v>
      </c>
      <c r="G148" s="6" cm="1">
        <f t="array" ref="G148">SUMPRODUCT(--(Table2[[#This Row],[Country]]=Input!$B$39:$C$58))+SUMPRODUCT(--(Table2[[#This Row],[Country]]=Table3[Tool Name]),--(Table3[Selected]&gt;0))</f>
        <v>0</v>
      </c>
      <c r="H148" s="6" t="b">
        <f>IFERROR(MATCH(Table2[[#This Row],[Country]],GSI!F:F,0)&gt;0,FALSE)</f>
        <v>0</v>
      </c>
      <c r="M148" s="120" t="s">
        <v>224</v>
      </c>
      <c r="N148" s="11" t="s">
        <v>224</v>
      </c>
      <c r="O148" s="11" t="s">
        <v>145</v>
      </c>
      <c r="Q148" t="s">
        <v>419</v>
      </c>
      <c r="R148" s="120" t="s">
        <v>302</v>
      </c>
      <c r="S148" s="42">
        <f>SIGN(SUMPRODUCT($T$3:$AQ$3,$T148:$AQ148))*(MAX($S$3:S147)+1)</f>
        <v>0</v>
      </c>
      <c r="T148" s="31"/>
      <c r="U148" s="31"/>
      <c r="V148" s="31"/>
      <c r="W148" s="31"/>
      <c r="X148" s="31">
        <v>1</v>
      </c>
      <c r="Y148" s="31"/>
      <c r="Z148" s="31">
        <v>1</v>
      </c>
      <c r="AA148" s="31"/>
      <c r="AB148" s="31"/>
      <c r="AC148" s="31"/>
      <c r="AD148" s="31">
        <v>1</v>
      </c>
      <c r="AE148" s="31"/>
      <c r="AF148" s="31"/>
      <c r="AG148" s="31"/>
      <c r="AH148" s="31"/>
      <c r="AI148" s="31"/>
      <c r="AJ148" s="31">
        <v>1</v>
      </c>
      <c r="AK148" s="31"/>
      <c r="AL148" s="31"/>
      <c r="AM148" s="31"/>
      <c r="AN148" s="31">
        <v>1</v>
      </c>
      <c r="AO148" s="31"/>
      <c r="AP148" s="31"/>
      <c r="AQ148" s="31">
        <v>1</v>
      </c>
    </row>
    <row r="149" spans="2:43" x14ac:dyDescent="0.35">
      <c r="B149" s="120" t="s">
        <v>425</v>
      </c>
      <c r="C149">
        <f>IF(B149="","",IFERROR(IFERROR(IFERROR(VLOOKUP(B149,Table6[[Tool Name]:[MS Prevalence]],2,FALSE),VLOOKUP(B149,Table3[[Typed Name]:[MS Prevalence]],3,FALSE)),VLOOKUP(B149,Table4[[Country]:[Estimated prevalence of modern slavery per 1,000 population]],2,FALSE)),0))</f>
        <v>2.9419021606445308</v>
      </c>
      <c r="D149" s="20" t="s">
        <v>423</v>
      </c>
      <c r="E149" s="22">
        <f>IFERROR(VLOOKUP(Table2[[#This Row],[Country]],Table6[[Tool Name]:[MS Prevalence]],2,FALSE),999)</f>
        <v>21.261520559411871</v>
      </c>
      <c r="F149" s="6" t="str">
        <f>LEFT(Table2[[#This Row],[Country]],4)</f>
        <v>Saud</v>
      </c>
      <c r="G149" s="6" cm="1">
        <f t="array" ref="G149">SUMPRODUCT(--(Table2[[#This Row],[Country]]=Input!$B$39:$C$58))+SUMPRODUCT(--(Table2[[#This Row],[Country]]=Table3[Tool Name]),--(Table3[Selected]&gt;0))</f>
        <v>0</v>
      </c>
      <c r="H149" s="6" t="b">
        <f>IFERROR(MATCH(Table2[[#This Row],[Country]],GSI!F:F,0)&gt;0,FALSE)</f>
        <v>0</v>
      </c>
      <c r="M149" s="120" t="s">
        <v>228</v>
      </c>
      <c r="N149" s="11" t="s">
        <v>228</v>
      </c>
      <c r="O149" s="11" t="s">
        <v>102</v>
      </c>
      <c r="Q149" t="s">
        <v>248</v>
      </c>
      <c r="R149" s="120" t="s">
        <v>90</v>
      </c>
      <c r="S149" s="42">
        <f>SIGN(SUMPRODUCT($T$3:$AQ$3,$T149:$AQ149))*(MAX($S$3:S148)+1)</f>
        <v>0</v>
      </c>
      <c r="T149" s="31"/>
      <c r="U149" s="31"/>
      <c r="V149" s="31"/>
      <c r="W149" s="31"/>
      <c r="X149" s="31"/>
      <c r="Y149" s="31"/>
      <c r="Z149" s="31"/>
      <c r="AA149" s="31"/>
      <c r="AB149" s="31"/>
      <c r="AC149" s="31"/>
      <c r="AD149" s="31"/>
      <c r="AE149" s="31"/>
      <c r="AF149" s="31"/>
      <c r="AG149" s="31"/>
      <c r="AH149" s="31"/>
      <c r="AI149" s="31">
        <v>1</v>
      </c>
      <c r="AJ149" s="31">
        <v>1</v>
      </c>
      <c r="AK149" s="31"/>
      <c r="AL149" s="31"/>
      <c r="AM149" s="31"/>
      <c r="AN149" s="31"/>
      <c r="AO149" s="31"/>
      <c r="AP149" s="31"/>
      <c r="AQ149" s="31"/>
    </row>
    <row r="150" spans="2:43" x14ac:dyDescent="0.35">
      <c r="B150" s="120" t="s">
        <v>427</v>
      </c>
      <c r="C150">
        <f>IF(B150="","",IFERROR(IFERROR(IFERROR(VLOOKUP(B150,Table6[[Tool Name]:[MS Prevalence]],2,FALSE),VLOOKUP(B150,Table3[[Typed Name]:[MS Prevalence]],3,FALSE)),VLOOKUP(B150,Table4[[Country]:[Estimated prevalence of modern slavery per 1,000 population]],2,FALSE)),0))</f>
        <v>7.0155296325683594</v>
      </c>
      <c r="D150" s="20" t="s">
        <v>425</v>
      </c>
      <c r="E150" s="22">
        <f>IFERROR(VLOOKUP(Table2[[#This Row],[Country]],Table6[[Tool Name]:[MS Prevalence]],2,FALSE),999)</f>
        <v>2.9419021606445308</v>
      </c>
      <c r="F150" s="6" t="str">
        <f>LEFT(Table2[[#This Row],[Country]],4)</f>
        <v>Sene</v>
      </c>
      <c r="G150" s="6" cm="1">
        <f t="array" ref="G150">SUMPRODUCT(--(Table2[[#This Row],[Country]]=Input!$B$39:$C$58))+SUMPRODUCT(--(Table2[[#This Row],[Country]]=Table3[Tool Name]),--(Table3[Selected]&gt;0))</f>
        <v>0</v>
      </c>
      <c r="H150" s="6" t="b">
        <f>IFERROR(MATCH(Table2[[#This Row],[Country]],GSI!F:F,0)&gt;0,FALSE)</f>
        <v>0</v>
      </c>
      <c r="M150" s="120" t="s">
        <v>228</v>
      </c>
      <c r="N150" s="11" t="s">
        <v>228</v>
      </c>
      <c r="O150" s="11" t="s">
        <v>272</v>
      </c>
      <c r="Q150" t="s">
        <v>422</v>
      </c>
      <c r="R150" s="120" t="s">
        <v>125</v>
      </c>
      <c r="S150" s="42">
        <f>SIGN(SUMPRODUCT($T$3:$AQ$3,$T150:$AQ150))*(MAX($S$3:S149)+1)</f>
        <v>0</v>
      </c>
      <c r="T150" s="31"/>
      <c r="U150" s="31"/>
      <c r="V150" s="31"/>
      <c r="W150" s="31"/>
      <c r="X150" s="31"/>
      <c r="Y150" s="31"/>
      <c r="Z150" s="31">
        <v>1</v>
      </c>
      <c r="AA150" s="31"/>
      <c r="AB150" s="31"/>
      <c r="AC150" s="31"/>
      <c r="AD150" s="31"/>
      <c r="AE150" s="31"/>
      <c r="AF150" s="31"/>
      <c r="AG150" s="31"/>
      <c r="AH150" s="31"/>
      <c r="AI150" s="31"/>
      <c r="AJ150" s="31">
        <v>1</v>
      </c>
      <c r="AK150" s="31"/>
      <c r="AL150" s="31"/>
      <c r="AM150" s="31"/>
      <c r="AN150" s="31"/>
      <c r="AO150" s="31"/>
      <c r="AP150" s="31"/>
      <c r="AQ150" s="31">
        <v>1</v>
      </c>
    </row>
    <row r="151" spans="2:43" x14ac:dyDescent="0.35">
      <c r="B151" s="120" t="s">
        <v>429</v>
      </c>
      <c r="C151">
        <f>IF(B151="","",IFERROR(IFERROR(IFERROR(VLOOKUP(B151,Table6[[Tool Name]:[MS Prevalence]],2,FALSE),VLOOKUP(B151,Table3[[Typed Name]:[MS Prevalence]],3,FALSE)),VLOOKUP(B151,Table4[[Country]:[Estimated prevalence of modern slavery per 1,000 population]],2,FALSE)),0))</f>
        <v>0</v>
      </c>
      <c r="D151" s="20" t="s">
        <v>427</v>
      </c>
      <c r="E151" s="22">
        <f>IFERROR(VLOOKUP(Table2[[#This Row],[Country]],Table6[[Tool Name]:[MS Prevalence]],2,FALSE),999)</f>
        <v>7.0155296325683594</v>
      </c>
      <c r="F151" s="6" t="str">
        <f>LEFT(Table2[[#This Row],[Country]],4)</f>
        <v>Serb</v>
      </c>
      <c r="G151" s="6" cm="1">
        <f t="array" ref="G151">SUMPRODUCT(--(Table2[[#This Row],[Country]]=Input!$B$39:$C$58))+SUMPRODUCT(--(Table2[[#This Row],[Country]]=Table3[Tool Name]),--(Table3[Selected]&gt;0))</f>
        <v>0</v>
      </c>
      <c r="H151" s="6" t="b">
        <f>IFERROR(MATCH(Table2[[#This Row],[Country]],GSI!F:F,0)&gt;0,FALSE)</f>
        <v>0</v>
      </c>
      <c r="M151" s="120" t="s">
        <v>230</v>
      </c>
      <c r="N151" s="11" t="s">
        <v>424</v>
      </c>
      <c r="O151" s="11" t="s">
        <v>118</v>
      </c>
      <c r="Q151" t="s">
        <v>250</v>
      </c>
      <c r="R151" s="120" t="s">
        <v>760</v>
      </c>
      <c r="S151" s="42">
        <f>SIGN(SUMPRODUCT($T$3:$AQ$3,$T151:$AQ151))*(MAX($S$3:S150)+1)</f>
        <v>0</v>
      </c>
      <c r="T151" s="31"/>
      <c r="U151" s="31"/>
      <c r="V151" s="31"/>
      <c r="W151" s="31"/>
      <c r="X151" s="31">
        <v>1</v>
      </c>
      <c r="Y151" s="31"/>
      <c r="Z151" s="31">
        <v>1</v>
      </c>
      <c r="AA151" s="31"/>
      <c r="AB151" s="31"/>
      <c r="AC151" s="31"/>
      <c r="AD151" s="31"/>
      <c r="AE151" s="31"/>
      <c r="AF151" s="31"/>
      <c r="AG151" s="31"/>
      <c r="AH151" s="31"/>
      <c r="AI151" s="31"/>
      <c r="AJ151" s="31">
        <v>1</v>
      </c>
      <c r="AK151" s="31"/>
      <c r="AL151" s="31"/>
      <c r="AM151" s="31"/>
      <c r="AN151" s="31"/>
      <c r="AO151" s="31"/>
      <c r="AP151" s="31"/>
      <c r="AQ151" s="31">
        <v>1</v>
      </c>
    </row>
    <row r="152" spans="2:43" x14ac:dyDescent="0.35">
      <c r="B152" s="120" t="s">
        <v>430</v>
      </c>
      <c r="C152">
        <f>IF(B152="","",IFERROR(IFERROR(IFERROR(VLOOKUP(B152,Table6[[Tool Name]:[MS Prevalence]],2,FALSE),VLOOKUP(B152,Table3[[Typed Name]:[MS Prevalence]],3,FALSE)),VLOOKUP(B152,Table4[[Country]:[Estimated prevalence of modern slavery per 1,000 population]],2,FALSE)),0))</f>
        <v>3.4022395610809331</v>
      </c>
      <c r="D152" s="20" t="s">
        <v>429</v>
      </c>
      <c r="E152" s="22">
        <f>IFERROR(VLOOKUP(Table2[[#This Row],[Country]],Table6[[Tool Name]:[MS Prevalence]],2,FALSE),999)</f>
        <v>0</v>
      </c>
      <c r="F152" s="6" t="str">
        <f>LEFT(Table2[[#This Row],[Country]],4)</f>
        <v>Seyc</v>
      </c>
      <c r="G152" s="6" cm="1">
        <f t="array" ref="G152">SUMPRODUCT(--(Table2[[#This Row],[Country]]=Input!$B$39:$C$58))+SUMPRODUCT(--(Table2[[#This Row],[Country]]=Table3[Tool Name]),--(Table3[Selected]&gt;0))</f>
        <v>0</v>
      </c>
      <c r="H152" s="6" t="b">
        <f>IFERROR(MATCH(Table2[[#This Row],[Country]],GSI!F:F,0)&gt;0,FALSE)</f>
        <v>0</v>
      </c>
      <c r="M152" s="120" t="s">
        <v>230</v>
      </c>
      <c r="N152" s="11" t="s">
        <v>424</v>
      </c>
      <c r="O152" s="11" t="s">
        <v>272</v>
      </c>
      <c r="Q152" t="s">
        <v>426</v>
      </c>
      <c r="R152" s="120" t="s">
        <v>125</v>
      </c>
      <c r="S152" s="42">
        <f>SIGN(SUMPRODUCT($T$3:$AQ$3,$T152:$AQ152))*(MAX($S$3:S151)+1)</f>
        <v>0</v>
      </c>
      <c r="T152" s="31"/>
      <c r="U152" s="31"/>
      <c r="V152" s="31"/>
      <c r="W152" s="31"/>
      <c r="X152" s="31"/>
      <c r="Y152" s="31"/>
      <c r="Z152" s="31">
        <v>1</v>
      </c>
      <c r="AA152" s="31"/>
      <c r="AB152" s="31"/>
      <c r="AC152" s="31"/>
      <c r="AD152" s="31"/>
      <c r="AE152" s="31"/>
      <c r="AF152" s="31"/>
      <c r="AG152" s="31"/>
      <c r="AH152" s="31"/>
      <c r="AI152" s="31"/>
      <c r="AJ152" s="31">
        <v>1</v>
      </c>
      <c r="AK152" s="31"/>
      <c r="AL152" s="31"/>
      <c r="AM152" s="31"/>
      <c r="AN152" s="31"/>
      <c r="AO152" s="31"/>
      <c r="AP152" s="31"/>
      <c r="AQ152" s="31">
        <v>1</v>
      </c>
    </row>
    <row r="153" spans="2:43" x14ac:dyDescent="0.35">
      <c r="B153" s="120" t="s">
        <v>431</v>
      </c>
      <c r="C153">
        <f>IF(B153="","",IFERROR(IFERROR(IFERROR(VLOOKUP(B153,Table6[[Tool Name]:[MS Prevalence]],2,FALSE),VLOOKUP(B153,Table3[[Typed Name]:[MS Prevalence]],3,FALSE)),VLOOKUP(B153,Table4[[Country]:[Estimated prevalence of modern slavery per 1,000 population]],2,FALSE)),0))</f>
        <v>2.1335029602050781</v>
      </c>
      <c r="D153" s="20" t="s">
        <v>430</v>
      </c>
      <c r="E153" s="22">
        <f>IFERROR(VLOOKUP(Table2[[#This Row],[Country]],Table6[[Tool Name]:[MS Prevalence]],2,FALSE),999)</f>
        <v>3.4022395610809331</v>
      </c>
      <c r="F153" s="6" t="str">
        <f>LEFT(Table2[[#This Row],[Country]],4)</f>
        <v>Sier</v>
      </c>
      <c r="G153" s="6" cm="1">
        <f t="array" ref="G153">SUMPRODUCT(--(Table2[[#This Row],[Country]]=Input!$B$39:$C$58))+SUMPRODUCT(--(Table2[[#This Row],[Country]]=Table3[Tool Name]),--(Table3[Selected]&gt;0))</f>
        <v>0</v>
      </c>
      <c r="H153" s="6" t="b">
        <f>IFERROR(MATCH(Table2[[#This Row],[Country]],GSI!F:F,0)&gt;0,FALSE)</f>
        <v>0</v>
      </c>
      <c r="M153" s="120" t="s">
        <v>125</v>
      </c>
      <c r="N153" s="11" t="s">
        <v>125</v>
      </c>
      <c r="O153" s="11" t="s">
        <v>126</v>
      </c>
      <c r="Q153" t="s">
        <v>428</v>
      </c>
      <c r="R153" s="120" t="s">
        <v>125</v>
      </c>
      <c r="S153" s="42">
        <f>SIGN(SUMPRODUCT($T$3:$AQ$3,$T153:$AQ153))*(MAX($S$3:S152)+1)</f>
        <v>0</v>
      </c>
      <c r="T153" s="31"/>
      <c r="U153" s="31"/>
      <c r="V153" s="31"/>
      <c r="W153" s="31"/>
      <c r="X153" s="31"/>
      <c r="Y153" s="31"/>
      <c r="Z153" s="31">
        <v>1</v>
      </c>
      <c r="AA153" s="31"/>
      <c r="AB153" s="31"/>
      <c r="AC153" s="31"/>
      <c r="AD153" s="31">
        <v>1</v>
      </c>
      <c r="AE153" s="31"/>
      <c r="AF153" s="31"/>
      <c r="AG153" s="31"/>
      <c r="AH153" s="31"/>
      <c r="AI153" s="31"/>
      <c r="AJ153" s="31">
        <v>1</v>
      </c>
      <c r="AK153" s="31"/>
      <c r="AL153" s="31"/>
      <c r="AM153" s="31"/>
      <c r="AN153" s="31"/>
      <c r="AO153" s="31"/>
      <c r="AP153" s="31"/>
      <c r="AQ153" s="31">
        <v>1</v>
      </c>
    </row>
    <row r="154" spans="2:43" x14ac:dyDescent="0.35">
      <c r="B154" s="120" t="s">
        <v>432</v>
      </c>
      <c r="C154">
        <f>IF(B154="","",IFERROR(IFERROR(IFERROR(VLOOKUP(B154,Table6[[Tool Name]:[MS Prevalence]],2,FALSE),VLOOKUP(B154,Table3[[Typed Name]:[MS Prevalence]],3,FALSE)),VLOOKUP(B154,Table4[[Country]:[Estimated prevalence of modern slavery per 1,000 population]],2,FALSE)),0))</f>
        <v>7.6514058113098136</v>
      </c>
      <c r="D154" s="20" t="s">
        <v>431</v>
      </c>
      <c r="E154" s="22">
        <f>IFERROR(VLOOKUP(Table2[[#This Row],[Country]],Table6[[Tool Name]:[MS Prevalence]],2,FALSE),999)</f>
        <v>2.1335029602050781</v>
      </c>
      <c r="F154" s="6" t="str">
        <f>LEFT(Table2[[#This Row],[Country]],4)</f>
        <v>Sing</v>
      </c>
      <c r="G154" s="6" cm="1">
        <f t="array" ref="G154">SUMPRODUCT(--(Table2[[#This Row],[Country]]=Input!$B$39:$C$58))+SUMPRODUCT(--(Table2[[#This Row],[Country]]=Table3[Tool Name]),--(Table3[Selected]&gt;0))</f>
        <v>0</v>
      </c>
      <c r="H154" s="6" t="b">
        <f>IFERROR(MATCH(Table2[[#This Row],[Country]],GSI!F:F,0)&gt;0,FALSE)</f>
        <v>0</v>
      </c>
      <c r="M154" s="120" t="s">
        <v>125</v>
      </c>
      <c r="N154" s="11" t="s">
        <v>125</v>
      </c>
      <c r="O154" s="11" t="s">
        <v>131</v>
      </c>
      <c r="Q154" t="s">
        <v>91</v>
      </c>
      <c r="R154" s="120" t="s">
        <v>90</v>
      </c>
      <c r="S154" s="42">
        <f>SIGN(SUMPRODUCT($T$3:$AQ$3,$T154:$AQ154))*(MAX($S$3:S153)+1)</f>
        <v>0</v>
      </c>
      <c r="T154" s="31"/>
      <c r="U154" s="31"/>
      <c r="V154" s="31"/>
      <c r="W154" s="31">
        <v>1</v>
      </c>
      <c r="X154" s="31">
        <v>1</v>
      </c>
      <c r="Y154" s="31"/>
      <c r="Z154" s="31">
        <v>1</v>
      </c>
      <c r="AA154" s="31"/>
      <c r="AB154" s="31"/>
      <c r="AC154" s="31"/>
      <c r="AD154" s="31">
        <v>1</v>
      </c>
      <c r="AE154" s="31">
        <v>1</v>
      </c>
      <c r="AF154" s="31">
        <v>1</v>
      </c>
      <c r="AG154" s="31"/>
      <c r="AH154" s="31">
        <v>1</v>
      </c>
      <c r="AI154" s="31">
        <v>1</v>
      </c>
      <c r="AJ154" s="31">
        <v>1</v>
      </c>
      <c r="AK154" s="31">
        <v>1</v>
      </c>
      <c r="AL154" s="31"/>
      <c r="AM154" s="31"/>
      <c r="AN154" s="31">
        <v>1</v>
      </c>
      <c r="AO154" s="31"/>
      <c r="AP154" s="31"/>
      <c r="AQ154" s="31">
        <v>1</v>
      </c>
    </row>
    <row r="155" spans="2:43" x14ac:dyDescent="0.35">
      <c r="B155" s="120" t="s">
        <v>433</v>
      </c>
      <c r="C155">
        <f>IF(B155="","",IFERROR(IFERROR(IFERROR(VLOOKUP(B155,Table6[[Tool Name]:[MS Prevalence]],2,FALSE),VLOOKUP(B155,Table3[[Typed Name]:[MS Prevalence]],3,FALSE)),VLOOKUP(B155,Table4[[Country]:[Estimated prevalence of modern slavery per 1,000 population]],2,FALSE)),0))</f>
        <v>4.448514461517334</v>
      </c>
      <c r="D155" s="20" t="s">
        <v>432</v>
      </c>
      <c r="E155" s="22">
        <f>IFERROR(VLOOKUP(Table2[[#This Row],[Country]],Table6[[Tool Name]:[MS Prevalence]],2,FALSE),999)</f>
        <v>7.6514058113098136</v>
      </c>
      <c r="F155" s="6" t="str">
        <f>LEFT(Table2[[#This Row],[Country]],4)</f>
        <v>Slov</v>
      </c>
      <c r="G155" s="6" cm="1">
        <f t="array" ref="G155">SUMPRODUCT(--(Table2[[#This Row],[Country]]=Input!$B$39:$C$58))+SUMPRODUCT(--(Table2[[#This Row],[Country]]=Table3[Tool Name]),--(Table3[Selected]&gt;0))</f>
        <v>0</v>
      </c>
      <c r="H155" s="6" t="b">
        <f>IFERROR(MATCH(Table2[[#This Row],[Country]],GSI!F:F,0)&gt;0,FALSE)</f>
        <v>0</v>
      </c>
      <c r="M155" s="120" t="s">
        <v>125</v>
      </c>
      <c r="N155" s="12" t="s">
        <v>125</v>
      </c>
      <c r="O155" s="12" t="s">
        <v>115</v>
      </c>
      <c r="Q155" t="s">
        <v>365</v>
      </c>
      <c r="R155" s="120" t="s">
        <v>97</v>
      </c>
      <c r="S155" s="42">
        <f>SIGN(SUMPRODUCT($T$3:$AQ$3,$T155:$AQ155))*(MAX($S$3:S154)+1)</f>
        <v>0</v>
      </c>
      <c r="T155" s="31"/>
      <c r="U155" s="31"/>
      <c r="V155" s="31">
        <v>1</v>
      </c>
      <c r="W155" s="31"/>
      <c r="X155" s="31"/>
      <c r="Y155" s="31"/>
      <c r="Z155" s="31"/>
      <c r="AA155" s="31"/>
      <c r="AB155" s="31"/>
      <c r="AC155" s="31">
        <v>1</v>
      </c>
      <c r="AD155" s="31"/>
      <c r="AE155" s="31"/>
      <c r="AF155" s="31"/>
      <c r="AG155" s="31"/>
      <c r="AH155" s="31"/>
      <c r="AI155" s="31"/>
      <c r="AJ155" s="31"/>
      <c r="AK155" s="31"/>
      <c r="AL155" s="31"/>
      <c r="AM155" s="31"/>
      <c r="AN155" s="31"/>
      <c r="AO155" s="31"/>
      <c r="AP155" s="31"/>
      <c r="AQ155" s="31"/>
    </row>
    <row r="156" spans="2:43" x14ac:dyDescent="0.35">
      <c r="B156" s="120" t="s">
        <v>434</v>
      </c>
      <c r="C156">
        <f>IF(B156="","",IFERROR(IFERROR(IFERROR(VLOOKUP(B156,Table6[[Tool Name]:[MS Prevalence]],2,FALSE),VLOOKUP(B156,Table3[[Typed Name]:[MS Prevalence]],3,FALSE)),VLOOKUP(B156,Table4[[Country]:[Estimated prevalence of modern slavery per 1,000 population]],2,FALSE)),0))</f>
        <v>0</v>
      </c>
      <c r="D156" s="20" t="s">
        <v>433</v>
      </c>
      <c r="E156" s="22">
        <f>IFERROR(VLOOKUP(Table2[[#This Row],[Country]],Table6[[Tool Name]:[MS Prevalence]],2,FALSE),999)</f>
        <v>4.448514461517334</v>
      </c>
      <c r="F156" s="6" t="str">
        <f>LEFT(Table2[[#This Row],[Country]],4)</f>
        <v>Slov</v>
      </c>
      <c r="G156" s="6" cm="1">
        <f t="array" ref="G156">SUMPRODUCT(--(Table2[[#This Row],[Country]]=Input!$B$39:$C$58))+SUMPRODUCT(--(Table2[[#This Row],[Country]]=Table3[Tool Name]),--(Table3[Selected]&gt;0))</f>
        <v>0</v>
      </c>
      <c r="H156" s="6" t="b">
        <f>IFERROR(MATCH(Table2[[#This Row],[Country]],GSI!F:F,0)&gt;0,FALSE)</f>
        <v>0</v>
      </c>
      <c r="M156" s="120" t="s">
        <v>125</v>
      </c>
      <c r="N156" s="11" t="s">
        <v>125</v>
      </c>
      <c r="O156" s="11" t="s">
        <v>240</v>
      </c>
      <c r="Q156" t="s">
        <v>383</v>
      </c>
      <c r="R156" s="120" t="s">
        <v>97</v>
      </c>
      <c r="S156" s="42">
        <f>SIGN(SUMPRODUCT($T$3:$AQ$3,$T156:$AQ156))*(MAX($S$3:S155)+1)</f>
        <v>0</v>
      </c>
      <c r="T156" s="31"/>
      <c r="U156" s="31"/>
      <c r="V156" s="31"/>
      <c r="W156" s="31"/>
      <c r="X156" s="31"/>
      <c r="Y156" s="31"/>
      <c r="Z156" s="31"/>
      <c r="AA156" s="31"/>
      <c r="AB156" s="31"/>
      <c r="AC156" s="31">
        <v>1</v>
      </c>
      <c r="AD156" s="31"/>
      <c r="AE156" s="31"/>
      <c r="AF156" s="31">
        <v>1</v>
      </c>
      <c r="AG156" s="31"/>
      <c r="AH156" s="31"/>
      <c r="AI156" s="31"/>
      <c r="AJ156" s="31"/>
      <c r="AK156" s="31"/>
      <c r="AL156" s="31"/>
      <c r="AM156" s="31"/>
      <c r="AN156" s="31"/>
      <c r="AO156" s="31"/>
      <c r="AP156" s="31"/>
      <c r="AQ156" s="31"/>
    </row>
    <row r="157" spans="2:43" x14ac:dyDescent="0.35">
      <c r="B157" s="120" t="s">
        <v>435</v>
      </c>
      <c r="C157">
        <f>IF(B157="","",IFERROR(IFERROR(IFERROR(VLOOKUP(B157,Table6[[Tool Name]:[MS Prevalence]],2,FALSE),VLOOKUP(B157,Table3[[Typed Name]:[MS Prevalence]],3,FALSE)),VLOOKUP(B157,Table4[[Country]:[Estimated prevalence of modern slavery per 1,000 population]],2,FALSE)),0))</f>
        <v>6.1732912063598633</v>
      </c>
      <c r="D157" s="20" t="s">
        <v>434</v>
      </c>
      <c r="E157" s="22">
        <f>IFERROR(VLOOKUP(Table2[[#This Row],[Country]],Table6[[Tool Name]:[MS Prevalence]],2,FALSE),999)</f>
        <v>0</v>
      </c>
      <c r="F157" s="6" t="str">
        <f>LEFT(Table2[[#This Row],[Country]],4)</f>
        <v>Solo</v>
      </c>
      <c r="G157" s="6" cm="1">
        <f t="array" ref="G157">SUMPRODUCT(--(Table2[[#This Row],[Country]]=Input!$B$39:$C$58))+SUMPRODUCT(--(Table2[[#This Row],[Country]]=Table3[Tool Name]),--(Table3[Selected]&gt;0))</f>
        <v>0</v>
      </c>
      <c r="H157" s="6" t="b">
        <f>IFERROR(MATCH(Table2[[#This Row],[Country]],GSI!F:F,0)&gt;0,FALSE)</f>
        <v>0</v>
      </c>
      <c r="M157" s="120" t="s">
        <v>125</v>
      </c>
      <c r="N157" s="11" t="s">
        <v>125</v>
      </c>
      <c r="O157" s="11" t="s">
        <v>422</v>
      </c>
      <c r="Q157" t="s">
        <v>211</v>
      </c>
      <c r="R157" s="120" t="s">
        <v>152</v>
      </c>
      <c r="S157" s="42">
        <f>SIGN(SUMPRODUCT($T$3:$AQ$3,$T157:$AQ157))*(MAX($S$3:S156)+1)</f>
        <v>0</v>
      </c>
      <c r="T157" s="31"/>
      <c r="U157" s="31"/>
      <c r="V157" s="31">
        <v>1</v>
      </c>
      <c r="W157" s="31"/>
      <c r="X157" s="31"/>
      <c r="Y157" s="31"/>
      <c r="Z157" s="31"/>
      <c r="AA157" s="31"/>
      <c r="AB157" s="31"/>
      <c r="AC157" s="31"/>
      <c r="AD157" s="31"/>
      <c r="AE157" s="31"/>
      <c r="AF157" s="31">
        <v>1</v>
      </c>
      <c r="AG157" s="31"/>
      <c r="AH157" s="31"/>
      <c r="AI157" s="31">
        <v>1</v>
      </c>
      <c r="AJ157" s="31"/>
      <c r="AK157" s="31"/>
      <c r="AL157" s="31"/>
      <c r="AM157" s="31"/>
      <c r="AN157" s="31"/>
      <c r="AO157" s="31"/>
      <c r="AP157" s="31"/>
      <c r="AQ157" s="31"/>
    </row>
    <row r="158" spans="2:43" x14ac:dyDescent="0.35">
      <c r="B158" s="120" t="s">
        <v>436</v>
      </c>
      <c r="C158">
        <f>IF(B158="","",IFERROR(IFERROR(IFERROR(VLOOKUP(B158,Table6[[Tool Name]:[MS Prevalence]],2,FALSE),VLOOKUP(B158,Table3[[Typed Name]:[MS Prevalence]],3,FALSE)),VLOOKUP(B158,Table4[[Country]:[Estimated prevalence of modern slavery per 1,000 population]],2,FALSE)),0))</f>
        <v>2.6624982357025151</v>
      </c>
      <c r="D158" s="20" t="s">
        <v>435</v>
      </c>
      <c r="E158" s="22">
        <f>IFERROR(VLOOKUP(Table2[[#This Row],[Country]],Table6[[Tool Name]:[MS Prevalence]],2,FALSE),999)</f>
        <v>6.1732912063598633</v>
      </c>
      <c r="F158" s="6" t="str">
        <f>LEFT(Table2[[#This Row],[Country]],4)</f>
        <v>Soma</v>
      </c>
      <c r="G158" s="6" cm="1">
        <f t="array" ref="G158">SUMPRODUCT(--(Table2[[#This Row],[Country]]=Input!$B$39:$C$58))+SUMPRODUCT(--(Table2[[#This Row],[Country]]=Table3[Tool Name]),--(Table3[Selected]&gt;0))</f>
        <v>0</v>
      </c>
      <c r="H158" s="6" t="b">
        <f>IFERROR(MATCH(Table2[[#This Row],[Country]],GSI!F:F,0)&gt;0,FALSE)</f>
        <v>0</v>
      </c>
      <c r="M158" s="120" t="s">
        <v>125</v>
      </c>
      <c r="N158" s="11" t="s">
        <v>125</v>
      </c>
      <c r="O158" s="11" t="s">
        <v>426</v>
      </c>
      <c r="Q158" t="s">
        <v>361</v>
      </c>
      <c r="R158" s="120" t="s">
        <v>97</v>
      </c>
      <c r="S158" s="42">
        <f>SIGN(SUMPRODUCT($T$3:$AQ$3,$T158:$AQ158))*(MAX($S$3:S157)+1)</f>
        <v>0</v>
      </c>
      <c r="T158" s="31"/>
      <c r="U158" s="31"/>
      <c r="V158" s="31"/>
      <c r="W158" s="31"/>
      <c r="X158" s="31"/>
      <c r="Y158" s="31">
        <v>1</v>
      </c>
      <c r="Z158" s="31"/>
      <c r="AA158" s="31"/>
      <c r="AB158" s="31"/>
      <c r="AC158" s="31"/>
      <c r="AD158" s="31"/>
      <c r="AE158" s="31"/>
      <c r="AF158" s="31"/>
      <c r="AG158" s="31"/>
      <c r="AH158" s="31"/>
      <c r="AI158" s="31"/>
      <c r="AJ158" s="31"/>
      <c r="AK158" s="31"/>
      <c r="AL158" s="31"/>
      <c r="AM158" s="31"/>
      <c r="AN158" s="31"/>
      <c r="AO158" s="31"/>
      <c r="AP158" s="31"/>
      <c r="AQ158" s="31"/>
    </row>
    <row r="159" spans="2:43" x14ac:dyDescent="0.35">
      <c r="B159" s="120" t="s">
        <v>437</v>
      </c>
      <c r="C159">
        <f>IF(B159="","",IFERROR(IFERROR(IFERROR(VLOOKUP(B159,Table6[[Tool Name]:[MS Prevalence]],2,FALSE),VLOOKUP(B159,Table3[[Typed Name]:[MS Prevalence]],3,FALSE)),VLOOKUP(B159,Table4[[Country]:[Estimated prevalence of modern slavery per 1,000 population]],2,FALSE)),0))</f>
        <v>3.502935409545898</v>
      </c>
      <c r="D159" s="20" t="s">
        <v>436</v>
      </c>
      <c r="E159" s="22">
        <f>IFERROR(VLOOKUP(Table2[[#This Row],[Country]],Table6[[Tool Name]:[MS Prevalence]],2,FALSE),999)</f>
        <v>2.6624982357025151</v>
      </c>
      <c r="F159" s="6" t="str">
        <f>LEFT(Table2[[#This Row],[Country]],4)</f>
        <v>Sout</v>
      </c>
      <c r="G159" s="6" cm="1">
        <f t="array" ref="G159">SUMPRODUCT(--(Table2[[#This Row],[Country]]=Input!$B$39:$C$58))+SUMPRODUCT(--(Table2[[#This Row],[Country]]=Table3[Tool Name]),--(Table3[Selected]&gt;0))</f>
        <v>0</v>
      </c>
      <c r="H159" s="6" t="b">
        <f>IFERROR(MATCH(Table2[[#This Row],[Country]],GSI!F:F,0)&gt;0,FALSE)</f>
        <v>0</v>
      </c>
      <c r="M159" s="120" t="s">
        <v>125</v>
      </c>
      <c r="N159" s="12" t="s">
        <v>125</v>
      </c>
      <c r="O159" s="12" t="s">
        <v>428</v>
      </c>
      <c r="Q159" t="s">
        <v>368</v>
      </c>
      <c r="R159" s="120" t="s">
        <v>97</v>
      </c>
      <c r="S159" s="42">
        <f>SIGN(SUMPRODUCT($T$3:$AQ$3,$T159:$AQ159))*(MAX($S$3:S158)+1)</f>
        <v>0</v>
      </c>
      <c r="T159" s="31"/>
      <c r="U159" s="31"/>
      <c r="V159" s="31"/>
      <c r="W159" s="31"/>
      <c r="X159" s="31"/>
      <c r="Y159" s="31">
        <v>1</v>
      </c>
      <c r="Z159" s="31"/>
      <c r="AA159" s="31"/>
      <c r="AB159" s="31"/>
      <c r="AC159" s="31"/>
      <c r="AD159" s="31"/>
      <c r="AE159" s="31"/>
      <c r="AF159" s="31"/>
      <c r="AG159" s="31"/>
      <c r="AH159" s="31"/>
      <c r="AI159" s="31"/>
      <c r="AJ159" s="31"/>
      <c r="AK159" s="31"/>
      <c r="AL159" s="31"/>
      <c r="AM159" s="31"/>
      <c r="AN159" s="31"/>
      <c r="AO159" s="31"/>
      <c r="AP159" s="31"/>
      <c r="AQ159" s="31"/>
    </row>
    <row r="160" spans="2:43" x14ac:dyDescent="0.35">
      <c r="B160" s="120" t="s">
        <v>438</v>
      </c>
      <c r="C160">
        <f>IF(B160="","",IFERROR(IFERROR(IFERROR(VLOOKUP(B160,Table6[[Tool Name]:[MS Prevalence]],2,FALSE),VLOOKUP(B160,Table3[[Typed Name]:[MS Prevalence]],3,FALSE)),VLOOKUP(B160,Table4[[Country]:[Estimated prevalence of modern slavery per 1,000 population]],2,FALSE)),0))</f>
        <v>10.29315185546875</v>
      </c>
      <c r="D160" s="20" t="s">
        <v>437</v>
      </c>
      <c r="E160" s="22">
        <f>IFERROR(VLOOKUP(Table2[[#This Row],[Country]],Table6[[Tool Name]:[MS Prevalence]],2,FALSE),999)</f>
        <v>3.502935409545898</v>
      </c>
      <c r="F160" s="6" t="str">
        <f>LEFT(Table2[[#This Row],[Country]],4)</f>
        <v>Sout</v>
      </c>
      <c r="G160" s="6" cm="1">
        <f t="array" ref="G160">SUMPRODUCT(--(Table2[[#This Row],[Country]]=Input!$B$39:$C$58))+SUMPRODUCT(--(Table2[[#This Row],[Country]]=Table3[Tool Name]),--(Table3[Selected]&gt;0))</f>
        <v>0</v>
      </c>
      <c r="H160" s="6" t="b">
        <f>IFERROR(MATCH(Table2[[#This Row],[Country]],GSI!F:F,0)&gt;0,FALSE)</f>
        <v>0</v>
      </c>
      <c r="M160" s="120" t="s">
        <v>144</v>
      </c>
      <c r="N160" s="12" t="s">
        <v>144</v>
      </c>
      <c r="O160" s="12" t="s">
        <v>157</v>
      </c>
      <c r="Q160" t="s">
        <v>372</v>
      </c>
      <c r="R160" s="120" t="s">
        <v>761</v>
      </c>
      <c r="S160" s="42">
        <f>SIGN(SUMPRODUCT($T$3:$AQ$3,$T160:$AQ160))*(MAX($S$3:S159)+1)</f>
        <v>0</v>
      </c>
      <c r="T160" s="31"/>
      <c r="U160" s="31"/>
      <c r="V160" s="31"/>
      <c r="W160" s="31"/>
      <c r="X160" s="31"/>
      <c r="Y160" s="31">
        <v>1</v>
      </c>
      <c r="Z160" s="31">
        <v>1</v>
      </c>
      <c r="AA160" s="31"/>
      <c r="AB160" s="31"/>
      <c r="AC160" s="31"/>
      <c r="AD160" s="31"/>
      <c r="AE160" s="31"/>
      <c r="AF160" s="31"/>
      <c r="AG160" s="31"/>
      <c r="AH160" s="31"/>
      <c r="AI160" s="31">
        <v>1</v>
      </c>
      <c r="AJ160" s="31"/>
      <c r="AK160" s="31"/>
      <c r="AL160" s="31"/>
      <c r="AM160" s="31"/>
      <c r="AN160" s="31">
        <v>1</v>
      </c>
      <c r="AO160" s="31"/>
      <c r="AP160" s="31"/>
      <c r="AQ160" s="31">
        <v>1</v>
      </c>
    </row>
    <row r="161" spans="2:43" x14ac:dyDescent="0.35">
      <c r="B161" s="120" t="s">
        <v>439</v>
      </c>
      <c r="C161">
        <f>IF(B161="","",IFERROR(IFERROR(IFERROR(VLOOKUP(B161,Table6[[Tool Name]:[MS Prevalence]],2,FALSE),VLOOKUP(B161,Table3[[Typed Name]:[MS Prevalence]],3,FALSE)),VLOOKUP(B161,Table4[[Country]:[Estimated prevalence of modern slavery per 1,000 population]],2,FALSE)),0))</f>
        <v>2.312372207641602</v>
      </c>
      <c r="D161" s="20" t="s">
        <v>438</v>
      </c>
      <c r="E161" s="22">
        <f>IFERROR(VLOOKUP(Table2[[#This Row],[Country]],Table6[[Tool Name]:[MS Prevalence]],2,FALSE),999)</f>
        <v>10.29315185546875</v>
      </c>
      <c r="F161" s="6" t="str">
        <f>LEFT(Table2[[#This Row],[Country]],4)</f>
        <v>Sout</v>
      </c>
      <c r="G161" s="6" cm="1">
        <f t="array" ref="G161">SUMPRODUCT(--(Table2[[#This Row],[Country]]=Input!$B$39:$C$58))+SUMPRODUCT(--(Table2[[#This Row],[Country]]=Table3[Tool Name]),--(Table3[Selected]&gt;0))</f>
        <v>0</v>
      </c>
      <c r="H161" s="6" t="b">
        <f>IFERROR(MATCH(Table2[[#This Row],[Country]],GSI!F:F,0)&gt;0,FALSE)</f>
        <v>0</v>
      </c>
      <c r="M161" s="120" t="s">
        <v>144</v>
      </c>
      <c r="N161" s="12" t="s">
        <v>144</v>
      </c>
      <c r="O161" s="12" t="s">
        <v>272</v>
      </c>
      <c r="Q161" t="s">
        <v>374</v>
      </c>
      <c r="R161" s="120" t="s">
        <v>762</v>
      </c>
      <c r="S161" s="42">
        <f>SIGN(SUMPRODUCT($T$3:$AQ$3,$T161:$AQ161))*(MAX($S$3:S160)+1)</f>
        <v>0</v>
      </c>
      <c r="T161" s="31"/>
      <c r="U161" s="31"/>
      <c r="V161" s="31"/>
      <c r="W161" s="31"/>
      <c r="X161" s="31"/>
      <c r="Y161" s="31"/>
      <c r="Z161" s="31"/>
      <c r="AA161" s="31">
        <v>1</v>
      </c>
      <c r="AB161" s="31"/>
      <c r="AC161" s="31"/>
      <c r="AD161" s="31"/>
      <c r="AE161" s="31"/>
      <c r="AF161" s="31"/>
      <c r="AG161" s="31"/>
      <c r="AH161" s="31"/>
      <c r="AI161" s="31"/>
      <c r="AJ161" s="31"/>
      <c r="AK161" s="31"/>
      <c r="AL161" s="31"/>
      <c r="AM161" s="31"/>
      <c r="AN161" s="31"/>
      <c r="AO161" s="31"/>
      <c r="AP161" s="31"/>
      <c r="AQ161" s="31"/>
    </row>
    <row r="162" spans="2:43" x14ac:dyDescent="0.35">
      <c r="B162" s="120" t="s">
        <v>441</v>
      </c>
      <c r="C162">
        <f>IF(B162="","",IFERROR(IFERROR(IFERROR(VLOOKUP(B162,Table6[[Tool Name]:[MS Prevalence]],2,FALSE),VLOOKUP(B162,Table3[[Typed Name]:[MS Prevalence]],3,FALSE)),VLOOKUP(B162,Table4[[Country]:[Estimated prevalence of modern slavery per 1,000 population]],2,FALSE)),0))</f>
        <v>6.4705958366394043</v>
      </c>
      <c r="D162" s="20" t="s">
        <v>439</v>
      </c>
      <c r="E162" s="22">
        <f>IFERROR(VLOOKUP(Table2[[#This Row],[Country]],Table6[[Tool Name]:[MS Prevalence]],2,FALSE),999)</f>
        <v>2.312372207641602</v>
      </c>
      <c r="F162" s="6" t="str">
        <f>LEFT(Table2[[#This Row],[Country]],4)</f>
        <v>Spai</v>
      </c>
      <c r="G162" s="6" cm="1">
        <f t="array" ref="G162">SUMPRODUCT(--(Table2[[#This Row],[Country]]=Input!$B$39:$C$58))+SUMPRODUCT(--(Table2[[#This Row],[Country]]=Table3[Tool Name]),--(Table3[Selected]&gt;0))</f>
        <v>0</v>
      </c>
      <c r="H162" s="6" t="b">
        <f>IFERROR(MATCH(Table2[[#This Row],[Country]],GSI!F:F,0)&gt;0,FALSE)</f>
        <v>0</v>
      </c>
      <c r="M162" s="120" t="s">
        <v>144</v>
      </c>
      <c r="N162" s="11" t="s">
        <v>144</v>
      </c>
      <c r="O162" s="11" t="s">
        <v>262</v>
      </c>
      <c r="Q162" t="s">
        <v>217</v>
      </c>
      <c r="R162" s="120" t="s">
        <v>763</v>
      </c>
      <c r="S162" s="42">
        <f>SIGN(SUMPRODUCT($T$3:$AQ$3,$T162:$AQ162))*(MAX($S$3:S161)+1)</f>
        <v>0</v>
      </c>
      <c r="T162" s="31"/>
      <c r="U162" s="31"/>
      <c r="V162" s="31"/>
      <c r="W162" s="31"/>
      <c r="X162" s="31"/>
      <c r="Y162" s="31"/>
      <c r="Z162" s="31"/>
      <c r="AA162" s="31"/>
      <c r="AB162" s="31"/>
      <c r="AC162" s="31"/>
      <c r="AD162" s="31">
        <v>1</v>
      </c>
      <c r="AE162" s="31"/>
      <c r="AF162" s="31"/>
      <c r="AG162" s="31"/>
      <c r="AH162" s="31"/>
      <c r="AI162" s="31"/>
      <c r="AJ162" s="31"/>
      <c r="AK162" s="31"/>
      <c r="AL162" s="31"/>
      <c r="AM162" s="31"/>
      <c r="AN162" s="31"/>
      <c r="AO162" s="31"/>
      <c r="AP162" s="31"/>
      <c r="AQ162" s="31"/>
    </row>
    <row r="163" spans="2:43" x14ac:dyDescent="0.35">
      <c r="B163" s="120" t="s">
        <v>443</v>
      </c>
      <c r="C163">
        <f>IF(B163="","",IFERROR(IFERROR(IFERROR(VLOOKUP(B163,Table6[[Tool Name]:[MS Prevalence]],2,FALSE),VLOOKUP(B163,Table3[[Typed Name]:[MS Prevalence]],3,FALSE)),VLOOKUP(B163,Table4[[Country]:[Estimated prevalence of modern slavery per 1,000 population]],2,FALSE)),0))</f>
        <v>0</v>
      </c>
      <c r="D163" s="20" t="s">
        <v>441</v>
      </c>
      <c r="E163" s="22">
        <f>IFERROR(VLOOKUP(Table2[[#This Row],[Country]],Table6[[Tool Name]:[MS Prevalence]],2,FALSE),999)</f>
        <v>6.4705958366394043</v>
      </c>
      <c r="F163" s="6" t="str">
        <f>LEFT(Table2[[#This Row],[Country]],4)</f>
        <v xml:space="preserve">Sri </v>
      </c>
      <c r="G163" s="6" cm="1">
        <f t="array" ref="G163">SUMPRODUCT(--(Table2[[#This Row],[Country]]=Input!$B$39:$C$58))+SUMPRODUCT(--(Table2[[#This Row],[Country]]=Table3[Tool Name]),--(Table3[Selected]&gt;0))</f>
        <v>0</v>
      </c>
      <c r="H163" s="6" t="b">
        <f>IFERROR(MATCH(Table2[[#This Row],[Country]],GSI!F:F,0)&gt;0,FALSE)</f>
        <v>0</v>
      </c>
      <c r="M163" s="120" t="s">
        <v>144</v>
      </c>
      <c r="N163" s="11" t="s">
        <v>144</v>
      </c>
      <c r="O163" s="11" t="s">
        <v>145</v>
      </c>
      <c r="Q163" t="s">
        <v>186</v>
      </c>
      <c r="R163" s="120" t="s">
        <v>152</v>
      </c>
      <c r="S163" s="42">
        <f>SIGN(SUMPRODUCT($T$3:$AQ$3,$T163:$AQ163))*(MAX($S$3:S162)+1)</f>
        <v>0</v>
      </c>
      <c r="T163" s="31"/>
      <c r="U163" s="31"/>
      <c r="V163" s="31"/>
      <c r="W163" s="31"/>
      <c r="X163" s="31"/>
      <c r="Y163" s="31"/>
      <c r="Z163" s="31"/>
      <c r="AA163" s="31"/>
      <c r="AB163" s="31"/>
      <c r="AC163" s="31"/>
      <c r="AD163" s="31">
        <v>1</v>
      </c>
      <c r="AE163" s="31"/>
      <c r="AF163" s="31"/>
      <c r="AG163" s="31"/>
      <c r="AH163" s="31"/>
      <c r="AI163" s="31"/>
      <c r="AJ163" s="31"/>
      <c r="AK163" s="31"/>
      <c r="AL163" s="31"/>
      <c r="AM163" s="31"/>
      <c r="AN163" s="31"/>
      <c r="AO163" s="31"/>
      <c r="AP163" s="31"/>
      <c r="AQ163" s="31"/>
    </row>
    <row r="164" spans="2:43" x14ac:dyDescent="0.35">
      <c r="B164" s="120" t="s">
        <v>444</v>
      </c>
      <c r="C164">
        <f>IF(B164="","",IFERROR(IFERROR(IFERROR(VLOOKUP(B164,Table6[[Tool Name]:[MS Prevalence]],2,FALSE),VLOOKUP(B164,Table3[[Typed Name]:[MS Prevalence]],3,FALSE)),VLOOKUP(B164,Table4[[Country]:[Estimated prevalence of modern slavery per 1,000 population]],2,FALSE)),0))</f>
        <v>0</v>
      </c>
      <c r="D164" s="20" t="s">
        <v>443</v>
      </c>
      <c r="E164" s="22">
        <f>IFERROR(VLOOKUP(Table2[[#This Row],[Country]],Table6[[Tool Name]:[MS Prevalence]],2,FALSE),999)</f>
        <v>0</v>
      </c>
      <c r="F164" s="6" t="str">
        <f>LEFT(Table2[[#This Row],[Country]],4)</f>
        <v>St K</v>
      </c>
      <c r="G164" s="6" cm="1">
        <f t="array" ref="G164">SUMPRODUCT(--(Table2[[#This Row],[Country]]=Input!$B$39:$C$58))+SUMPRODUCT(--(Table2[[#This Row],[Country]]=Table3[Tool Name]),--(Table3[Selected]&gt;0))</f>
        <v>0</v>
      </c>
      <c r="H164" s="6" t="b">
        <f>IFERROR(MATCH(Table2[[#This Row],[Country]],GSI!F:F,0)&gt;0,FALSE)</f>
        <v>0</v>
      </c>
      <c r="M164" s="120" t="s">
        <v>144</v>
      </c>
      <c r="N164" s="11" t="s">
        <v>144</v>
      </c>
      <c r="O164" s="11" t="s">
        <v>156</v>
      </c>
      <c r="Q164" t="s">
        <v>440</v>
      </c>
      <c r="R164" s="120" t="s">
        <v>302</v>
      </c>
      <c r="S164" s="42">
        <f>SIGN(SUMPRODUCT($T$3:$AQ$3,$T164:$AQ164))*(MAX($S$3:S163)+1)</f>
        <v>0</v>
      </c>
      <c r="T164" s="31"/>
      <c r="U164" s="31"/>
      <c r="V164" s="31"/>
      <c r="W164" s="31"/>
      <c r="X164" s="31"/>
      <c r="Y164" s="31"/>
      <c r="Z164" s="31"/>
      <c r="AA164" s="31"/>
      <c r="AB164" s="31"/>
      <c r="AC164" s="31"/>
      <c r="AD164" s="31"/>
      <c r="AE164" s="31"/>
      <c r="AF164" s="31"/>
      <c r="AG164" s="31">
        <v>1</v>
      </c>
      <c r="AH164" s="31"/>
      <c r="AI164" s="31"/>
      <c r="AJ164" s="31"/>
      <c r="AK164" s="31"/>
      <c r="AL164" s="31"/>
      <c r="AM164" s="31"/>
      <c r="AN164" s="31"/>
      <c r="AO164" s="31"/>
      <c r="AP164" s="31"/>
      <c r="AQ164" s="31"/>
    </row>
    <row r="165" spans="2:43" x14ac:dyDescent="0.35">
      <c r="B165" s="120" t="s">
        <v>445</v>
      </c>
      <c r="C165">
        <f>IF(B165="","",IFERROR(IFERROR(IFERROR(VLOOKUP(B165,Table6[[Tool Name]:[MS Prevalence]],2,FALSE),VLOOKUP(B165,Table3[[Typed Name]:[MS Prevalence]],3,FALSE)),VLOOKUP(B165,Table4[[Country]:[Estimated prevalence of modern slavery per 1,000 population]],2,FALSE)),0))</f>
        <v>0</v>
      </c>
      <c r="D165" s="20" t="s">
        <v>444</v>
      </c>
      <c r="E165" s="22">
        <f>IFERROR(VLOOKUP(Table2[[#This Row],[Country]],Table6[[Tool Name]:[MS Prevalence]],2,FALSE),999)</f>
        <v>0</v>
      </c>
      <c r="F165" s="6" t="str">
        <f>LEFT(Table2[[#This Row],[Country]],4)</f>
        <v>St L</v>
      </c>
      <c r="G165" s="6" cm="1">
        <f t="array" ref="G165">SUMPRODUCT(--(Table2[[#This Row],[Country]]=Input!$B$39:$C$58))+SUMPRODUCT(--(Table2[[#This Row],[Country]]=Table3[Tool Name]),--(Table3[Selected]&gt;0))</f>
        <v>0</v>
      </c>
      <c r="H165" s="6" t="b">
        <f>IFERROR(MATCH(Table2[[#This Row],[Country]],GSI!F:F,0)&gt;0,FALSE)</f>
        <v>0</v>
      </c>
      <c r="M165" s="120" t="s">
        <v>249</v>
      </c>
      <c r="N165" s="11" t="s">
        <v>249</v>
      </c>
      <c r="O165" s="11" t="s">
        <v>163</v>
      </c>
      <c r="Q165" t="s">
        <v>442</v>
      </c>
      <c r="R165" s="120" t="s">
        <v>302</v>
      </c>
      <c r="S165" s="42">
        <f>SIGN(SUMPRODUCT($T$3:$AQ$3,$T165:$AQ165))*(MAX($S$3:S164)+1)</f>
        <v>0</v>
      </c>
      <c r="T165" s="31"/>
      <c r="U165" s="31"/>
      <c r="V165" s="31"/>
      <c r="W165" s="31"/>
      <c r="X165" s="31"/>
      <c r="Y165" s="31"/>
      <c r="Z165" s="31"/>
      <c r="AA165" s="31"/>
      <c r="AB165" s="31"/>
      <c r="AC165" s="31"/>
      <c r="AD165" s="31">
        <v>1</v>
      </c>
      <c r="AE165" s="31"/>
      <c r="AF165" s="31"/>
      <c r="AG165" s="31"/>
      <c r="AH165" s="31">
        <v>1</v>
      </c>
      <c r="AI165" s="31"/>
      <c r="AJ165" s="31"/>
      <c r="AK165" s="31"/>
      <c r="AL165" s="31"/>
      <c r="AM165" s="31"/>
      <c r="AN165" s="31"/>
      <c r="AO165" s="31"/>
      <c r="AP165" s="31"/>
      <c r="AQ165" s="31"/>
    </row>
    <row r="166" spans="2:43" x14ac:dyDescent="0.35">
      <c r="B166" s="120" t="s">
        <v>447</v>
      </c>
      <c r="C166">
        <f>IF(B166="","",IFERROR(IFERROR(IFERROR(VLOOKUP(B166,Table6[[Tool Name]:[MS Prevalence]],2,FALSE),VLOOKUP(B166,Table3[[Typed Name]:[MS Prevalence]],3,FALSE)),VLOOKUP(B166,Table4[[Country]:[Estimated prevalence of modern slavery per 1,000 population]],2,FALSE)),0))</f>
        <v>3.9744329452514648</v>
      </c>
      <c r="D166" s="20" t="s">
        <v>445</v>
      </c>
      <c r="E166" s="22">
        <f>IFERROR(VLOOKUP(Table2[[#This Row],[Country]],Table6[[Tool Name]:[MS Prevalence]],2,FALSE),999)</f>
        <v>0</v>
      </c>
      <c r="F166" s="6" t="str">
        <f>LEFT(Table2[[#This Row],[Country]],4)</f>
        <v>St V</v>
      </c>
      <c r="G166" s="6" cm="1">
        <f t="array" ref="G166">SUMPRODUCT(--(Table2[[#This Row],[Country]]=Input!$B$39:$C$58))+SUMPRODUCT(--(Table2[[#This Row],[Country]]=Table3[Tool Name]),--(Table3[Selected]&gt;0))</f>
        <v>0</v>
      </c>
      <c r="H166" s="6" t="b">
        <f>IFERROR(MATCH(Table2[[#This Row],[Country]],GSI!F:F,0)&gt;0,FALSE)</f>
        <v>0</v>
      </c>
      <c r="M166" s="120" t="s">
        <v>249</v>
      </c>
      <c r="N166" s="11" t="s">
        <v>249</v>
      </c>
      <c r="O166" s="11" t="s">
        <v>96</v>
      </c>
      <c r="Q166" t="s">
        <v>202</v>
      </c>
      <c r="R166" s="120" t="s">
        <v>731</v>
      </c>
      <c r="S166" s="42">
        <f>SIGN(SUMPRODUCT($T$3:$AQ$3,$T166:$AQ166))*(MAX($S$3:S165)+1)</f>
        <v>0</v>
      </c>
      <c r="T166" s="31"/>
      <c r="U166" s="31"/>
      <c r="V166" s="31"/>
      <c r="W166" s="31"/>
      <c r="X166" s="31"/>
      <c r="Y166" s="31"/>
      <c r="Z166" s="31"/>
      <c r="AA166" s="31">
        <v>1</v>
      </c>
      <c r="AB166" s="31"/>
      <c r="AC166" s="31"/>
      <c r="AD166" s="31"/>
      <c r="AE166" s="31"/>
      <c r="AF166" s="31"/>
      <c r="AG166" s="31"/>
      <c r="AH166" s="31"/>
      <c r="AI166" s="31"/>
      <c r="AJ166" s="31"/>
      <c r="AK166" s="31"/>
      <c r="AL166" s="31"/>
      <c r="AM166" s="31"/>
      <c r="AN166" s="31"/>
      <c r="AO166" s="31"/>
      <c r="AP166" s="31"/>
      <c r="AQ166" s="31"/>
    </row>
    <row r="167" spans="2:43" x14ac:dyDescent="0.35">
      <c r="B167" s="120" t="s">
        <v>449</v>
      </c>
      <c r="C167">
        <f>IF(B167="","",IFERROR(IFERROR(IFERROR(VLOOKUP(B167,Table6[[Tool Name]:[MS Prevalence]],2,FALSE),VLOOKUP(B167,Table3[[Typed Name]:[MS Prevalence]],3,FALSE)),VLOOKUP(B167,Table4[[Country]:[Estimated prevalence of modern slavery per 1,000 population]],2,FALSE)),0))</f>
        <v>0</v>
      </c>
      <c r="D167" s="20" t="s">
        <v>447</v>
      </c>
      <c r="E167" s="22">
        <f>IFERROR(VLOOKUP(Table2[[#This Row],[Country]],Table6[[Tool Name]:[MS Prevalence]],2,FALSE),999)</f>
        <v>3.9744329452514648</v>
      </c>
      <c r="F167" s="6" t="str">
        <f>LEFT(Table2[[#This Row],[Country]],4)</f>
        <v>Suda</v>
      </c>
      <c r="G167" s="6" cm="1">
        <f t="array" ref="G167">SUMPRODUCT(--(Table2[[#This Row],[Country]]=Input!$B$39:$C$58))+SUMPRODUCT(--(Table2[[#This Row],[Country]]=Table3[Tool Name]),--(Table3[Selected]&gt;0))</f>
        <v>0</v>
      </c>
      <c r="H167" s="6" t="b">
        <f>IFERROR(MATCH(Table2[[#This Row],[Country]],GSI!F:F,0)&gt;0,FALSE)</f>
        <v>0</v>
      </c>
      <c r="M167" s="120" t="s">
        <v>249</v>
      </c>
      <c r="N167" s="11" t="s">
        <v>249</v>
      </c>
      <c r="O167" s="11" t="s">
        <v>88</v>
      </c>
      <c r="Q167" t="s">
        <v>395</v>
      </c>
      <c r="R167" s="120" t="s">
        <v>97</v>
      </c>
      <c r="S167" s="42">
        <f>SIGN(SUMPRODUCT($T$3:$AQ$3,$T167:$AQ167))*(MAX($S$3:S166)+1)</f>
        <v>0</v>
      </c>
      <c r="T167" s="31"/>
      <c r="U167" s="31">
        <v>1</v>
      </c>
      <c r="V167" s="31"/>
      <c r="W167" s="31">
        <v>1</v>
      </c>
      <c r="X167" s="31">
        <v>1</v>
      </c>
      <c r="Y167" s="31"/>
      <c r="Z167" s="31">
        <v>1</v>
      </c>
      <c r="AA167" s="31"/>
      <c r="AB167" s="31"/>
      <c r="AC167" s="31"/>
      <c r="AD167" s="31">
        <v>1</v>
      </c>
      <c r="AE167" s="31"/>
      <c r="AF167" s="31"/>
      <c r="AG167" s="31"/>
      <c r="AH167" s="31"/>
      <c r="AI167" s="31">
        <v>1</v>
      </c>
      <c r="AJ167" s="31"/>
      <c r="AK167" s="31">
        <v>1</v>
      </c>
      <c r="AL167" s="31"/>
      <c r="AM167" s="31"/>
      <c r="AN167" s="31">
        <v>1</v>
      </c>
      <c r="AO167" s="31"/>
      <c r="AP167" s="31"/>
      <c r="AQ167" s="31">
        <v>1</v>
      </c>
    </row>
    <row r="168" spans="2:43" x14ac:dyDescent="0.35">
      <c r="B168" s="120" t="s">
        <v>451</v>
      </c>
      <c r="C168">
        <f>IF(B168="","",IFERROR(IFERROR(IFERROR(VLOOKUP(B168,Table6[[Tool Name]:[MS Prevalence]],2,FALSE),VLOOKUP(B168,Table3[[Typed Name]:[MS Prevalence]],3,FALSE)),VLOOKUP(B168,Table4[[Country]:[Estimated prevalence of modern slavery per 1,000 population]],2,FALSE)),0))</f>
        <v>0.56934875249862671</v>
      </c>
      <c r="D168" s="20" t="s">
        <v>449</v>
      </c>
      <c r="E168" s="22">
        <f>IFERROR(VLOOKUP(Table2[[#This Row],[Country]],Table6[[Tool Name]:[MS Prevalence]],2,FALSE),999)</f>
        <v>0</v>
      </c>
      <c r="F168" s="6" t="str">
        <f>LEFT(Table2[[#This Row],[Country]],4)</f>
        <v>Suri</v>
      </c>
      <c r="G168" s="6" cm="1">
        <f t="array" ref="G168">SUMPRODUCT(--(Table2[[#This Row],[Country]]=Input!$B$39:$C$58))+SUMPRODUCT(--(Table2[[#This Row],[Country]]=Table3[Tool Name]),--(Table3[Selected]&gt;0))</f>
        <v>0</v>
      </c>
      <c r="H168" s="6" t="b">
        <f>IFERROR(MATCH(Table2[[#This Row],[Country]],GSI!F:F,0)&gt;0,FALSE)</f>
        <v>0</v>
      </c>
      <c r="M168" s="120" t="s">
        <v>249</v>
      </c>
      <c r="N168" s="11" t="s">
        <v>249</v>
      </c>
      <c r="O168" s="11" t="s">
        <v>298</v>
      </c>
      <c r="Q168" t="s">
        <v>446</v>
      </c>
      <c r="R168" s="120" t="s">
        <v>182</v>
      </c>
      <c r="S168" s="42">
        <f>SIGN(SUMPRODUCT($T$3:$AQ$3,$T168:$AQ168))*(MAX($S$3:S167)+1)</f>
        <v>0</v>
      </c>
      <c r="T168" s="31"/>
      <c r="U168" s="31"/>
      <c r="V168" s="31"/>
      <c r="W168" s="31"/>
      <c r="X168" s="31"/>
      <c r="Y168" s="31"/>
      <c r="Z168" s="31"/>
      <c r="AA168" s="31">
        <v>1</v>
      </c>
      <c r="AB168" s="31"/>
      <c r="AC168" s="31"/>
      <c r="AD168" s="31"/>
      <c r="AE168" s="31"/>
      <c r="AF168" s="31"/>
      <c r="AG168" s="31"/>
      <c r="AH168" s="31"/>
      <c r="AI168" s="31"/>
      <c r="AJ168" s="31"/>
      <c r="AK168" s="31"/>
      <c r="AL168" s="31"/>
      <c r="AM168" s="31"/>
      <c r="AN168" s="31"/>
      <c r="AO168" s="31"/>
      <c r="AP168" s="31"/>
      <c r="AQ168" s="31"/>
    </row>
    <row r="169" spans="2:43" x14ac:dyDescent="0.35">
      <c r="B169" s="120" t="s">
        <v>452</v>
      </c>
      <c r="C169">
        <f>IF(B169="","",IFERROR(IFERROR(IFERROR(VLOOKUP(B169,Table6[[Tool Name]:[MS Prevalence]],2,FALSE),VLOOKUP(B169,Table3[[Typed Name]:[MS Prevalence]],3,FALSE)),VLOOKUP(B169,Table4[[Country]:[Estimated prevalence of modern slavery per 1,000 population]],2,FALSE)),0))</f>
        <v>0.49812814593315119</v>
      </c>
      <c r="D169" s="20" t="s">
        <v>451</v>
      </c>
      <c r="E169" s="22">
        <f>IFERROR(VLOOKUP(Table2[[#This Row],[Country]],Table6[[Tool Name]:[MS Prevalence]],2,FALSE),999)</f>
        <v>0.56934875249862671</v>
      </c>
      <c r="F169" s="6" t="str">
        <f>LEFT(Table2[[#This Row],[Country]],4)</f>
        <v>Swed</v>
      </c>
      <c r="G169" s="6" cm="1">
        <f t="array" ref="G169">SUMPRODUCT(--(Table2[[#This Row],[Country]]=Input!$B$39:$C$58))+SUMPRODUCT(--(Table2[[#This Row],[Country]]=Table3[Tool Name]),--(Table3[Selected]&gt;0))</f>
        <v>0</v>
      </c>
      <c r="H169" s="6" t="b">
        <f>IFERROR(MATCH(Table2[[#This Row],[Country]],GSI!F:F,0)&gt;0,FALSE)</f>
        <v>0</v>
      </c>
      <c r="M169" s="120" t="s">
        <v>249</v>
      </c>
      <c r="N169" s="11" t="s">
        <v>249</v>
      </c>
      <c r="O169" s="11" t="s">
        <v>240</v>
      </c>
      <c r="Q169" t="s">
        <v>448</v>
      </c>
      <c r="R169" s="120" t="s">
        <v>302</v>
      </c>
      <c r="S169" s="42">
        <f>SIGN(SUMPRODUCT($T$3:$AQ$3,$T169:$AQ169))*(MAX($S$3:S168)+1)</f>
        <v>0</v>
      </c>
      <c r="T169" s="31"/>
      <c r="U169" s="31"/>
      <c r="V169" s="31"/>
      <c r="W169" s="31"/>
      <c r="X169" s="31"/>
      <c r="Y169" s="31">
        <v>1</v>
      </c>
      <c r="Z169" s="31"/>
      <c r="AA169" s="31"/>
      <c r="AB169" s="31"/>
      <c r="AC169" s="31"/>
      <c r="AD169" s="31"/>
      <c r="AE169" s="31"/>
      <c r="AF169" s="31"/>
      <c r="AG169" s="31"/>
      <c r="AH169" s="31"/>
      <c r="AI169" s="31"/>
      <c r="AJ169" s="31"/>
      <c r="AK169" s="31"/>
      <c r="AL169" s="31"/>
      <c r="AM169" s="31"/>
      <c r="AN169" s="31"/>
      <c r="AO169" s="31"/>
      <c r="AP169" s="31"/>
      <c r="AQ169" s="31"/>
    </row>
    <row r="170" spans="2:43" x14ac:dyDescent="0.35">
      <c r="B170" s="120" t="s">
        <v>453</v>
      </c>
      <c r="C170">
        <f>IF(B170="","",IFERROR(IFERROR(IFERROR(VLOOKUP(B170,Table6[[Tool Name]:[MS Prevalence]],2,FALSE),VLOOKUP(B170,Table3[[Typed Name]:[MS Prevalence]],3,FALSE)),VLOOKUP(B170,Table4[[Country]:[Estimated prevalence of modern slavery per 1,000 population]],2,FALSE)),0))</f>
        <v>8.7337971992333721</v>
      </c>
      <c r="D170" s="20" t="s">
        <v>452</v>
      </c>
      <c r="E170" s="22">
        <f>IFERROR(VLOOKUP(Table2[[#This Row],[Country]],Table6[[Tool Name]:[MS Prevalence]],2,FALSE),999)</f>
        <v>0.49812814593315119</v>
      </c>
      <c r="F170" s="6" t="str">
        <f>LEFT(Table2[[#This Row],[Country]],4)</f>
        <v>Swit</v>
      </c>
      <c r="G170" s="6" cm="1">
        <f t="array" ref="G170">SUMPRODUCT(--(Table2[[#This Row],[Country]]=Input!$B$39:$C$58))+SUMPRODUCT(--(Table2[[#This Row],[Country]]=Table3[Tool Name]),--(Table3[Selected]&gt;0))</f>
        <v>0</v>
      </c>
      <c r="H170" s="6" t="b">
        <f>IFERROR(MATCH(Table2[[#This Row],[Country]],GSI!F:F,0)&gt;0,FALSE)</f>
        <v>0</v>
      </c>
      <c r="M170" s="120" t="s">
        <v>249</v>
      </c>
      <c r="N170" s="11" t="s">
        <v>249</v>
      </c>
      <c r="O170" s="11" t="s">
        <v>116</v>
      </c>
      <c r="Q170" t="s">
        <v>450</v>
      </c>
      <c r="R170" s="120" t="s">
        <v>397</v>
      </c>
      <c r="S170" s="42">
        <f>SIGN(SUMPRODUCT($T$3:$AQ$3,$T170:$AQ170))*(MAX($S$3:S169)+1)</f>
        <v>0</v>
      </c>
      <c r="T170" s="31"/>
      <c r="U170" s="31"/>
      <c r="V170" s="31"/>
      <c r="W170" s="31"/>
      <c r="X170" s="31"/>
      <c r="Y170" s="31"/>
      <c r="Z170" s="31"/>
      <c r="AA170" s="31"/>
      <c r="AB170" s="31"/>
      <c r="AC170" s="31"/>
      <c r="AD170" s="31"/>
      <c r="AE170" s="31"/>
      <c r="AF170" s="31"/>
      <c r="AG170" s="31"/>
      <c r="AH170" s="31"/>
      <c r="AI170" s="31">
        <v>1</v>
      </c>
      <c r="AJ170" s="31"/>
      <c r="AK170" s="31"/>
      <c r="AL170" s="31"/>
      <c r="AM170" s="31"/>
      <c r="AN170" s="31"/>
      <c r="AO170" s="31"/>
      <c r="AP170" s="31"/>
      <c r="AQ170" s="31"/>
    </row>
    <row r="171" spans="2:43" x14ac:dyDescent="0.35">
      <c r="B171" s="120" t="s">
        <v>455</v>
      </c>
      <c r="C171">
        <f>IF(B171="","",IFERROR(IFERROR(IFERROR(VLOOKUP(B171,Table6[[Tool Name]:[MS Prevalence]],2,FALSE),VLOOKUP(B171,Table3[[Typed Name]:[MS Prevalence]],3,FALSE)),VLOOKUP(B171,Table4[[Country]:[Estimated prevalence of modern slavery per 1,000 population]],2,FALSE)),0))</f>
        <v>13.955769538879389</v>
      </c>
      <c r="D171" s="20" t="s">
        <v>453</v>
      </c>
      <c r="E171" s="22">
        <f>IFERROR(VLOOKUP(Table2[[#This Row],[Country]],Table6[[Tool Name]:[MS Prevalence]],2,FALSE),999)</f>
        <v>8.7337971992333721</v>
      </c>
      <c r="F171" s="6" t="str">
        <f>LEFT(Table2[[#This Row],[Country]],4)</f>
        <v>Syri</v>
      </c>
      <c r="G171" s="6" cm="1">
        <f t="array" ref="G171">SUMPRODUCT(--(Table2[[#This Row],[Country]]=Input!$B$39:$C$58))+SUMPRODUCT(--(Table2[[#This Row],[Country]]=Table3[Tool Name]),--(Table3[Selected]&gt;0))</f>
        <v>0</v>
      </c>
      <c r="H171" s="6" t="b">
        <f>IFERROR(MATCH(Table2[[#This Row],[Country]],GSI!F:F,0)&gt;0,FALSE)</f>
        <v>0</v>
      </c>
      <c r="M171" s="120" t="s">
        <v>249</v>
      </c>
      <c r="N171" s="11" t="s">
        <v>249</v>
      </c>
      <c r="O171" s="11" t="s">
        <v>205</v>
      </c>
      <c r="Q171" t="s">
        <v>404</v>
      </c>
      <c r="R171" s="120" t="s">
        <v>97</v>
      </c>
      <c r="S171" s="42">
        <f>SIGN(SUMPRODUCT($T$3:$AQ$3,$T171:$AQ171))*(MAX($S$3:S170)+1)</f>
        <v>0</v>
      </c>
      <c r="T171" s="31"/>
      <c r="U171" s="31">
        <v>1</v>
      </c>
      <c r="V171" s="31"/>
      <c r="W171" s="31"/>
      <c r="X171" s="31"/>
      <c r="Y171" s="31">
        <v>1</v>
      </c>
      <c r="Z171" s="31"/>
      <c r="AA171" s="31"/>
      <c r="AB171" s="31"/>
      <c r="AC171" s="31"/>
      <c r="AD171" s="31"/>
      <c r="AE171" s="31"/>
      <c r="AF171" s="31"/>
      <c r="AG171" s="31"/>
      <c r="AH171" s="31"/>
      <c r="AI171" s="31"/>
      <c r="AJ171" s="31"/>
      <c r="AK171" s="31"/>
      <c r="AL171" s="31"/>
      <c r="AM171" s="31"/>
      <c r="AN171" s="31"/>
      <c r="AO171" s="31"/>
      <c r="AP171" s="31"/>
      <c r="AQ171" s="31"/>
    </row>
    <row r="172" spans="2:43" x14ac:dyDescent="0.35">
      <c r="B172" s="120" t="s">
        <v>456</v>
      </c>
      <c r="C172">
        <f>IF(B172="","",IFERROR(IFERROR(IFERROR(VLOOKUP(B172,Table6[[Tool Name]:[MS Prevalence]],2,FALSE),VLOOKUP(B172,Table3[[Typed Name]:[MS Prevalence]],3,FALSE)),VLOOKUP(B172,Table4[[Country]:[Estimated prevalence of modern slavery per 1,000 population]],2,FALSE)),0))</f>
        <v>2.85969066619873</v>
      </c>
      <c r="D172" s="20" t="s">
        <v>454</v>
      </c>
      <c r="E172" s="22">
        <f>IFERROR(VLOOKUP(Table2[[#This Row],[Country]],Table6[[Tool Name]:[MS Prevalence]],2,FALSE),999)</f>
        <v>1.6852709054946899</v>
      </c>
      <c r="F172" s="6" t="str">
        <f>LEFT(Table2[[#This Row],[Country]],4)</f>
        <v>Taiw</v>
      </c>
      <c r="G172" s="6" cm="1">
        <f t="array" ref="G172">SUMPRODUCT(--(Table2[[#This Row],[Country]]=Input!$B$39:$C$58))+SUMPRODUCT(--(Table2[[#This Row],[Country]]=Table3[Tool Name]),--(Table3[Selected]&gt;0))</f>
        <v>0</v>
      </c>
      <c r="H172" s="6" t="b">
        <f>IFERROR(MATCH(Table2[[#This Row],[Country]],GSI!F:F,0)&gt;0,FALSE)</f>
        <v>1</v>
      </c>
      <c r="M172" s="120" t="s">
        <v>249</v>
      </c>
      <c r="N172" s="11" t="s">
        <v>249</v>
      </c>
      <c r="O172" s="11" t="s">
        <v>262</v>
      </c>
      <c r="Q172" s="45"/>
      <c r="R172" s="45"/>
      <c r="S172" s="42">
        <f>SIGN(SUMPRODUCT($T$3:$AQ$3,$T172:$AQ172))*(MAX($S$3:S171)+1)</f>
        <v>0</v>
      </c>
      <c r="T172" s="31"/>
      <c r="U172" s="31"/>
      <c r="V172" s="31"/>
      <c r="W172" s="31"/>
      <c r="X172" s="31"/>
      <c r="Y172" s="31"/>
      <c r="Z172" s="31"/>
      <c r="AA172" s="31"/>
      <c r="AB172" s="31"/>
      <c r="AC172" s="31"/>
      <c r="AD172" s="31"/>
      <c r="AE172" s="31"/>
      <c r="AF172" s="31"/>
      <c r="AG172" s="31"/>
      <c r="AH172" s="31"/>
      <c r="AI172" s="31"/>
      <c r="AJ172" s="31"/>
      <c r="AK172" s="31"/>
      <c r="AL172" s="31"/>
      <c r="AM172" s="31"/>
      <c r="AN172" s="31"/>
      <c r="AO172" s="31"/>
      <c r="AP172" s="31"/>
      <c r="AQ172" s="31"/>
    </row>
    <row r="173" spans="2:43" x14ac:dyDescent="0.35">
      <c r="B173" s="120" t="s">
        <v>188</v>
      </c>
      <c r="C173">
        <f>IF(B173="","",IFERROR(IFERROR(IFERROR(VLOOKUP(B173,Table6[[Tool Name]:[MS Prevalence]],2,FALSE),VLOOKUP(B173,Table3[[Typed Name]:[MS Prevalence]],3,FALSE)),VLOOKUP(B173,Table4[[Country]:[Estimated prevalence of modern slavery per 1,000 population]],2,FALSE)),0))</f>
        <v>5.7416377067565918</v>
      </c>
      <c r="D173" s="20" t="s">
        <v>455</v>
      </c>
      <c r="E173" s="22">
        <f>IFERROR(VLOOKUP(Table2[[#This Row],[Country]],Table6[[Tool Name]:[MS Prevalence]],2,FALSE),999)</f>
        <v>13.955769538879389</v>
      </c>
      <c r="F173" s="6" t="str">
        <f>LEFT(Table2[[#This Row],[Country]],4)</f>
        <v>Taji</v>
      </c>
      <c r="G173" s="6" cm="1">
        <f t="array" ref="G173">SUMPRODUCT(--(Table2[[#This Row],[Country]]=Input!$B$39:$C$58))+SUMPRODUCT(--(Table2[[#This Row],[Country]]=Table3[Tool Name]),--(Table3[Selected]&gt;0))</f>
        <v>0</v>
      </c>
      <c r="H173" s="6" t="b">
        <f>IFERROR(MATCH(Table2[[#This Row],[Country]],GSI!F:F,0)&gt;0,FALSE)</f>
        <v>0</v>
      </c>
      <c r="M173" s="120" t="s">
        <v>252</v>
      </c>
      <c r="N173" s="11" t="s">
        <v>252</v>
      </c>
      <c r="O173" s="11" t="s">
        <v>88</v>
      </c>
      <c r="Q173" s="45"/>
      <c r="R173" s="45"/>
      <c r="S173" s="42">
        <f>SIGN(SUMPRODUCT($T$3:$AQ$3,$T173:$AQ173))*(MAX($S$3:S172)+1)</f>
        <v>0</v>
      </c>
      <c r="T173" s="31"/>
      <c r="U173" s="31"/>
      <c r="V173" s="31"/>
      <c r="W173" s="31"/>
      <c r="X173" s="31"/>
      <c r="Y173" s="31"/>
      <c r="Z173" s="31"/>
      <c r="AA173" s="31"/>
      <c r="AB173" s="31"/>
      <c r="AC173" s="31"/>
      <c r="AD173" s="31"/>
      <c r="AE173" s="31"/>
      <c r="AF173" s="31"/>
      <c r="AG173" s="31"/>
      <c r="AH173" s="31"/>
      <c r="AI173" s="31"/>
      <c r="AJ173" s="31"/>
      <c r="AK173" s="31"/>
      <c r="AL173" s="31"/>
      <c r="AM173" s="31"/>
      <c r="AN173" s="31"/>
      <c r="AO173" s="31"/>
      <c r="AP173" s="31"/>
      <c r="AQ173" s="31"/>
    </row>
    <row r="174" spans="2:43" x14ac:dyDescent="0.35">
      <c r="B174" s="120" t="s">
        <v>141</v>
      </c>
      <c r="C174">
        <f>IF(B174="","",IFERROR(IFERROR(IFERROR(VLOOKUP(B174,Table6[[Tool Name]:[MS Prevalence]],2,FALSE),VLOOKUP(B174,Table3[[Typed Name]:[MS Prevalence]],3,FALSE)),VLOOKUP(B174,Table4[[Country]:[Estimated prevalence of modern slavery per 1,000 population]],2,FALSE)),0))</f>
        <v>0</v>
      </c>
      <c r="D174" s="20" t="s">
        <v>456</v>
      </c>
      <c r="E174" s="22">
        <f>IFERROR(VLOOKUP(Table2[[#This Row],[Country]],Table6[[Tool Name]:[MS Prevalence]],2,FALSE),999)</f>
        <v>2.85969066619873</v>
      </c>
      <c r="F174" s="6" t="str">
        <f>LEFT(Table2[[#This Row],[Country]],4)</f>
        <v>Tanz</v>
      </c>
      <c r="G174" s="6" cm="1">
        <f t="array" ref="G174">SUMPRODUCT(--(Table2[[#This Row],[Country]]=Input!$B$39:$C$58))+SUMPRODUCT(--(Table2[[#This Row],[Country]]=Table3[Tool Name]),--(Table3[Selected]&gt;0))</f>
        <v>0</v>
      </c>
      <c r="H174" s="6" t="b">
        <f>IFERROR(MATCH(Table2[[#This Row],[Country]],GSI!F:F,0)&gt;0,FALSE)</f>
        <v>0</v>
      </c>
      <c r="M174" s="120" t="s">
        <v>252</v>
      </c>
      <c r="N174" s="11" t="s">
        <v>252</v>
      </c>
      <c r="O174" s="11" t="s">
        <v>103</v>
      </c>
      <c r="Q174" s="45"/>
      <c r="R174" s="45"/>
      <c r="S174" s="42">
        <f>SIGN(SUMPRODUCT($T$3:$AQ$3,$T174:$AQ174))*(MAX($S$3:S173)+1)</f>
        <v>0</v>
      </c>
      <c r="T174" s="31"/>
      <c r="U174" s="31"/>
      <c r="V174" s="31"/>
      <c r="W174" s="31"/>
      <c r="X174" s="31"/>
      <c r="Y174" s="31"/>
      <c r="Z174" s="31"/>
      <c r="AA174" s="31"/>
      <c r="AB174" s="31"/>
      <c r="AC174" s="31"/>
      <c r="AD174" s="31"/>
      <c r="AE174" s="31"/>
      <c r="AF174" s="31"/>
      <c r="AG174" s="31"/>
      <c r="AH174" s="31"/>
      <c r="AI174" s="31"/>
      <c r="AJ174" s="31"/>
      <c r="AK174" s="31"/>
      <c r="AL174" s="31"/>
      <c r="AM174" s="31"/>
      <c r="AN174" s="31"/>
      <c r="AO174" s="31"/>
      <c r="AP174" s="31"/>
      <c r="AQ174" s="31"/>
    </row>
    <row r="175" spans="2:43" x14ac:dyDescent="0.35">
      <c r="B175" s="120" t="s">
        <v>276</v>
      </c>
      <c r="C175">
        <f>IF(B175="","",IFERROR(IFERROR(IFERROR(VLOOKUP(B175,Table6[[Tool Name]:[MS Prevalence]],2,FALSE),VLOOKUP(B175,Table3[[Typed Name]:[MS Prevalence]],3,FALSE)),VLOOKUP(B175,Table4[[Country]:[Estimated prevalence of modern slavery per 1,000 population]],2,FALSE)),0))</f>
        <v>6.5460033416748047</v>
      </c>
      <c r="D175" s="20" t="s">
        <v>188</v>
      </c>
      <c r="E175" s="22">
        <f>IFERROR(VLOOKUP(Table2[[#This Row],[Country]],Table6[[Tool Name]:[MS Prevalence]],2,FALSE),999)</f>
        <v>5.7416377067565918</v>
      </c>
      <c r="F175" s="6" t="str">
        <f>LEFT(Table2[[#This Row],[Country]],4)</f>
        <v>Thai</v>
      </c>
      <c r="G175" s="6" cm="1">
        <f t="array" ref="G175">SUMPRODUCT(--(Table2[[#This Row],[Country]]=Input!$B$39:$C$58))+SUMPRODUCT(--(Table2[[#This Row],[Country]]=Table3[Tool Name]),--(Table3[Selected]&gt;0))</f>
        <v>0</v>
      </c>
      <c r="H175" s="6" t="b">
        <f>IFERROR(MATCH(Table2[[#This Row],[Country]],GSI!F:F,0)&gt;0,FALSE)</f>
        <v>0</v>
      </c>
      <c r="M175" s="120" t="s">
        <v>252</v>
      </c>
      <c r="N175" s="11" t="s">
        <v>252</v>
      </c>
      <c r="O175" s="11" t="s">
        <v>393</v>
      </c>
      <c r="Q175" s="45"/>
      <c r="R175" s="45"/>
      <c r="S175" s="42">
        <f>SIGN(SUMPRODUCT($T$3:$AQ$3,$T175:$AQ175))*(MAX($S$3:S174)+1)</f>
        <v>0</v>
      </c>
      <c r="T175" s="31"/>
      <c r="U175" s="31"/>
      <c r="V175" s="31"/>
      <c r="W175" s="31"/>
      <c r="X175" s="31"/>
      <c r="Y175" s="31"/>
      <c r="Z175" s="31"/>
      <c r="AA175" s="31"/>
      <c r="AB175" s="31"/>
      <c r="AC175" s="31"/>
      <c r="AD175" s="31"/>
      <c r="AE175" s="31"/>
      <c r="AF175" s="31"/>
      <c r="AG175" s="31"/>
      <c r="AH175" s="31"/>
      <c r="AI175" s="31"/>
      <c r="AJ175" s="31"/>
      <c r="AK175" s="31"/>
      <c r="AL175" s="31"/>
      <c r="AM175" s="31"/>
      <c r="AN175" s="31"/>
      <c r="AO175" s="31"/>
      <c r="AP175" s="31"/>
      <c r="AQ175" s="31"/>
    </row>
    <row r="176" spans="2:43" x14ac:dyDescent="0.35">
      <c r="B176" s="120" t="s">
        <v>457</v>
      </c>
      <c r="C176">
        <f>IF(B176="","",IFERROR(IFERROR(IFERROR(VLOOKUP(B176,Table6[[Tool Name]:[MS Prevalence]],2,FALSE),VLOOKUP(B176,Table3[[Typed Name]:[MS Prevalence]],3,FALSE)),VLOOKUP(B176,Table4[[Country]:[Estimated prevalence of modern slavery per 1,000 population]],2,FALSE)),0))</f>
        <v>6.0507779121398926</v>
      </c>
      <c r="D176" s="20" t="s">
        <v>141</v>
      </c>
      <c r="E176" s="22">
        <f>IFERROR(VLOOKUP(Table2[[#This Row],[Country]],Table6[[Tool Name]:[MS Prevalence]],2,FALSE),999)</f>
        <v>0</v>
      </c>
      <c r="F176" s="6" t="str">
        <f>LEFT(Table2[[#This Row],[Country]],4)</f>
        <v xml:space="preserve">The </v>
      </c>
      <c r="G176" s="6" cm="1">
        <f t="array" ref="G176">SUMPRODUCT(--(Table2[[#This Row],[Country]]=Input!$B$39:$C$58))+SUMPRODUCT(--(Table2[[#This Row],[Country]]=Table3[Tool Name]),--(Table3[Selected]&gt;0))</f>
        <v>0</v>
      </c>
      <c r="H176" s="6" t="b">
        <f>IFERROR(MATCH(Table2[[#This Row],[Country]],GSI!F:F,0)&gt;0,FALSE)</f>
        <v>0</v>
      </c>
      <c r="M176" s="120" t="s">
        <v>254</v>
      </c>
      <c r="N176" s="11" t="s">
        <v>254</v>
      </c>
      <c r="O176" s="11" t="s">
        <v>157</v>
      </c>
      <c r="Q176" s="45"/>
      <c r="R176" s="45"/>
      <c r="S176" s="42">
        <f>SIGN(SUMPRODUCT($T$3:$AQ$3,$T176:$AQ176))*(MAX($S$3:S175)+1)</f>
        <v>0</v>
      </c>
      <c r="T176" s="31"/>
      <c r="U176" s="31"/>
      <c r="V176" s="31"/>
      <c r="W176" s="31"/>
      <c r="X176" s="31"/>
      <c r="Y176" s="31"/>
      <c r="Z176" s="31"/>
      <c r="AA176" s="31"/>
      <c r="AB176" s="31"/>
      <c r="AC176" s="31"/>
      <c r="AD176" s="31"/>
      <c r="AE176" s="31"/>
      <c r="AF176" s="31"/>
      <c r="AG176" s="31"/>
      <c r="AH176" s="31"/>
      <c r="AI176" s="31"/>
      <c r="AJ176" s="31"/>
      <c r="AK176" s="31"/>
      <c r="AL176" s="31"/>
      <c r="AM176" s="31"/>
      <c r="AN176" s="31"/>
      <c r="AO176" s="31"/>
      <c r="AP176" s="31"/>
      <c r="AQ176" s="31"/>
    </row>
    <row r="177" spans="2:43" x14ac:dyDescent="0.35">
      <c r="B177" s="120" t="s">
        <v>458</v>
      </c>
      <c r="C177">
        <f>IF(B177="","",IFERROR(IFERROR(IFERROR(VLOOKUP(B177,Table6[[Tool Name]:[MS Prevalence]],2,FALSE),VLOOKUP(B177,Table3[[Typed Name]:[MS Prevalence]],3,FALSE)),VLOOKUP(B177,Table4[[Country]:[Estimated prevalence of modern slavery per 1,000 population]],2,FALSE)),0))</f>
        <v>3.3498597145080571</v>
      </c>
      <c r="D177" s="20" t="s">
        <v>276</v>
      </c>
      <c r="E177" s="22">
        <f>IFERROR(VLOOKUP(Table2[[#This Row],[Country]],Table6[[Tool Name]:[MS Prevalence]],2,FALSE),999)</f>
        <v>6.5460033416748047</v>
      </c>
      <c r="F177" s="6" t="str">
        <f>LEFT(Table2[[#This Row],[Country]],4)</f>
        <v xml:space="preserve">The </v>
      </c>
      <c r="G177" s="6" cm="1">
        <f t="array" ref="G177">SUMPRODUCT(--(Table2[[#This Row],[Country]]=Input!$B$39:$C$58))+SUMPRODUCT(--(Table2[[#This Row],[Country]]=Table3[Tool Name]),--(Table3[Selected]&gt;0))</f>
        <v>0</v>
      </c>
      <c r="H177" s="6" t="b">
        <f>IFERROR(MATCH(Table2[[#This Row],[Country]],GSI!F:F,0)&gt;0,FALSE)</f>
        <v>0</v>
      </c>
      <c r="M177" s="120" t="s">
        <v>254</v>
      </c>
      <c r="N177" s="12" t="s">
        <v>254</v>
      </c>
      <c r="O177" s="12" t="s">
        <v>102</v>
      </c>
      <c r="Q177" s="45"/>
      <c r="R177" s="45"/>
      <c r="S177" s="42">
        <f>SIGN(SUMPRODUCT($T$3:$AQ$3,$T177:$AQ177))*(MAX($S$3:S176)+1)</f>
        <v>0</v>
      </c>
      <c r="T177" s="31"/>
      <c r="U177" s="31"/>
      <c r="V177" s="31"/>
      <c r="W177" s="31"/>
      <c r="X177" s="31"/>
      <c r="Y177" s="31"/>
      <c r="Z177" s="31"/>
      <c r="AA177" s="31"/>
      <c r="AB177" s="31"/>
      <c r="AC177" s="31"/>
      <c r="AD177" s="31"/>
      <c r="AE177" s="31"/>
      <c r="AF177" s="31"/>
      <c r="AG177" s="31"/>
      <c r="AH177" s="31"/>
      <c r="AI177" s="31"/>
      <c r="AJ177" s="31"/>
      <c r="AK177" s="31"/>
      <c r="AL177" s="31"/>
      <c r="AM177" s="31"/>
      <c r="AN177" s="31"/>
      <c r="AO177" s="31"/>
      <c r="AP177" s="31"/>
      <c r="AQ177" s="31"/>
    </row>
    <row r="178" spans="2:43" x14ac:dyDescent="0.35">
      <c r="B178" s="120" t="s">
        <v>459</v>
      </c>
      <c r="C178">
        <f>IF(B178="","",IFERROR(IFERROR(IFERROR(VLOOKUP(B178,Table6[[Tool Name]:[MS Prevalence]],2,FALSE),VLOOKUP(B178,Table3[[Typed Name]:[MS Prevalence]],3,FALSE)),VLOOKUP(B178,Table4[[Country]:[Estimated prevalence of modern slavery per 1,000 population]],2,FALSE)),0))</f>
        <v>0</v>
      </c>
      <c r="D178" s="20" t="s">
        <v>457</v>
      </c>
      <c r="E178" s="22">
        <f>IFERROR(VLOOKUP(Table2[[#This Row],[Country]],Table6[[Tool Name]:[MS Prevalence]],2,FALSE),999)</f>
        <v>6.0507779121398926</v>
      </c>
      <c r="F178" s="6" t="str">
        <f>LEFT(Table2[[#This Row],[Country]],4)</f>
        <v>Timo</v>
      </c>
      <c r="G178" s="6" cm="1">
        <f t="array" ref="G178">SUMPRODUCT(--(Table2[[#This Row],[Country]]=Input!$B$39:$C$58))+SUMPRODUCT(--(Table2[[#This Row],[Country]]=Table3[Tool Name]),--(Table3[Selected]&gt;0))</f>
        <v>0</v>
      </c>
      <c r="H178" s="6" t="b">
        <f>IFERROR(MATCH(Table2[[#This Row],[Country]],GSI!F:F,0)&gt;0,FALSE)</f>
        <v>0</v>
      </c>
      <c r="M178" s="120" t="s">
        <v>254</v>
      </c>
      <c r="N178" s="11" t="s">
        <v>254</v>
      </c>
      <c r="O178" s="11" t="s">
        <v>200</v>
      </c>
      <c r="Q178" s="45"/>
      <c r="R178" s="45"/>
      <c r="S178" s="42">
        <f>SIGN(SUMPRODUCT($T$3:$AQ$3,$T178:$AQ178))*(MAX($S$3:S177)+1)</f>
        <v>0</v>
      </c>
      <c r="T178" s="31"/>
      <c r="U178" s="31"/>
      <c r="V178" s="31"/>
      <c r="W178" s="31"/>
      <c r="X178" s="31"/>
      <c r="Y178" s="31"/>
      <c r="Z178" s="31"/>
      <c r="AA178" s="31"/>
      <c r="AB178" s="31"/>
      <c r="AC178" s="31"/>
      <c r="AD178" s="31"/>
      <c r="AE178" s="31"/>
      <c r="AF178" s="31"/>
      <c r="AG178" s="31"/>
      <c r="AH178" s="31"/>
      <c r="AI178" s="31"/>
      <c r="AJ178" s="31"/>
      <c r="AK178" s="31"/>
      <c r="AL178" s="31"/>
      <c r="AM178" s="31"/>
      <c r="AN178" s="31"/>
      <c r="AO178" s="31"/>
      <c r="AP178" s="31"/>
      <c r="AQ178" s="31"/>
    </row>
    <row r="179" spans="2:43" x14ac:dyDescent="0.35">
      <c r="B179" s="120" t="s">
        <v>460</v>
      </c>
      <c r="C179">
        <f>IF(B179="","",IFERROR(IFERROR(IFERROR(VLOOKUP(B179,Table6[[Tool Name]:[MS Prevalence]],2,FALSE),VLOOKUP(B179,Table3[[Typed Name]:[MS Prevalence]],3,FALSE)),VLOOKUP(B179,Table4[[Country]:[Estimated prevalence of modern slavery per 1,000 population]],2,FALSE)),0))</f>
        <v>4.7318248748779297</v>
      </c>
      <c r="D179" s="20" t="s">
        <v>458</v>
      </c>
      <c r="E179" s="22">
        <f>IFERROR(VLOOKUP(Table2[[#This Row],[Country]],Table6[[Tool Name]:[MS Prevalence]],2,FALSE),999)</f>
        <v>3.3498597145080571</v>
      </c>
      <c r="F179" s="6" t="str">
        <f>LEFT(Table2[[#This Row],[Country]],4)</f>
        <v>Togo</v>
      </c>
      <c r="G179" s="6" cm="1">
        <f t="array" ref="G179">SUMPRODUCT(--(Table2[[#This Row],[Country]]=Input!$B$39:$C$58))+SUMPRODUCT(--(Table2[[#This Row],[Country]]=Table3[Tool Name]),--(Table3[Selected]&gt;0))</f>
        <v>0</v>
      </c>
      <c r="H179" s="6" t="b">
        <f>IFERROR(MATCH(Table2[[#This Row],[Country]],GSI!F:F,0)&gt;0,FALSE)</f>
        <v>0</v>
      </c>
      <c r="M179" s="120" t="s">
        <v>254</v>
      </c>
      <c r="N179" s="11" t="s">
        <v>254</v>
      </c>
      <c r="O179" s="11" t="s">
        <v>272</v>
      </c>
      <c r="Q179" s="45"/>
      <c r="R179" s="45"/>
      <c r="S179" s="42">
        <f>SIGN(SUMPRODUCT($T$3:$AQ$3,$T179:$AQ179))*(MAX($S$3:S178)+1)</f>
        <v>0</v>
      </c>
      <c r="T179" s="31"/>
      <c r="U179" s="31"/>
      <c r="V179" s="31"/>
      <c r="W179" s="31"/>
      <c r="X179" s="31"/>
      <c r="Y179" s="31"/>
      <c r="Z179" s="31"/>
      <c r="AA179" s="31"/>
      <c r="AB179" s="31"/>
      <c r="AC179" s="31"/>
      <c r="AD179" s="31"/>
      <c r="AE179" s="31"/>
      <c r="AF179" s="31"/>
      <c r="AG179" s="31"/>
      <c r="AH179" s="31"/>
      <c r="AI179" s="31"/>
      <c r="AJ179" s="31"/>
      <c r="AK179" s="31"/>
      <c r="AL179" s="31"/>
      <c r="AM179" s="31"/>
      <c r="AN179" s="31"/>
      <c r="AO179" s="31"/>
      <c r="AP179" s="31"/>
      <c r="AQ179" s="31"/>
    </row>
    <row r="180" spans="2:43" x14ac:dyDescent="0.35">
      <c r="B180" s="120" t="s">
        <v>461</v>
      </c>
      <c r="C180">
        <f>IF(B180="","",IFERROR(IFERROR(IFERROR(VLOOKUP(B180,Table6[[Tool Name]:[MS Prevalence]],2,FALSE),VLOOKUP(B180,Table3[[Typed Name]:[MS Prevalence]],3,FALSE)),VLOOKUP(B180,Table4[[Country]:[Estimated prevalence of modern slavery per 1,000 population]],2,FALSE)),0))</f>
        <v>2.3166627883911128</v>
      </c>
      <c r="D180" s="20" t="s">
        <v>459</v>
      </c>
      <c r="E180" s="22">
        <f>IFERROR(VLOOKUP(Table2[[#This Row],[Country]],Table6[[Tool Name]:[MS Prevalence]],2,FALSE),999)</f>
        <v>0</v>
      </c>
      <c r="F180" s="6" t="str">
        <f>LEFT(Table2[[#This Row],[Country]],4)</f>
        <v>Tong</v>
      </c>
      <c r="G180" s="6" cm="1">
        <f t="array" ref="G180">SUMPRODUCT(--(Table2[[#This Row],[Country]]=Input!$B$39:$C$58))+SUMPRODUCT(--(Table2[[#This Row],[Country]]=Table3[Tool Name]),--(Table3[Selected]&gt;0))</f>
        <v>0</v>
      </c>
      <c r="H180" s="6" t="b">
        <f>IFERROR(MATCH(Table2[[#This Row],[Country]],GSI!F:F,0)&gt;0,FALSE)</f>
        <v>0</v>
      </c>
      <c r="M180" s="120" t="s">
        <v>254</v>
      </c>
      <c r="N180" s="11" t="s">
        <v>254</v>
      </c>
      <c r="O180" s="11" t="s">
        <v>374</v>
      </c>
    </row>
    <row r="181" spans="2:43" x14ac:dyDescent="0.35">
      <c r="B181" s="120" t="s">
        <v>462</v>
      </c>
      <c r="C181">
        <f>IF(B181="","",IFERROR(IFERROR(IFERROR(VLOOKUP(B181,Table6[[Tool Name]:[MS Prevalence]],2,FALSE),VLOOKUP(B181,Table3[[Typed Name]:[MS Prevalence]],3,FALSE)),VLOOKUP(B181,Table4[[Country]:[Estimated prevalence of modern slavery per 1,000 population]],2,FALSE)),0))</f>
        <v>15.64948081970215</v>
      </c>
      <c r="D181" s="20" t="s">
        <v>460</v>
      </c>
      <c r="E181" s="22">
        <f>IFERROR(VLOOKUP(Table2[[#This Row],[Country]],Table6[[Tool Name]:[MS Prevalence]],2,FALSE),999)</f>
        <v>4.7318248748779297</v>
      </c>
      <c r="F181" s="6" t="str">
        <f>LEFT(Table2[[#This Row],[Country]],4)</f>
        <v>Trin</v>
      </c>
      <c r="G181" s="6" cm="1">
        <f t="array" ref="G181">SUMPRODUCT(--(Table2[[#This Row],[Country]]=Input!$B$39:$C$58))+SUMPRODUCT(--(Table2[[#This Row],[Country]]=Table3[Tool Name]),--(Table3[Selected]&gt;0))</f>
        <v>0</v>
      </c>
      <c r="H181" s="6" t="b">
        <f>IFERROR(MATCH(Table2[[#This Row],[Country]],GSI!F:F,0)&gt;0,FALSE)</f>
        <v>0</v>
      </c>
      <c r="M181" s="120" t="s">
        <v>254</v>
      </c>
      <c r="N181" s="12" t="s">
        <v>254</v>
      </c>
      <c r="O181" s="12" t="s">
        <v>135</v>
      </c>
    </row>
    <row r="182" spans="2:43" x14ac:dyDescent="0.35">
      <c r="B182" s="120" t="s">
        <v>463</v>
      </c>
      <c r="C182">
        <f>IF(B182="","",IFERROR(IFERROR(IFERROR(VLOOKUP(B182,Table6[[Tool Name]:[MS Prevalence]],2,FALSE),VLOOKUP(B182,Table3[[Typed Name]:[MS Prevalence]],3,FALSE)),VLOOKUP(B182,Table4[[Country]:[Estimated prevalence of modern slavery per 1,000 population]],2,FALSE)),0))</f>
        <v>11.875362396240231</v>
      </c>
      <c r="D182" s="20" t="s">
        <v>461</v>
      </c>
      <c r="E182" s="22">
        <f>IFERROR(VLOOKUP(Table2[[#This Row],[Country]],Table6[[Tool Name]:[MS Prevalence]],2,FALSE),999)</f>
        <v>2.3166627883911128</v>
      </c>
      <c r="F182" s="6" t="str">
        <f>LEFT(Table2[[#This Row],[Country]],4)</f>
        <v>Tuni</v>
      </c>
      <c r="G182" s="6" cm="1">
        <f t="array" ref="G182">SUMPRODUCT(--(Table2[[#This Row],[Country]]=Input!$B$39:$C$58))+SUMPRODUCT(--(Table2[[#This Row],[Country]]=Table3[Tool Name]),--(Table3[Selected]&gt;0))</f>
        <v>0</v>
      </c>
      <c r="H182" s="6" t="b">
        <f>IFERROR(MATCH(Table2[[#This Row],[Country]],GSI!F:F,0)&gt;0,FALSE)</f>
        <v>0</v>
      </c>
      <c r="M182" s="120" t="s">
        <v>254</v>
      </c>
      <c r="N182" s="12" t="s">
        <v>254</v>
      </c>
      <c r="O182" s="12" t="s">
        <v>145</v>
      </c>
    </row>
    <row r="183" spans="2:43" x14ac:dyDescent="0.35">
      <c r="B183" s="120" t="s">
        <v>464</v>
      </c>
      <c r="C183">
        <f>IF(B183="","",IFERROR(IFERROR(IFERROR(VLOOKUP(B183,Table6[[Tool Name]:[MS Prevalence]],2,FALSE),VLOOKUP(B183,Table3[[Typed Name]:[MS Prevalence]],3,FALSE)),VLOOKUP(B183,Table4[[Country]:[Estimated prevalence of modern slavery per 1,000 population]],2,FALSE)),0))</f>
        <v>0</v>
      </c>
      <c r="D183" s="20" t="s">
        <v>462</v>
      </c>
      <c r="E183" s="22">
        <f>IFERROR(VLOOKUP(Table2[[#This Row],[Country]],Table6[[Tool Name]:[MS Prevalence]],2,FALSE),999)</f>
        <v>15.64948081970215</v>
      </c>
      <c r="F183" s="6" t="str">
        <f>LEFT(Table2[[#This Row],[Country]],4)</f>
        <v>Turk</v>
      </c>
      <c r="G183" s="6" cm="1">
        <f t="array" ref="G183">SUMPRODUCT(--(Table2[[#This Row],[Country]]=Input!$B$39:$C$58))+SUMPRODUCT(--(Table2[[#This Row],[Country]]=Table3[Tool Name]),--(Table3[Selected]&gt;0))</f>
        <v>0</v>
      </c>
      <c r="H183" s="6" t="b">
        <f>IFERROR(MATCH(Table2[[#This Row],[Country]],GSI!F:F,0)&gt;0,FALSE)</f>
        <v>0</v>
      </c>
      <c r="M183" s="120" t="s">
        <v>261</v>
      </c>
      <c r="N183" s="11" t="s">
        <v>261</v>
      </c>
      <c r="O183" s="11" t="s">
        <v>96</v>
      </c>
    </row>
    <row r="184" spans="2:43" x14ac:dyDescent="0.35">
      <c r="B184" s="120" t="s">
        <v>465</v>
      </c>
      <c r="C184">
        <f>IF(B184="","",IFERROR(IFERROR(IFERROR(VLOOKUP(B184,Table6[[Tool Name]:[MS Prevalence]],2,FALSE),VLOOKUP(B184,Table3[[Typed Name]:[MS Prevalence]],3,FALSE)),VLOOKUP(B184,Table4[[Country]:[Estimated prevalence of modern slavery per 1,000 population]],2,FALSE)),0))</f>
        <v>4.1515140533447266</v>
      </c>
      <c r="D184" s="20" t="s">
        <v>463</v>
      </c>
      <c r="E184" s="22">
        <f>IFERROR(VLOOKUP(Table2[[#This Row],[Country]],Table6[[Tool Name]:[MS Prevalence]],2,FALSE),999)</f>
        <v>11.875362396240231</v>
      </c>
      <c r="F184" s="6" t="str">
        <f>LEFT(Table2[[#This Row],[Country]],4)</f>
        <v>Turk</v>
      </c>
      <c r="G184" s="6" cm="1">
        <f t="array" ref="G184">SUMPRODUCT(--(Table2[[#This Row],[Country]]=Input!$B$39:$C$58))+SUMPRODUCT(--(Table2[[#This Row],[Country]]=Table3[Tool Name]),--(Table3[Selected]&gt;0))</f>
        <v>0</v>
      </c>
      <c r="H184" s="6" t="b">
        <f>IFERROR(MATCH(Table2[[#This Row],[Country]],GSI!F:F,0)&gt;0,FALSE)</f>
        <v>0</v>
      </c>
      <c r="M184" s="120" t="s">
        <v>263</v>
      </c>
      <c r="N184" s="11" t="s">
        <v>263</v>
      </c>
      <c r="O184" s="11" t="s">
        <v>102</v>
      </c>
    </row>
    <row r="185" spans="2:43" x14ac:dyDescent="0.35">
      <c r="B185" s="120" t="s">
        <v>466</v>
      </c>
      <c r="C185">
        <f>IF(B185="","",IFERROR(IFERROR(IFERROR(VLOOKUP(B185,Table6[[Tool Name]:[MS Prevalence]],2,FALSE),VLOOKUP(B185,Table3[[Typed Name]:[MS Prevalence]],3,FALSE)),VLOOKUP(B185,Table4[[Country]:[Estimated prevalence of modern slavery per 1,000 population]],2,FALSE)),0))</f>
        <v>12.793187141418461</v>
      </c>
      <c r="D185" s="20" t="s">
        <v>464</v>
      </c>
      <c r="E185" s="22">
        <f>IFERROR(VLOOKUP(Table2[[#This Row],[Country]],Table6[[Tool Name]:[MS Prevalence]],2,FALSE),999)</f>
        <v>0</v>
      </c>
      <c r="F185" s="6" t="str">
        <f>LEFT(Table2[[#This Row],[Country]],4)</f>
        <v>Tuva</v>
      </c>
      <c r="G185" s="6" cm="1">
        <f t="array" ref="G185">SUMPRODUCT(--(Table2[[#This Row],[Country]]=Input!$B$39:$C$58))+SUMPRODUCT(--(Table2[[#This Row],[Country]]=Table3[Tool Name]),--(Table3[Selected]&gt;0))</f>
        <v>0</v>
      </c>
      <c r="H185" s="6" t="b">
        <f>IFERROR(MATCH(Table2[[#This Row],[Country]],GSI!F:F,0)&gt;0,FALSE)</f>
        <v>0</v>
      </c>
      <c r="M185" s="120" t="s">
        <v>263</v>
      </c>
      <c r="N185" s="11" t="s">
        <v>263</v>
      </c>
      <c r="O185" s="11" t="s">
        <v>240</v>
      </c>
    </row>
    <row r="186" spans="2:43" x14ac:dyDescent="0.35">
      <c r="B186" s="120" t="s">
        <v>467</v>
      </c>
      <c r="C186">
        <f>IF(B186="","",IFERROR(IFERROR(IFERROR(VLOOKUP(B186,Table6[[Tool Name]:[MS Prevalence]],2,FALSE),VLOOKUP(B186,Table3[[Typed Name]:[MS Prevalence]],3,FALSE)),VLOOKUP(B186,Table4[[Country]:[Estimated prevalence of modern slavery per 1,000 population]],2,FALSE)),0))</f>
        <v>13.366727923696081</v>
      </c>
      <c r="D186" s="20" t="s">
        <v>465</v>
      </c>
      <c r="E186" s="22">
        <f>IFERROR(VLOOKUP(Table2[[#This Row],[Country]],Table6[[Tool Name]:[MS Prevalence]],2,FALSE),999)</f>
        <v>4.1515140533447266</v>
      </c>
      <c r="F186" s="6" t="str">
        <f>LEFT(Table2[[#This Row],[Country]],4)</f>
        <v>Ugan</v>
      </c>
      <c r="G186" s="6" cm="1">
        <f t="array" ref="G186">SUMPRODUCT(--(Table2[[#This Row],[Country]]=Input!$B$39:$C$58))+SUMPRODUCT(--(Table2[[#This Row],[Country]]=Table3[Tool Name]),--(Table3[Selected]&gt;0))</f>
        <v>0</v>
      </c>
      <c r="H186" s="6" t="b">
        <f>IFERROR(MATCH(Table2[[#This Row],[Country]],GSI!F:F,0)&gt;0,FALSE)</f>
        <v>0</v>
      </c>
      <c r="M186" s="120" t="s">
        <v>263</v>
      </c>
      <c r="N186" s="11" t="s">
        <v>263</v>
      </c>
      <c r="O186" s="11" t="s">
        <v>289</v>
      </c>
    </row>
    <row r="187" spans="2:43" x14ac:dyDescent="0.35">
      <c r="B187" s="120" t="s">
        <v>468</v>
      </c>
      <c r="C187">
        <f>IF(B187="","",IFERROR(IFERROR(IFERROR(VLOOKUP(B187,Table6[[Tool Name]:[MS Prevalence]],2,FALSE),VLOOKUP(B187,Table3[[Typed Name]:[MS Prevalence]],3,FALSE)),VLOOKUP(B187,Table4[[Country]:[Estimated prevalence of modern slavery per 1,000 population]],2,FALSE)),0))</f>
        <v>1.803719639778137</v>
      </c>
      <c r="D187" s="20" t="s">
        <v>466</v>
      </c>
      <c r="E187" s="22">
        <f>IFERROR(VLOOKUP(Table2[[#This Row],[Country]],Table6[[Tool Name]:[MS Prevalence]],2,FALSE),999)</f>
        <v>12.793187141418461</v>
      </c>
      <c r="F187" s="6" t="str">
        <f>LEFT(Table2[[#This Row],[Country]],4)</f>
        <v>Ukra</v>
      </c>
      <c r="G187" s="6" cm="1">
        <f t="array" ref="G187">SUMPRODUCT(--(Table2[[#This Row],[Country]]=Input!$B$39:$C$58))+SUMPRODUCT(--(Table2[[#This Row],[Country]]=Table3[Tool Name]),--(Table3[Selected]&gt;0))</f>
        <v>0</v>
      </c>
      <c r="H187" s="6" t="b">
        <f>IFERROR(MATCH(Table2[[#This Row],[Country]],GSI!F:F,0)&gt;0,FALSE)</f>
        <v>0</v>
      </c>
      <c r="M187" s="120" t="s">
        <v>263</v>
      </c>
      <c r="N187" s="11" t="s">
        <v>263</v>
      </c>
      <c r="O187" s="11" t="s">
        <v>345</v>
      </c>
    </row>
    <row r="188" spans="2:43" x14ac:dyDescent="0.35">
      <c r="B188" s="120" t="s">
        <v>469</v>
      </c>
      <c r="C188">
        <f>IF(B188="","",IFERROR(IFERROR(IFERROR(VLOOKUP(B188,Table6[[Tool Name]:[MS Prevalence]],2,FALSE),VLOOKUP(B188,Table3[[Typed Name]:[MS Prevalence]],3,FALSE)),VLOOKUP(B188,Table4[[Country]:[Estimated prevalence of modern slavery per 1,000 population]],2,FALSE)),0))</f>
        <v>3.29526686668396</v>
      </c>
      <c r="D188" s="20" t="s">
        <v>467</v>
      </c>
      <c r="E188" s="22">
        <f>IFERROR(VLOOKUP(Table2[[#This Row],[Country]],Table6[[Tool Name]:[MS Prevalence]],2,FALSE),999)</f>
        <v>13.366727923696081</v>
      </c>
      <c r="F188" s="6" t="str">
        <f>LEFT(Table2[[#This Row],[Country]],4)</f>
        <v>Unit</v>
      </c>
      <c r="G188" s="6" cm="1">
        <f t="array" ref="G188">SUMPRODUCT(--(Table2[[#This Row],[Country]]=Input!$B$39:$C$58))+SUMPRODUCT(--(Table2[[#This Row],[Country]]=Table3[Tool Name]),--(Table3[Selected]&gt;0))</f>
        <v>0</v>
      </c>
      <c r="H188" s="6" t="b">
        <f>IFERROR(MATCH(Table2[[#This Row],[Country]],GSI!F:F,0)&gt;0,FALSE)</f>
        <v>0</v>
      </c>
      <c r="M188" s="120" t="s">
        <v>150</v>
      </c>
      <c r="N188" s="11" t="s">
        <v>150</v>
      </c>
      <c r="O188" s="11" t="s">
        <v>96</v>
      </c>
    </row>
    <row r="189" spans="2:43" x14ac:dyDescent="0.35">
      <c r="B189" s="120" t="s">
        <v>470</v>
      </c>
      <c r="C189">
        <f>IF(B189="","",IFERROR(IFERROR(IFERROR(VLOOKUP(B189,Table6[[Tool Name]:[MS Prevalence]],2,FALSE),VLOOKUP(B189,Table3[[Typed Name]:[MS Prevalence]],3,FALSE)),VLOOKUP(B189,Table4[[Country]:[Estimated prevalence of modern slavery per 1,000 population]],2,FALSE)),0))</f>
        <v>1.888077855110168</v>
      </c>
      <c r="D189" s="20" t="s">
        <v>468</v>
      </c>
      <c r="E189" s="22">
        <f>IFERROR(VLOOKUP(Table2[[#This Row],[Country]],Table6[[Tool Name]:[MS Prevalence]],2,FALSE),999)</f>
        <v>1.803719639778137</v>
      </c>
      <c r="F189" s="6" t="str">
        <f>LEFT(Table2[[#This Row],[Country]],4)</f>
        <v>Unit</v>
      </c>
      <c r="G189" s="6" cm="1">
        <f t="array" ref="G189">SUMPRODUCT(--(Table2[[#This Row],[Country]]=Input!$B$39:$C$58))+SUMPRODUCT(--(Table2[[#This Row],[Country]]=Table3[Tool Name]),--(Table3[Selected]&gt;0))</f>
        <v>0</v>
      </c>
      <c r="H189" s="6" t="b">
        <f>IFERROR(MATCH(Table2[[#This Row],[Country]],GSI!F:F,0)&gt;0,FALSE)</f>
        <v>0</v>
      </c>
      <c r="M189" s="120" t="s">
        <v>150</v>
      </c>
      <c r="N189" s="11" t="s">
        <v>150</v>
      </c>
      <c r="O189" s="11" t="s">
        <v>118</v>
      </c>
    </row>
    <row r="190" spans="2:43" x14ac:dyDescent="0.35">
      <c r="B190" s="120" t="s">
        <v>471</v>
      </c>
      <c r="C190">
        <f>IF(B190="","",IFERROR(IFERROR(IFERROR(VLOOKUP(B190,Table6[[Tool Name]:[MS Prevalence]],2,FALSE),VLOOKUP(B190,Table3[[Typed Name]:[MS Prevalence]],3,FALSE)),VLOOKUP(B190,Table4[[Country]:[Estimated prevalence of modern slavery per 1,000 population]],2,FALSE)),0))</f>
        <v>7.4401578903198242</v>
      </c>
      <c r="D190" s="20" t="s">
        <v>469</v>
      </c>
      <c r="E190" s="22">
        <f>IFERROR(VLOOKUP(Table2[[#This Row],[Country]],Table6[[Tool Name]:[MS Prevalence]],2,FALSE),999)</f>
        <v>3.29526686668396</v>
      </c>
      <c r="F190" s="6" t="str">
        <f>LEFT(Table2[[#This Row],[Country]],4)</f>
        <v>Unit</v>
      </c>
      <c r="G190" s="6" cm="1">
        <f t="array" ref="G190">SUMPRODUCT(--(Table2[[#This Row],[Country]]=Input!$B$39:$C$58))+SUMPRODUCT(--(Table2[[#This Row],[Country]]=Table3[Tool Name]),--(Table3[Selected]&gt;0))</f>
        <v>0</v>
      </c>
      <c r="H190" s="6" t="b">
        <f>IFERROR(MATCH(Table2[[#This Row],[Country]],GSI!F:F,0)&gt;0,FALSE)</f>
        <v>0</v>
      </c>
      <c r="M190" s="120" t="s">
        <v>150</v>
      </c>
      <c r="N190" s="11" t="s">
        <v>150</v>
      </c>
      <c r="O190" s="11" t="s">
        <v>107</v>
      </c>
    </row>
    <row r="191" spans="2:43" x14ac:dyDescent="0.35">
      <c r="B191" s="120" t="s">
        <v>472</v>
      </c>
      <c r="C191">
        <f>IF(B191="","",IFERROR(IFERROR(IFERROR(VLOOKUP(B191,Table6[[Tool Name]:[MS Prevalence]],2,FALSE),VLOOKUP(B191,Table3[[Typed Name]:[MS Prevalence]],3,FALSE)),VLOOKUP(B191,Table4[[Country]:[Estimated prevalence of modern slavery per 1,000 population]],2,FALSE)),0))</f>
        <v>0</v>
      </c>
      <c r="D191" s="20" t="s">
        <v>470</v>
      </c>
      <c r="E191" s="22">
        <f>IFERROR(VLOOKUP(Table2[[#This Row],[Country]],Table6[[Tool Name]:[MS Prevalence]],2,FALSE),999)</f>
        <v>1.888077855110168</v>
      </c>
      <c r="F191" s="6" t="str">
        <f>LEFT(Table2[[#This Row],[Country]],4)</f>
        <v>Urug</v>
      </c>
      <c r="G191" s="6" cm="1">
        <f t="array" ref="G191">SUMPRODUCT(--(Table2[[#This Row],[Country]]=Input!$B$39:$C$58))+SUMPRODUCT(--(Table2[[#This Row],[Country]]=Table3[Tool Name]),--(Table3[Selected]&gt;0))</f>
        <v>0</v>
      </c>
      <c r="H191" s="6" t="b">
        <f>IFERROR(MATCH(Table2[[#This Row],[Country]],GSI!F:F,0)&gt;0,FALSE)</f>
        <v>0</v>
      </c>
      <c r="M191" s="120" t="s">
        <v>150</v>
      </c>
      <c r="N191" s="11" t="s">
        <v>150</v>
      </c>
      <c r="O191" s="11" t="s">
        <v>240</v>
      </c>
    </row>
    <row r="192" spans="2:43" x14ac:dyDescent="0.35">
      <c r="B192" s="120" t="s">
        <v>473</v>
      </c>
      <c r="C192">
        <f>IF(B192="","",IFERROR(IFERROR(IFERROR(VLOOKUP(B192,Table6[[Tool Name]:[MS Prevalence]],2,FALSE),VLOOKUP(B192,Table3[[Typed Name]:[MS Prevalence]],3,FALSE)),VLOOKUP(B192,Table4[[Country]:[Estimated prevalence of modern slavery per 1,000 population]],2,FALSE)),0))</f>
        <v>0</v>
      </c>
      <c r="D192" s="20" t="s">
        <v>471</v>
      </c>
      <c r="E192" s="22">
        <f>IFERROR(VLOOKUP(Table2[[#This Row],[Country]],Table6[[Tool Name]:[MS Prevalence]],2,FALSE),999)</f>
        <v>7.4401578903198242</v>
      </c>
      <c r="F192" s="6" t="str">
        <f>LEFT(Table2[[#This Row],[Country]],4)</f>
        <v>Uzbe</v>
      </c>
      <c r="G192" s="6" cm="1">
        <f t="array" ref="G192">SUMPRODUCT(--(Table2[[#This Row],[Country]]=Input!$B$39:$C$58))+SUMPRODUCT(--(Table2[[#This Row],[Country]]=Table3[Tool Name]),--(Table3[Selected]&gt;0))</f>
        <v>0</v>
      </c>
      <c r="H192" s="6" t="b">
        <f>IFERROR(MATCH(Table2[[#This Row],[Country]],GSI!F:F,0)&gt;0,FALSE)</f>
        <v>0</v>
      </c>
      <c r="M192" s="120" t="s">
        <v>150</v>
      </c>
      <c r="N192" s="11" t="s">
        <v>150</v>
      </c>
      <c r="O192" s="11" t="s">
        <v>262</v>
      </c>
    </row>
    <row r="193" spans="2:15" x14ac:dyDescent="0.35">
      <c r="B193" s="120" t="s">
        <v>474</v>
      </c>
      <c r="C193">
        <f>IF(B193="","",IFERROR(IFERROR(IFERROR(VLOOKUP(B193,Table6[[Tool Name]:[MS Prevalence]],2,FALSE),VLOOKUP(B193,Table3[[Typed Name]:[MS Prevalence]],3,FALSE)),VLOOKUP(B193,Table4[[Country]:[Estimated prevalence of modern slavery per 1,000 population]],2,FALSE)),0))</f>
        <v>9.4823274612426758</v>
      </c>
      <c r="D193" s="20" t="s">
        <v>472</v>
      </c>
      <c r="E193" s="22">
        <f>IFERROR(VLOOKUP(Table2[[#This Row],[Country]],Table6[[Tool Name]:[MS Prevalence]],2,FALSE),999)</f>
        <v>0</v>
      </c>
      <c r="F193" s="6" t="str">
        <f>LEFT(Table2[[#This Row],[Country]],4)</f>
        <v>Vanu</v>
      </c>
      <c r="G193" s="6" cm="1">
        <f t="array" ref="G193">SUMPRODUCT(--(Table2[[#This Row],[Country]]=Input!$B$39:$C$58))+SUMPRODUCT(--(Table2[[#This Row],[Country]]=Table3[Tool Name]),--(Table3[Selected]&gt;0))</f>
        <v>0</v>
      </c>
      <c r="H193" s="6" t="b">
        <f>IFERROR(MATCH(Table2[[#This Row],[Country]],GSI!F:F,0)&gt;0,FALSE)</f>
        <v>0</v>
      </c>
      <c r="M193" s="120" t="s">
        <v>150</v>
      </c>
      <c r="N193" s="11" t="s">
        <v>150</v>
      </c>
      <c r="O193" s="11" t="s">
        <v>214</v>
      </c>
    </row>
    <row r="194" spans="2:15" x14ac:dyDescent="0.35">
      <c r="B194" s="120" t="s">
        <v>475</v>
      </c>
      <c r="C194">
        <f>IF(B194="","",IFERROR(IFERROR(IFERROR(VLOOKUP(B194,Table6[[Tool Name]:[MS Prevalence]],2,FALSE),VLOOKUP(B194,Table3[[Typed Name]:[MS Prevalence]],3,FALSE)),VLOOKUP(B194,Table4[[Country]:[Estimated prevalence of modern slavery per 1,000 population]],2,FALSE)),0))</f>
        <v>4.0675201416015634</v>
      </c>
      <c r="D194" s="20" t="s">
        <v>473</v>
      </c>
      <c r="E194" s="22">
        <f>IFERROR(VLOOKUP(Table2[[#This Row],[Country]],Table6[[Tool Name]:[MS Prevalence]],2,FALSE),999)</f>
        <v>0</v>
      </c>
      <c r="F194" s="6" t="str">
        <f>LEFT(Table2[[#This Row],[Country]],4)</f>
        <v>Vati</v>
      </c>
      <c r="G194" s="6" cm="1">
        <f t="array" ref="G194">SUMPRODUCT(--(Table2[[#This Row],[Country]]=Input!$B$39:$C$58))+SUMPRODUCT(--(Table2[[#This Row],[Country]]=Table3[Tool Name]),--(Table3[Selected]&gt;0))</f>
        <v>0</v>
      </c>
      <c r="H194" s="6" t="b">
        <f>IFERROR(MATCH(Table2[[#This Row],[Country]],GSI!F:F,0)&gt;0,FALSE)</f>
        <v>0</v>
      </c>
      <c r="M194" s="120" t="s">
        <v>150</v>
      </c>
      <c r="N194" s="11" t="s">
        <v>150</v>
      </c>
      <c r="O194" s="11" t="s">
        <v>149</v>
      </c>
    </row>
    <row r="195" spans="2:15" x14ac:dyDescent="0.35">
      <c r="B195" s="120" t="s">
        <v>476</v>
      </c>
      <c r="C195">
        <f>IF(B195="","",IFERROR(IFERROR(IFERROR(VLOOKUP(B195,Table6[[Tool Name]:[MS Prevalence]],2,FALSE),VLOOKUP(B195,Table3[[Typed Name]:[MS Prevalence]],3,FALSE)),VLOOKUP(B195,Table4[[Country]:[Estimated prevalence of modern slavery per 1,000 population]],2,FALSE)),0))</f>
        <v>6.0494505964133269</v>
      </c>
      <c r="D195" s="20" t="s">
        <v>474</v>
      </c>
      <c r="E195" s="22">
        <f>IFERROR(VLOOKUP(Table2[[#This Row],[Country]],Table6[[Tool Name]:[MS Prevalence]],2,FALSE),999)</f>
        <v>9.4823274612426758</v>
      </c>
      <c r="F195" s="6" t="str">
        <f>LEFT(Table2[[#This Row],[Country]],4)</f>
        <v>Vene</v>
      </c>
      <c r="G195" s="6" cm="1">
        <f t="array" ref="G195">SUMPRODUCT(--(Table2[[#This Row],[Country]]=Input!$B$39:$C$58))+SUMPRODUCT(--(Table2[[#This Row],[Country]]=Table3[Tool Name]),--(Table3[Selected]&gt;0))</f>
        <v>0</v>
      </c>
      <c r="H195" s="6" t="b">
        <f>IFERROR(MATCH(Table2[[#This Row],[Country]],GSI!F:F,0)&gt;0,FALSE)</f>
        <v>0</v>
      </c>
      <c r="M195" s="120" t="s">
        <v>285</v>
      </c>
      <c r="N195" s="11" t="s">
        <v>285</v>
      </c>
      <c r="O195" s="11" t="s">
        <v>187</v>
      </c>
    </row>
    <row r="196" spans="2:15" x14ac:dyDescent="0.35">
      <c r="B196" s="120" t="s">
        <v>477</v>
      </c>
      <c r="C196">
        <f>IF(B196="","",IFERROR(IFERROR(IFERROR(VLOOKUP(B196,Table6[[Tool Name]:[MS Prevalence]],2,FALSE),VLOOKUP(B196,Table3[[Typed Name]:[MS Prevalence]],3,FALSE)),VLOOKUP(B196,Table4[[Country]:[Estimated prevalence of modern slavery per 1,000 population]],2,FALSE)),0))</f>
        <v>5.0929903984069824</v>
      </c>
      <c r="D196" s="20" t="s">
        <v>475</v>
      </c>
      <c r="E196" s="22">
        <f>IFERROR(VLOOKUP(Table2[[#This Row],[Country]],Table6[[Tool Name]:[MS Prevalence]],2,FALSE),999)</f>
        <v>4.0675201416015634</v>
      </c>
      <c r="F196" s="6" t="str">
        <f>LEFT(Table2[[#This Row],[Country]],4)</f>
        <v>Viet</v>
      </c>
      <c r="G196" s="6" cm="1">
        <f t="array" ref="G196">SUMPRODUCT(--(Table2[[#This Row],[Country]]=Input!$B$39:$C$58))+SUMPRODUCT(--(Table2[[#This Row],[Country]]=Table3[Tool Name]),--(Table3[Selected]&gt;0))</f>
        <v>0</v>
      </c>
      <c r="H196" s="6" t="b">
        <f>IFERROR(MATCH(Table2[[#This Row],[Country]],GSI!F:F,0)&gt;0,FALSE)</f>
        <v>0</v>
      </c>
      <c r="M196" s="120" t="s">
        <v>285</v>
      </c>
      <c r="N196" s="11" t="s">
        <v>285</v>
      </c>
      <c r="O196" s="11" t="s">
        <v>272</v>
      </c>
    </row>
    <row r="197" spans="2:15" x14ac:dyDescent="0.35">
      <c r="B197" s="120" t="s">
        <v>478</v>
      </c>
      <c r="C197">
        <f>IF(B197="","",IFERROR(IFERROR(IFERROR(VLOOKUP(B197,Table6[[Tool Name]:[MS Prevalence]],2,FALSE),VLOOKUP(B197,Table3[[Typed Name]:[MS Prevalence]],3,FALSE)),VLOOKUP(B197,Table4[[Country]:[Estimated prevalence of modern slavery per 1,000 population]],2,FALSE)),0))</f>
        <v>4.9811038970947266</v>
      </c>
      <c r="D197" s="20" t="s">
        <v>476</v>
      </c>
      <c r="E197" s="22">
        <f>IFERROR(VLOOKUP(Table2[[#This Row],[Country]],Table6[[Tool Name]:[MS Prevalence]],2,FALSE),999)</f>
        <v>6.0494505964133269</v>
      </c>
      <c r="F197" s="6" t="str">
        <f>LEFT(Table2[[#This Row],[Country]],4)</f>
        <v>Yeme</v>
      </c>
      <c r="G197" s="6" cm="1">
        <f t="array" ref="G197">SUMPRODUCT(--(Table2[[#This Row],[Country]]=Input!$B$39:$C$58))+SUMPRODUCT(--(Table2[[#This Row],[Country]]=Table3[Tool Name]),--(Table3[Selected]&gt;0))</f>
        <v>0</v>
      </c>
      <c r="H197" s="6" t="b">
        <f>IFERROR(MATCH(Table2[[#This Row],[Country]],GSI!F:F,0)&gt;0,FALSE)</f>
        <v>0</v>
      </c>
      <c r="M197" s="120" t="s">
        <v>285</v>
      </c>
      <c r="N197" s="11" t="s">
        <v>285</v>
      </c>
      <c r="O197" s="11" t="s">
        <v>215</v>
      </c>
    </row>
    <row r="198" spans="2:15" x14ac:dyDescent="0.35">
      <c r="B198" s="120" t="s">
        <v>305</v>
      </c>
      <c r="C198">
        <f>IF(B198="","",IFERROR(IFERROR(IFERROR(VLOOKUP(B198,Table6[[Tool Name]:[MS Prevalence]],2,FALSE),VLOOKUP(B198,Table3[[Typed Name]:[MS Prevalence]],3,FALSE)),VLOOKUP(B198,Table4[[Country]:[Estimated prevalence of modern slavery per 1,000 population]],2,FALSE)),0))</f>
        <v>12.079667091369631</v>
      </c>
      <c r="D198" s="20" t="s">
        <v>477</v>
      </c>
      <c r="E198" s="22">
        <f>IFERROR(VLOOKUP(Table2[[#This Row],[Country]],Table6[[Tool Name]:[MS Prevalence]],2,FALSE),999)</f>
        <v>5.0929903984069824</v>
      </c>
      <c r="F198" s="6" t="str">
        <f>LEFT(Table2[[#This Row],[Country]],4)</f>
        <v>Zamb</v>
      </c>
      <c r="G198" s="6" cm="1">
        <f t="array" ref="G198">SUMPRODUCT(--(Table2[[#This Row],[Country]]=Input!$B$39:$C$58))+SUMPRODUCT(--(Table2[[#This Row],[Country]]=Table3[Tool Name]),--(Table3[Selected]&gt;0))</f>
        <v>0</v>
      </c>
      <c r="H198" s="6" t="b">
        <f>IFERROR(MATCH(Table2[[#This Row],[Country]],GSI!F:F,0)&gt;0,FALSE)</f>
        <v>0</v>
      </c>
      <c r="M198" s="120" t="s">
        <v>285</v>
      </c>
      <c r="N198" s="11" t="s">
        <v>285</v>
      </c>
      <c r="O198" s="11" t="s">
        <v>374</v>
      </c>
    </row>
    <row r="199" spans="2:15" x14ac:dyDescent="0.35">
      <c r="B199" s="120" t="s">
        <v>509</v>
      </c>
      <c r="C199">
        <f>IF(B199="","",IFERROR(IFERROR(IFERROR(VLOOKUP(B199,Table6[[Tool Name]:[MS Prevalence]],2,FALSE),VLOOKUP(B199,Table3[[Typed Name]:[MS Prevalence]],3,FALSE)),VLOOKUP(B199,Table4[[Country]:[Estimated prevalence of modern slavery per 1,000 population]],2,FALSE)),0))</f>
        <v>15.64948081970215</v>
      </c>
      <c r="D199" s="20" t="s">
        <v>478</v>
      </c>
      <c r="E199" s="22">
        <f>IFERROR(VLOOKUP(Table2[[#This Row],[Country]],Table6[[Tool Name]:[MS Prevalence]],2,FALSE),999)</f>
        <v>4.9811038970947266</v>
      </c>
      <c r="F199" s="6" t="str">
        <f>LEFT(Table2[[#This Row],[Country]],4)</f>
        <v>Zimb</v>
      </c>
      <c r="G199" s="6" cm="1">
        <f t="array" ref="G199">SUMPRODUCT(--(Table2[[#This Row],[Country]]=Input!$B$39:$C$58))+SUMPRODUCT(--(Table2[[#This Row],[Country]]=Table3[Tool Name]),--(Table3[Selected]&gt;0))</f>
        <v>0</v>
      </c>
      <c r="H199" s="6" t="b">
        <f>IFERROR(MATCH(Table2[[#This Row],[Country]],GSI!F:F,0)&gt;0,FALSE)</f>
        <v>0</v>
      </c>
      <c r="M199" s="120" t="s">
        <v>285</v>
      </c>
      <c r="N199" s="11" t="s">
        <v>285</v>
      </c>
      <c r="O199" s="11" t="s">
        <v>377</v>
      </c>
    </row>
    <row r="200" spans="2:15" x14ac:dyDescent="0.35">
      <c r="B200" s="120" t="s">
        <v>511</v>
      </c>
      <c r="C200">
        <f>IF(B200="","",IFERROR(IFERROR(IFERROR(VLOOKUP(B200,Table6[[Tool Name]:[MS Prevalence]],2,FALSE),VLOOKUP(B200,Table3[[Typed Name]:[MS Prevalence]],3,FALSE)),VLOOKUP(B200,Table4[[Country]:[Estimated prevalence of modern slavery per 1,000 population]],2,FALSE)),0))</f>
        <v>4.5472292900085449</v>
      </c>
      <c r="M200" s="120" t="s">
        <v>285</v>
      </c>
      <c r="N200" s="11" t="s">
        <v>285</v>
      </c>
      <c r="O200" s="11" t="s">
        <v>145</v>
      </c>
    </row>
    <row r="201" spans="2:15" x14ac:dyDescent="0.35">
      <c r="B201" s="120" t="s">
        <v>513</v>
      </c>
      <c r="C201">
        <f>IF(B201="","",IFERROR(IFERROR(IFERROR(VLOOKUP(B201,Table6[[Tool Name]:[MS Prevalence]],2,FALSE),VLOOKUP(B201,Table3[[Typed Name]:[MS Prevalence]],3,FALSE)),VLOOKUP(B201,Table4[[Country]:[Estimated prevalence of modern slavery per 1,000 population]],2,FALSE)),0))</f>
        <v>7.990757942199707</v>
      </c>
      <c r="M201" s="120" t="s">
        <v>286</v>
      </c>
      <c r="N201" s="11" t="s">
        <v>286</v>
      </c>
      <c r="O201" s="11" t="s">
        <v>197</v>
      </c>
    </row>
    <row r="202" spans="2:15" x14ac:dyDescent="0.35">
      <c r="B202" s="120" t="s">
        <v>515</v>
      </c>
      <c r="C202">
        <f>IF(B202="","",IFERROR(IFERROR(IFERROR(VLOOKUP(B202,Table6[[Tool Name]:[MS Prevalence]],2,FALSE),VLOOKUP(B202,Table3[[Typed Name]:[MS Prevalence]],3,FALSE)),VLOOKUP(B202,Table4[[Country]:[Estimated prevalence of modern slavery per 1,000 population]],2,FALSE)),0))</f>
        <v>6.0507779121398926</v>
      </c>
      <c r="M202" s="120" t="s">
        <v>286</v>
      </c>
      <c r="N202" s="11" t="s">
        <v>286</v>
      </c>
      <c r="O202" s="11" t="s">
        <v>118</v>
      </c>
    </row>
    <row r="203" spans="2:15" x14ac:dyDescent="0.35">
      <c r="B203" s="120" t="s">
        <v>73</v>
      </c>
      <c r="C203">
        <f>IF(B203="","",IFERROR(IFERROR(IFERROR(VLOOKUP(B203,Table6[[Tool Name]:[MS Prevalence]],2,FALSE),VLOOKUP(B203,Table3[[Typed Name]:[MS Prevalence]],3,FALSE)),VLOOKUP(B203,Table4[[Country]:[Estimated prevalence of modern slavery per 1,000 population]],2,FALSE)),0))</f>
        <v>1.803719639778137</v>
      </c>
      <c r="M203" s="120" t="s">
        <v>286</v>
      </c>
      <c r="N203" s="11" t="s">
        <v>286</v>
      </c>
      <c r="O203" s="11" t="s">
        <v>272</v>
      </c>
    </row>
    <row r="204" spans="2:15" x14ac:dyDescent="0.35">
      <c r="B204" s="120" t="s">
        <v>518</v>
      </c>
      <c r="C204">
        <f>IF(B204="","",IFERROR(IFERROR(IFERROR(VLOOKUP(B204,Table6[[Tool Name]:[MS Prevalence]],2,FALSE),VLOOKUP(B204,Table3[[Typed Name]:[MS Prevalence]],3,FALSE)),VLOOKUP(B204,Table4[[Country]:[Estimated prevalence of modern slavery per 1,000 population]],2,FALSE)),0))</f>
        <v>1.803719639778137</v>
      </c>
      <c r="M204" s="120" t="s">
        <v>286</v>
      </c>
      <c r="N204" s="11" t="s">
        <v>286</v>
      </c>
      <c r="O204" s="11" t="s">
        <v>115</v>
      </c>
    </row>
    <row r="205" spans="2:15" x14ac:dyDescent="0.35">
      <c r="B205" s="120" t="s">
        <v>520</v>
      </c>
      <c r="C205">
        <f>IF(B205="","",IFERROR(IFERROR(IFERROR(VLOOKUP(B205,Table6[[Tool Name]:[MS Prevalence]],2,FALSE),VLOOKUP(B205,Table3[[Typed Name]:[MS Prevalence]],3,FALSE)),VLOOKUP(B205,Table4[[Country]:[Estimated prevalence of modern slavery per 1,000 population]],2,FALSE)),0))</f>
        <v>1.803719639778137</v>
      </c>
      <c r="M205" s="120" t="s">
        <v>286</v>
      </c>
      <c r="N205" s="11" t="s">
        <v>286</v>
      </c>
      <c r="O205" s="11" t="s">
        <v>240</v>
      </c>
    </row>
    <row r="206" spans="2:15" x14ac:dyDescent="0.35">
      <c r="B206" s="120" t="s">
        <v>522</v>
      </c>
      <c r="C206">
        <f>IF(B206="","",IFERROR(IFERROR(IFERROR(VLOOKUP(B206,Table6[[Tool Name]:[MS Prevalence]],2,FALSE),VLOOKUP(B206,Table3[[Typed Name]:[MS Prevalence]],3,FALSE)),VLOOKUP(B206,Table4[[Country]:[Estimated prevalence of modern slavery per 1,000 population]],2,FALSE)),0))</f>
        <v>1.803719639778137</v>
      </c>
      <c r="M206" s="120" t="s">
        <v>294</v>
      </c>
      <c r="N206" s="11" t="s">
        <v>294</v>
      </c>
      <c r="O206" s="11" t="s">
        <v>272</v>
      </c>
    </row>
    <row r="207" spans="2:15" x14ac:dyDescent="0.35">
      <c r="B207" s="120" t="s">
        <v>524</v>
      </c>
      <c r="C207">
        <f>IF(B207="","",IFERROR(IFERROR(IFERROR(VLOOKUP(B207,Table6[[Tool Name]:[MS Prevalence]],2,FALSE),VLOOKUP(B207,Table3[[Typed Name]:[MS Prevalence]],3,FALSE)),VLOOKUP(B207,Table4[[Country]:[Estimated prevalence of modern slavery per 1,000 population]],2,FALSE)),0))</f>
        <v>3.29526686668396</v>
      </c>
      <c r="M207" s="120" t="s">
        <v>294</v>
      </c>
      <c r="N207" s="11" t="s">
        <v>294</v>
      </c>
      <c r="O207" s="11" t="s">
        <v>121</v>
      </c>
    </row>
    <row r="208" spans="2:15" x14ac:dyDescent="0.35">
      <c r="B208" s="120" t="s">
        <v>526</v>
      </c>
      <c r="C208">
        <f>IF(B208="","",IFERROR(IFERROR(IFERROR(VLOOKUP(B208,Table6[[Tool Name]:[MS Prevalence]],2,FALSE),VLOOKUP(B208,Table3[[Typed Name]:[MS Prevalence]],3,FALSE)),VLOOKUP(B208,Table4[[Country]:[Estimated prevalence of modern slavery per 1,000 population]],2,FALSE)),0))</f>
        <v>3.29526686668396</v>
      </c>
      <c r="M208" s="120" t="s">
        <v>294</v>
      </c>
      <c r="N208" s="11" t="s">
        <v>294</v>
      </c>
      <c r="O208" s="11" t="s">
        <v>241</v>
      </c>
    </row>
    <row r="209" spans="2:15" x14ac:dyDescent="0.35">
      <c r="B209" s="120" t="s">
        <v>528</v>
      </c>
      <c r="C209">
        <f>IF(B209="","",IFERROR(IFERROR(IFERROR(VLOOKUP(B209,Table6[[Tool Name]:[MS Prevalence]],2,FALSE),VLOOKUP(B209,Table3[[Typed Name]:[MS Prevalence]],3,FALSE)),VLOOKUP(B209,Table4[[Country]:[Estimated prevalence of modern slavery per 1,000 population]],2,FALSE)),0))</f>
        <v>13.366727923696081</v>
      </c>
      <c r="M209" s="120" t="s">
        <v>302</v>
      </c>
      <c r="N209" s="11" t="s">
        <v>302</v>
      </c>
      <c r="O209" s="11" t="s">
        <v>170</v>
      </c>
    </row>
    <row r="210" spans="2:15" x14ac:dyDescent="0.35">
      <c r="B210" s="120" t="s">
        <v>530</v>
      </c>
      <c r="C210" t="str">
        <f>IF(B210="","",IFERROR(IFERROR(IFERROR(VLOOKUP(B210,Table6[[Tool Name]:[MS Prevalence]],2,FALSE),VLOOKUP(B210,Table3[[Typed Name]:[MS Prevalence]],3,FALSE)),VLOOKUP(B210,Table4[[Country]:[Estimated prevalence of modern slavery per 1,000 population]],2,FALSE)),0))</f>
        <v/>
      </c>
      <c r="D210" s="166" t="s">
        <v>652</v>
      </c>
      <c r="E210" s="166"/>
      <c r="F210" s="166"/>
      <c r="G210" s="166"/>
      <c r="H210" s="166"/>
      <c r="M210" s="120" t="s">
        <v>302</v>
      </c>
      <c r="N210" s="11" t="s">
        <v>302</v>
      </c>
      <c r="O210" s="11" t="s">
        <v>401</v>
      </c>
    </row>
    <row r="211" spans="2:15" ht="26.5" x14ac:dyDescent="0.35">
      <c r="B211" s="120" t="s">
        <v>530</v>
      </c>
      <c r="C211" t="str">
        <f>IF(B211="","",IFERROR(IFERROR(IFERROR(VLOOKUP(B211,Table6[[Tool Name]:[MS Prevalence]],2,FALSE),VLOOKUP(B211,Table3[[Typed Name]:[MS Prevalence]],3,FALSE)),VLOOKUP(B211,Table4[[Country]:[Estimated prevalence of modern slavery per 1,000 population]],2,FALSE)),0))</f>
        <v/>
      </c>
      <c r="D211" s="106" t="s">
        <v>77</v>
      </c>
      <c r="E211" s="107" t="s">
        <v>78</v>
      </c>
      <c r="F211" s="108" t="s">
        <v>79</v>
      </c>
      <c r="G211" s="108" t="s">
        <v>80</v>
      </c>
      <c r="H211" s="108" t="s">
        <v>651</v>
      </c>
      <c r="M211" s="120" t="s">
        <v>302</v>
      </c>
      <c r="N211" s="11" t="s">
        <v>302</v>
      </c>
      <c r="O211" s="11" t="s">
        <v>88</v>
      </c>
    </row>
    <row r="212" spans="2:15" x14ac:dyDescent="0.35">
      <c r="B212" s="120" t="s">
        <v>530</v>
      </c>
      <c r="C212" t="str">
        <f>IF(B212="","",IFERROR(IFERROR(IFERROR(VLOOKUP(B212,Table6[[Tool Name]:[MS Prevalence]],2,FALSE),VLOOKUP(B212,Table3[[Typed Name]:[MS Prevalence]],3,FALSE)),VLOOKUP(B212,Table4[[Country]:[Estimated prevalence of modern slavery per 1,000 population]],2,FALSE)),0))</f>
        <v/>
      </c>
      <c r="D212" s="105" t="s">
        <v>479</v>
      </c>
      <c r="E212" s="103">
        <f>IFERROR(VLOOKUP(Table2[[#This Row],[Country]],Table6[[Tool Name]:[MS Prevalence]],2,FALSE),999)</f>
        <v>999</v>
      </c>
      <c r="F212" s="104" t="str">
        <f>LEFT(Table4[[#This Row],[Country]],4)</f>
        <v>Othe</v>
      </c>
      <c r="G212" s="6" cm="1">
        <f t="array" ref="G212">SUMPRODUCT(--(Table4[[#This Row],[Country]]=Input!$B$39:$C$58))+SUMPRODUCT(--(Table4[[#This Row],[Country]]=Table3[Tool Name]),--(Table3[Selected]&gt;0))</f>
        <v>0</v>
      </c>
      <c r="H212" s="104" t="b">
        <v>0</v>
      </c>
      <c r="M212" s="120" t="s">
        <v>302</v>
      </c>
      <c r="N212" s="11" t="s">
        <v>302</v>
      </c>
      <c r="O212" s="11" t="s">
        <v>95</v>
      </c>
    </row>
    <row r="213" spans="2:15" x14ac:dyDescent="0.35">
      <c r="B213" s="120" t="s">
        <v>530</v>
      </c>
      <c r="C213" t="str">
        <f>IF(B213="","",IFERROR(IFERROR(IFERROR(VLOOKUP(B213,Table6[[Tool Name]:[MS Prevalence]],2,FALSE),VLOOKUP(B213,Table3[[Typed Name]:[MS Prevalence]],3,FALSE)),VLOOKUP(B213,Table4[[Country]:[Estimated prevalence of modern slavery per 1,000 population]],2,FALSE)),0))</f>
        <v/>
      </c>
      <c r="D213" s="116" t="s">
        <v>480</v>
      </c>
      <c r="E213" s="117">
        <f>IFERROR(VLOOKUP(Table2[[#This Row],[Country]],Table6[[Tool Name]:[MS Prevalence]],2,FALSE),999)</f>
        <v>999</v>
      </c>
      <c r="F213" s="118" t="str">
        <f>LEFT(Table4[[#This Row],[Country]],4)</f>
        <v>Don'</v>
      </c>
      <c r="G213" s="6" cm="1">
        <f t="array" ref="G213">SUMPRODUCT(--(Table4[[#This Row],[Country]]=Input!$B$39:$C$58))+SUMPRODUCT(--(Table4[[#This Row],[Country]]=Table3[Tool Name]),--(Table3[Selected]&gt;0))</f>
        <v>0</v>
      </c>
      <c r="H213" s="104" t="b">
        <v>0</v>
      </c>
      <c r="M213" s="120" t="s">
        <v>302</v>
      </c>
      <c r="N213" s="11" t="s">
        <v>302</v>
      </c>
      <c r="O213" s="11" t="s">
        <v>103</v>
      </c>
    </row>
    <row r="214" spans="2:15" x14ac:dyDescent="0.35">
      <c r="B214" s="120" t="s">
        <v>530</v>
      </c>
      <c r="C214" t="str">
        <f>IF(B214="","",IFERROR(IFERROR(IFERROR(VLOOKUP(B214,Table6[[Tool Name]:[MS Prevalence]],2,FALSE),VLOOKUP(B214,Table3[[Typed Name]:[MS Prevalence]],3,FALSE)),VLOOKUP(B214,Table4[[Country]:[Estimated prevalence of modern slavery per 1,000 population]],2,FALSE)),0))</f>
        <v/>
      </c>
      <c r="M214" s="120" t="s">
        <v>302</v>
      </c>
      <c r="N214" s="11" t="s">
        <v>302</v>
      </c>
      <c r="O214" s="11" t="s">
        <v>295</v>
      </c>
    </row>
    <row r="215" spans="2:15" x14ac:dyDescent="0.35">
      <c r="B215" s="120" t="s">
        <v>530</v>
      </c>
      <c r="C215" t="str">
        <f>IF(B215="","",IFERROR(IFERROR(IFERROR(VLOOKUP(B215,Table6[[Tool Name]:[MS Prevalence]],2,FALSE),VLOOKUP(B215,Table3[[Typed Name]:[MS Prevalence]],3,FALSE)),VLOOKUP(B215,Table4[[Country]:[Estimated prevalence of modern slavery per 1,000 population]],2,FALSE)),0))</f>
        <v/>
      </c>
      <c r="M215" s="120" t="s">
        <v>302</v>
      </c>
      <c r="N215" s="11" t="s">
        <v>302</v>
      </c>
      <c r="O215" s="11" t="s">
        <v>316</v>
      </c>
    </row>
    <row r="216" spans="2:15" x14ac:dyDescent="0.35">
      <c r="B216" s="120" t="s">
        <v>530</v>
      </c>
      <c r="C216" t="str">
        <f>IF(B216="","",IFERROR(IFERROR(IFERROR(VLOOKUP(B216,Table6[[Tool Name]:[MS Prevalence]],2,FALSE),VLOOKUP(B216,Table3[[Typed Name]:[MS Prevalence]],3,FALSE)),VLOOKUP(B216,Table4[[Country]:[Estimated prevalence of modern slavery per 1,000 population]],2,FALSE)),0))</f>
        <v/>
      </c>
      <c r="M216" s="120" t="s">
        <v>302</v>
      </c>
      <c r="N216" s="11" t="s">
        <v>302</v>
      </c>
      <c r="O216" s="11" t="s">
        <v>374</v>
      </c>
    </row>
    <row r="217" spans="2:15" x14ac:dyDescent="0.35">
      <c r="B217" s="120" t="s">
        <v>530</v>
      </c>
      <c r="C217" t="str">
        <f>IF(B217="","",IFERROR(IFERROR(IFERROR(VLOOKUP(B217,Table6[[Tool Name]:[MS Prevalence]],2,FALSE),VLOOKUP(B217,Table3[[Typed Name]:[MS Prevalence]],3,FALSE)),VLOOKUP(B217,Table4[[Country]:[Estimated prevalence of modern slavery per 1,000 population]],2,FALSE)),0))</f>
        <v/>
      </c>
      <c r="M217" s="120" t="s">
        <v>302</v>
      </c>
      <c r="N217" s="11" t="s">
        <v>302</v>
      </c>
      <c r="O217" s="11" t="s">
        <v>180</v>
      </c>
    </row>
    <row r="218" spans="2:15" x14ac:dyDescent="0.35">
      <c r="B218" s="120" t="s">
        <v>530</v>
      </c>
      <c r="C218" t="str">
        <f>IF(B218="","",IFERROR(IFERROR(IFERROR(VLOOKUP(B218,Table6[[Tool Name]:[MS Prevalence]],2,FALSE),VLOOKUP(B218,Table3[[Typed Name]:[MS Prevalence]],3,FALSE)),VLOOKUP(B218,Table4[[Country]:[Estimated prevalence of modern slavery per 1,000 population]],2,FALSE)),0))</f>
        <v/>
      </c>
      <c r="M218" s="120" t="s">
        <v>302</v>
      </c>
      <c r="N218" s="11" t="s">
        <v>302</v>
      </c>
      <c r="O218" s="11" t="s">
        <v>134</v>
      </c>
    </row>
    <row r="219" spans="2:15" x14ac:dyDescent="0.35">
      <c r="B219" s="120" t="s">
        <v>530</v>
      </c>
      <c r="C219" t="str">
        <f>IF(B219="","",IFERROR(IFERROR(IFERROR(VLOOKUP(B219,Table6[[Tool Name]:[MS Prevalence]],2,FALSE),VLOOKUP(B219,Table3[[Typed Name]:[MS Prevalence]],3,FALSE)),VLOOKUP(B219,Table4[[Country]:[Estimated prevalence of modern slavery per 1,000 population]],2,FALSE)),0))</f>
        <v/>
      </c>
      <c r="M219" s="120" t="s">
        <v>302</v>
      </c>
      <c r="N219" s="11" t="s">
        <v>302</v>
      </c>
      <c r="O219" s="11" t="s">
        <v>353</v>
      </c>
    </row>
    <row r="220" spans="2:15" x14ac:dyDescent="0.35">
      <c r="B220" s="120" t="s">
        <v>530</v>
      </c>
      <c r="C220" t="str">
        <f>IF(B220="","",IFERROR(IFERROR(IFERROR(VLOOKUP(B220,Table6[[Tool Name]:[MS Prevalence]],2,FALSE),VLOOKUP(B220,Table3[[Typed Name]:[MS Prevalence]],3,FALSE)),VLOOKUP(B220,Table4[[Country]:[Estimated prevalence of modern slavery per 1,000 population]],2,FALSE)),0))</f>
        <v/>
      </c>
      <c r="M220" s="120" t="s">
        <v>302</v>
      </c>
      <c r="N220" s="11" t="s">
        <v>302</v>
      </c>
      <c r="O220" s="11" t="s">
        <v>326</v>
      </c>
    </row>
    <row r="221" spans="2:15" x14ac:dyDescent="0.35">
      <c r="B221" s="120" t="s">
        <v>530</v>
      </c>
      <c r="C221" t="str">
        <f>IF(B221="","",IFERROR(IFERROR(IFERROR(VLOOKUP(B221,Table6[[Tool Name]:[MS Prevalence]],2,FALSE),VLOOKUP(B221,Table3[[Typed Name]:[MS Prevalence]],3,FALSE)),VLOOKUP(B221,Table4[[Country]:[Estimated prevalence of modern slavery per 1,000 population]],2,FALSE)),0))</f>
        <v/>
      </c>
      <c r="M221" s="120" t="s">
        <v>302</v>
      </c>
      <c r="N221" s="11" t="s">
        <v>302</v>
      </c>
      <c r="O221" s="11" t="s">
        <v>440</v>
      </c>
    </row>
    <row r="222" spans="2:15" x14ac:dyDescent="0.35">
      <c r="B222" s="120" t="s">
        <v>530</v>
      </c>
      <c r="C222" t="str">
        <f>IF(B222="","",IFERROR(IFERROR(IFERROR(VLOOKUP(B222,Table6[[Tool Name]:[MS Prevalence]],2,FALSE),VLOOKUP(B222,Table3[[Typed Name]:[MS Prevalence]],3,FALSE)),VLOOKUP(B222,Table4[[Country]:[Estimated prevalence of modern slavery per 1,000 population]],2,FALSE)),0))</f>
        <v/>
      </c>
      <c r="M222" s="120" t="s">
        <v>302</v>
      </c>
      <c r="N222" s="12" t="s">
        <v>302</v>
      </c>
      <c r="O222" s="12" t="s">
        <v>332</v>
      </c>
    </row>
    <row r="223" spans="2:15" x14ac:dyDescent="0.35">
      <c r="B223" s="120" t="s">
        <v>530</v>
      </c>
      <c r="C223" t="str">
        <f>IF(B223="","",IFERROR(IFERROR(IFERROR(VLOOKUP(B223,Table6[[Tool Name]:[MS Prevalence]],2,FALSE),VLOOKUP(B223,Table3[[Typed Name]:[MS Prevalence]],3,FALSE)),VLOOKUP(B223,Table4[[Country]:[Estimated prevalence of modern slavery per 1,000 population]],2,FALSE)),0))</f>
        <v/>
      </c>
      <c r="M223" s="120" t="s">
        <v>302</v>
      </c>
      <c r="N223" s="11" t="s">
        <v>302</v>
      </c>
      <c r="O223" s="11" t="s">
        <v>442</v>
      </c>
    </row>
    <row r="224" spans="2:15" x14ac:dyDescent="0.35">
      <c r="B224" s="120" t="s">
        <v>530</v>
      </c>
      <c r="C224" t="str">
        <f>IF(B224="","",IFERROR(IFERROR(IFERROR(VLOOKUP(B224,Table6[[Tool Name]:[MS Prevalence]],2,FALSE),VLOOKUP(B224,Table3[[Typed Name]:[MS Prevalence]],3,FALSE)),VLOOKUP(B224,Table4[[Country]:[Estimated prevalence of modern slavery per 1,000 population]],2,FALSE)),0))</f>
        <v/>
      </c>
      <c r="M224" s="120" t="s">
        <v>302</v>
      </c>
      <c r="N224" s="11" t="s">
        <v>302</v>
      </c>
      <c r="O224" s="11" t="s">
        <v>202</v>
      </c>
    </row>
    <row r="225" spans="2:15" x14ac:dyDescent="0.35">
      <c r="B225" s="120" t="s">
        <v>530</v>
      </c>
      <c r="C225" t="str">
        <f>IF(B225="","",IFERROR(IFERROR(IFERROR(VLOOKUP(B225,Table6[[Tool Name]:[MS Prevalence]],2,FALSE),VLOOKUP(B225,Table3[[Typed Name]:[MS Prevalence]],3,FALSE)),VLOOKUP(B225,Table4[[Country]:[Estimated prevalence of modern slavery per 1,000 population]],2,FALSE)),0))</f>
        <v/>
      </c>
      <c r="M225" s="120" t="s">
        <v>302</v>
      </c>
      <c r="N225" s="11" t="s">
        <v>302</v>
      </c>
      <c r="O225" s="11" t="s">
        <v>381</v>
      </c>
    </row>
    <row r="226" spans="2:15" x14ac:dyDescent="0.35">
      <c r="B226" s="120" t="s">
        <v>530</v>
      </c>
      <c r="C226" t="str">
        <f>IF(B226="","",IFERROR(IFERROR(IFERROR(VLOOKUP(B226,Table6[[Tool Name]:[MS Prevalence]],2,FALSE),VLOOKUP(B226,Table3[[Typed Name]:[MS Prevalence]],3,FALSE)),VLOOKUP(B226,Table4[[Country]:[Estimated prevalence of modern slavery per 1,000 population]],2,FALSE)),0))</f>
        <v/>
      </c>
      <c r="M226" s="120" t="s">
        <v>302</v>
      </c>
      <c r="N226" s="11" t="s">
        <v>302</v>
      </c>
      <c r="O226" s="11" t="s">
        <v>419</v>
      </c>
    </row>
    <row r="227" spans="2:15" x14ac:dyDescent="0.35">
      <c r="B227" s="120" t="s">
        <v>530</v>
      </c>
      <c r="C227" t="str">
        <f>IF(B227="","",IFERROR(IFERROR(IFERROR(VLOOKUP(B227,Table6[[Tool Name]:[MS Prevalence]],2,FALSE),VLOOKUP(B227,Table3[[Typed Name]:[MS Prevalence]],3,FALSE)),VLOOKUP(B227,Table4[[Country]:[Estimated prevalence of modern slavery per 1,000 population]],2,FALSE)),0))</f>
        <v/>
      </c>
      <c r="M227" s="120" t="s">
        <v>302</v>
      </c>
      <c r="N227" s="11" t="s">
        <v>302</v>
      </c>
      <c r="O227" s="11" t="s">
        <v>262</v>
      </c>
    </row>
    <row r="228" spans="2:15" x14ac:dyDescent="0.35">
      <c r="B228" s="120" t="s">
        <v>479</v>
      </c>
      <c r="C228">
        <f>IF(B228="","",IFERROR(IFERROR(IFERROR(VLOOKUP(B228,Table6[[Tool Name]:[MS Prevalence]],2,FALSE),VLOOKUP(B228,Table3[[Typed Name]:[MS Prevalence]],3,FALSE)),VLOOKUP(B228,Table4[[Country]:[Estimated prevalence of modern slavery per 1,000 population]],2,FALSE)),0))</f>
        <v>999</v>
      </c>
      <c r="M228" s="120" t="s">
        <v>302</v>
      </c>
      <c r="N228" s="11" t="s">
        <v>302</v>
      </c>
      <c r="O228" s="11" t="s">
        <v>388</v>
      </c>
    </row>
    <row r="229" spans="2:15" x14ac:dyDescent="0.35">
      <c r="B229" s="120" t="s">
        <v>480</v>
      </c>
      <c r="C229">
        <f>IF(B229="","",IFERROR(IFERROR(IFERROR(VLOOKUP(B229,Table6[[Tool Name]:[MS Prevalence]],2,FALSE),VLOOKUP(B229,Table3[[Typed Name]:[MS Prevalence]],3,FALSE)),VLOOKUP(B229,Table4[[Country]:[Estimated prevalence of modern slavery per 1,000 population]],2,FALSE)),0))</f>
        <v>999</v>
      </c>
      <c r="M229" s="120" t="s">
        <v>302</v>
      </c>
      <c r="N229" s="11" t="s">
        <v>302</v>
      </c>
      <c r="O229" s="11" t="s">
        <v>139</v>
      </c>
    </row>
    <row r="230" spans="2:15" x14ac:dyDescent="0.35">
      <c r="M230" s="120" t="s">
        <v>302</v>
      </c>
      <c r="N230" s="11" t="s">
        <v>302</v>
      </c>
      <c r="O230" s="11" t="s">
        <v>340</v>
      </c>
    </row>
    <row r="231" spans="2:15" x14ac:dyDescent="0.35">
      <c r="M231" s="120" t="s">
        <v>302</v>
      </c>
      <c r="N231" s="11" t="s">
        <v>302</v>
      </c>
      <c r="O231" s="11" t="s">
        <v>342</v>
      </c>
    </row>
    <row r="232" spans="2:15" x14ac:dyDescent="0.35">
      <c r="M232" s="120" t="s">
        <v>302</v>
      </c>
      <c r="N232" s="11" t="s">
        <v>302</v>
      </c>
      <c r="O232" s="11" t="s">
        <v>448</v>
      </c>
    </row>
    <row r="233" spans="2:15" x14ac:dyDescent="0.35">
      <c r="M233" s="120" t="s">
        <v>302</v>
      </c>
      <c r="N233" s="11" t="s">
        <v>302</v>
      </c>
      <c r="O233" s="11" t="s">
        <v>391</v>
      </c>
    </row>
    <row r="234" spans="2:15" x14ac:dyDescent="0.35">
      <c r="M234" s="120" t="s">
        <v>302</v>
      </c>
      <c r="N234" s="12" t="s">
        <v>302</v>
      </c>
      <c r="O234" s="12" t="s">
        <v>145</v>
      </c>
    </row>
    <row r="235" spans="2:15" x14ac:dyDescent="0.35">
      <c r="M235" s="120" t="s">
        <v>302</v>
      </c>
      <c r="N235" s="11" t="s">
        <v>302</v>
      </c>
      <c r="O235" s="11" t="s">
        <v>284</v>
      </c>
    </row>
    <row r="236" spans="2:15" x14ac:dyDescent="0.35">
      <c r="M236" s="120" t="s">
        <v>302</v>
      </c>
      <c r="N236" s="11" t="s">
        <v>302</v>
      </c>
      <c r="O236" s="11" t="s">
        <v>346</v>
      </c>
    </row>
    <row r="237" spans="2:15" x14ac:dyDescent="0.35">
      <c r="M237" s="120" t="s">
        <v>158</v>
      </c>
      <c r="N237" s="11" t="s">
        <v>158</v>
      </c>
      <c r="O237" s="11" t="s">
        <v>107</v>
      </c>
    </row>
    <row r="238" spans="2:15" x14ac:dyDescent="0.35">
      <c r="M238" s="120" t="s">
        <v>158</v>
      </c>
      <c r="N238" s="11" t="s">
        <v>158</v>
      </c>
      <c r="O238" s="11" t="s">
        <v>323</v>
      </c>
    </row>
    <row r="239" spans="2:15" x14ac:dyDescent="0.35">
      <c r="M239" s="120" t="s">
        <v>158</v>
      </c>
      <c r="N239" s="11" t="s">
        <v>158</v>
      </c>
      <c r="O239" s="11" t="s">
        <v>240</v>
      </c>
    </row>
    <row r="240" spans="2:15" x14ac:dyDescent="0.35">
      <c r="M240" s="120" t="s">
        <v>158</v>
      </c>
      <c r="N240" s="11" t="s">
        <v>158</v>
      </c>
      <c r="O240" s="11" t="s">
        <v>415</v>
      </c>
    </row>
    <row r="241" spans="13:15" x14ac:dyDescent="0.35">
      <c r="M241" s="120" t="s">
        <v>158</v>
      </c>
      <c r="N241" s="11" t="s">
        <v>158</v>
      </c>
      <c r="O241" s="11" t="s">
        <v>159</v>
      </c>
    </row>
    <row r="242" spans="13:15" x14ac:dyDescent="0.35">
      <c r="M242" s="120" t="s">
        <v>158</v>
      </c>
      <c r="N242" s="11" t="s">
        <v>158</v>
      </c>
      <c r="O242" s="11" t="s">
        <v>320</v>
      </c>
    </row>
    <row r="243" spans="13:15" x14ac:dyDescent="0.35">
      <c r="M243" s="120" t="s">
        <v>158</v>
      </c>
      <c r="N243" s="11" t="s">
        <v>158</v>
      </c>
      <c r="O243" s="11" t="s">
        <v>250</v>
      </c>
    </row>
    <row r="244" spans="13:15" x14ac:dyDescent="0.35">
      <c r="M244" s="120" t="s">
        <v>158</v>
      </c>
      <c r="N244" s="11" t="s">
        <v>158</v>
      </c>
      <c r="O244" s="11" t="s">
        <v>153</v>
      </c>
    </row>
    <row r="245" spans="13:15" x14ac:dyDescent="0.35">
      <c r="M245" s="120" t="s">
        <v>304</v>
      </c>
      <c r="N245" s="11" t="s">
        <v>304</v>
      </c>
      <c r="O245" s="11" t="s">
        <v>88</v>
      </c>
    </row>
    <row r="246" spans="13:15" x14ac:dyDescent="0.35">
      <c r="M246" s="120" t="s">
        <v>304</v>
      </c>
      <c r="N246" s="11" t="s">
        <v>304</v>
      </c>
      <c r="O246" s="11" t="s">
        <v>95</v>
      </c>
    </row>
    <row r="247" spans="13:15" x14ac:dyDescent="0.35">
      <c r="M247" s="120" t="s">
        <v>319</v>
      </c>
      <c r="N247" s="11" t="s">
        <v>319</v>
      </c>
      <c r="O247" s="11" t="s">
        <v>103</v>
      </c>
    </row>
    <row r="248" spans="13:15" x14ac:dyDescent="0.35">
      <c r="M248" s="120" t="s">
        <v>321</v>
      </c>
      <c r="N248" s="11" t="s">
        <v>321</v>
      </c>
      <c r="O248" s="11" t="s">
        <v>102</v>
      </c>
    </row>
    <row r="249" spans="13:15" x14ac:dyDescent="0.35">
      <c r="M249" s="120" t="s">
        <v>321</v>
      </c>
      <c r="N249" s="11" t="s">
        <v>321</v>
      </c>
      <c r="O249" s="11" t="s">
        <v>272</v>
      </c>
    </row>
    <row r="250" spans="13:15" x14ac:dyDescent="0.35">
      <c r="M250" s="120" t="s">
        <v>321</v>
      </c>
      <c r="N250" s="11" t="s">
        <v>321</v>
      </c>
      <c r="O250" s="11" t="s">
        <v>107</v>
      </c>
    </row>
    <row r="251" spans="13:15" x14ac:dyDescent="0.35">
      <c r="M251" s="120" t="s">
        <v>321</v>
      </c>
      <c r="N251" s="11" t="s">
        <v>321</v>
      </c>
      <c r="O251" s="11" t="s">
        <v>240</v>
      </c>
    </row>
    <row r="252" spans="13:15" x14ac:dyDescent="0.35">
      <c r="M252" s="120" t="s">
        <v>321</v>
      </c>
      <c r="N252" s="11" t="s">
        <v>321</v>
      </c>
      <c r="O252" s="11" t="s">
        <v>291</v>
      </c>
    </row>
    <row r="253" spans="13:15" x14ac:dyDescent="0.35">
      <c r="M253" s="120" t="s">
        <v>321</v>
      </c>
      <c r="N253" s="11" t="s">
        <v>321</v>
      </c>
      <c r="O253" s="11" t="s">
        <v>262</v>
      </c>
    </row>
    <row r="254" spans="13:15" x14ac:dyDescent="0.35">
      <c r="M254" s="120" t="s">
        <v>321</v>
      </c>
      <c r="N254" s="11" t="s">
        <v>321</v>
      </c>
      <c r="O254" s="11" t="s">
        <v>385</v>
      </c>
    </row>
    <row r="255" spans="13:15" x14ac:dyDescent="0.35">
      <c r="M255" s="120" t="s">
        <v>321</v>
      </c>
      <c r="N255" s="11" t="s">
        <v>321</v>
      </c>
      <c r="O255" s="11" t="s">
        <v>293</v>
      </c>
    </row>
    <row r="256" spans="13:15" x14ac:dyDescent="0.35">
      <c r="M256" s="120" t="s">
        <v>321</v>
      </c>
      <c r="N256" s="11" t="s">
        <v>321</v>
      </c>
      <c r="O256" s="11" t="s">
        <v>391</v>
      </c>
    </row>
    <row r="257" spans="13:15" x14ac:dyDescent="0.35">
      <c r="M257" s="120" t="s">
        <v>321</v>
      </c>
      <c r="N257" s="11" t="s">
        <v>321</v>
      </c>
      <c r="O257" s="11" t="s">
        <v>145</v>
      </c>
    </row>
    <row r="258" spans="13:15" x14ac:dyDescent="0.35">
      <c r="M258" s="120" t="s">
        <v>321</v>
      </c>
      <c r="N258" s="11" t="s">
        <v>321</v>
      </c>
      <c r="O258" s="11" t="s">
        <v>284</v>
      </c>
    </row>
    <row r="259" spans="13:15" x14ac:dyDescent="0.35">
      <c r="M259" s="120" t="s">
        <v>321</v>
      </c>
      <c r="N259" s="11" t="s">
        <v>321</v>
      </c>
      <c r="O259" s="11" t="s">
        <v>153</v>
      </c>
    </row>
    <row r="260" spans="13:15" x14ac:dyDescent="0.35">
      <c r="M260" s="120" t="s">
        <v>329</v>
      </c>
      <c r="N260" s="11" t="s">
        <v>481</v>
      </c>
      <c r="O260" s="11" t="s">
        <v>103</v>
      </c>
    </row>
    <row r="261" spans="13:15" x14ac:dyDescent="0.35">
      <c r="M261" s="120" t="s">
        <v>329</v>
      </c>
      <c r="N261" s="11" t="s">
        <v>481</v>
      </c>
      <c r="O261" s="11" t="s">
        <v>153</v>
      </c>
    </row>
    <row r="262" spans="13:15" x14ac:dyDescent="0.35">
      <c r="M262" s="120" t="s">
        <v>333</v>
      </c>
      <c r="N262" s="11" t="s">
        <v>333</v>
      </c>
      <c r="O262" s="11" t="s">
        <v>257</v>
      </c>
    </row>
    <row r="263" spans="13:15" x14ac:dyDescent="0.35">
      <c r="M263" s="120" t="s">
        <v>333</v>
      </c>
      <c r="N263" s="11" t="s">
        <v>333</v>
      </c>
      <c r="O263" s="11" t="s">
        <v>153</v>
      </c>
    </row>
    <row r="264" spans="13:15" x14ac:dyDescent="0.35">
      <c r="M264" s="120" t="s">
        <v>334</v>
      </c>
      <c r="N264" s="11" t="s">
        <v>334</v>
      </c>
      <c r="O264" s="11" t="s">
        <v>102</v>
      </c>
    </row>
    <row r="265" spans="13:15" x14ac:dyDescent="0.35">
      <c r="M265" s="120" t="s">
        <v>335</v>
      </c>
      <c r="N265" s="11" t="s">
        <v>335</v>
      </c>
      <c r="O265" s="11" t="s">
        <v>115</v>
      </c>
    </row>
    <row r="266" spans="13:15" x14ac:dyDescent="0.35">
      <c r="M266" s="120" t="s">
        <v>335</v>
      </c>
      <c r="N266" s="11" t="s">
        <v>335</v>
      </c>
      <c r="O266" s="11" t="s">
        <v>320</v>
      </c>
    </row>
    <row r="267" spans="13:15" x14ac:dyDescent="0.35">
      <c r="M267" s="120" t="s">
        <v>344</v>
      </c>
      <c r="N267" s="11" t="s">
        <v>344</v>
      </c>
      <c r="O267" s="11" t="s">
        <v>381</v>
      </c>
    </row>
    <row r="268" spans="13:15" x14ac:dyDescent="0.35">
      <c r="M268" s="120" t="s">
        <v>344</v>
      </c>
      <c r="N268" s="11" t="s">
        <v>344</v>
      </c>
      <c r="O268" s="11" t="s">
        <v>357</v>
      </c>
    </row>
    <row r="269" spans="13:15" x14ac:dyDescent="0.35">
      <c r="M269" s="120" t="s">
        <v>344</v>
      </c>
      <c r="N269" s="11" t="s">
        <v>344</v>
      </c>
      <c r="O269" s="11" t="s">
        <v>391</v>
      </c>
    </row>
    <row r="270" spans="13:15" x14ac:dyDescent="0.35">
      <c r="M270" s="120" t="s">
        <v>344</v>
      </c>
      <c r="N270" s="11" t="s">
        <v>344</v>
      </c>
      <c r="O270" s="11" t="s">
        <v>278</v>
      </c>
    </row>
    <row r="271" spans="13:15" x14ac:dyDescent="0.35">
      <c r="M271" s="120" t="s">
        <v>164</v>
      </c>
      <c r="N271" s="11" t="s">
        <v>164</v>
      </c>
      <c r="O271" s="11" t="s">
        <v>284</v>
      </c>
    </row>
    <row r="272" spans="13:15" x14ac:dyDescent="0.35">
      <c r="M272" s="120" t="s">
        <v>164</v>
      </c>
      <c r="N272" s="11" t="s">
        <v>164</v>
      </c>
      <c r="O272" s="11" t="s">
        <v>153</v>
      </c>
    </row>
    <row r="273" spans="13:15" x14ac:dyDescent="0.35">
      <c r="M273" s="120" t="s">
        <v>72</v>
      </c>
      <c r="N273" s="11" t="s">
        <v>72</v>
      </c>
      <c r="O273" s="11" t="s">
        <v>372</v>
      </c>
    </row>
    <row r="274" spans="13:15" x14ac:dyDescent="0.35">
      <c r="M274" s="120" t="s">
        <v>72</v>
      </c>
      <c r="N274" s="11" t="s">
        <v>72</v>
      </c>
      <c r="O274" s="11" t="s">
        <v>134</v>
      </c>
    </row>
    <row r="275" spans="13:15" x14ac:dyDescent="0.35">
      <c r="M275" s="120" t="s">
        <v>72</v>
      </c>
      <c r="N275" s="11" t="s">
        <v>72</v>
      </c>
      <c r="O275" s="11" t="s">
        <v>159</v>
      </c>
    </row>
    <row r="276" spans="13:15" x14ac:dyDescent="0.35">
      <c r="M276" s="120" t="s">
        <v>72</v>
      </c>
      <c r="N276" s="11" t="s">
        <v>72</v>
      </c>
      <c r="O276" s="11" t="s">
        <v>336</v>
      </c>
    </row>
    <row r="277" spans="13:15" x14ac:dyDescent="0.35">
      <c r="M277" s="120" t="s">
        <v>349</v>
      </c>
      <c r="N277" s="11" t="s">
        <v>349</v>
      </c>
      <c r="O277" s="11" t="s">
        <v>103</v>
      </c>
    </row>
    <row r="278" spans="13:15" x14ac:dyDescent="0.35">
      <c r="M278" s="120" t="s">
        <v>349</v>
      </c>
      <c r="N278" s="11" t="s">
        <v>349</v>
      </c>
      <c r="O278" s="11" t="s">
        <v>240</v>
      </c>
    </row>
    <row r="279" spans="13:15" x14ac:dyDescent="0.35">
      <c r="M279" s="120" t="s">
        <v>349</v>
      </c>
      <c r="N279" s="11" t="s">
        <v>349</v>
      </c>
      <c r="O279" s="11" t="s">
        <v>262</v>
      </c>
    </row>
    <row r="280" spans="13:15" x14ac:dyDescent="0.35">
      <c r="M280" s="120" t="s">
        <v>354</v>
      </c>
      <c r="N280" s="11" t="s">
        <v>354</v>
      </c>
      <c r="O280" s="11" t="s">
        <v>102</v>
      </c>
    </row>
    <row r="281" spans="13:15" x14ac:dyDescent="0.35">
      <c r="M281" s="120" t="s">
        <v>354</v>
      </c>
      <c r="N281" s="11" t="s">
        <v>354</v>
      </c>
      <c r="O281" s="11" t="s">
        <v>111</v>
      </c>
    </row>
    <row r="282" spans="13:15" x14ac:dyDescent="0.35">
      <c r="M282" s="120" t="s">
        <v>355</v>
      </c>
      <c r="N282" s="11" t="s">
        <v>355</v>
      </c>
      <c r="O282" s="11" t="s">
        <v>134</v>
      </c>
    </row>
    <row r="283" spans="13:15" x14ac:dyDescent="0.35">
      <c r="M283" s="120" t="s">
        <v>356</v>
      </c>
      <c r="N283" s="11" t="s">
        <v>356</v>
      </c>
      <c r="O283" s="11" t="s">
        <v>171</v>
      </c>
    </row>
    <row r="284" spans="13:15" x14ac:dyDescent="0.35">
      <c r="M284" s="120" t="s">
        <v>356</v>
      </c>
      <c r="N284" s="11" t="s">
        <v>356</v>
      </c>
      <c r="O284" s="11" t="s">
        <v>102</v>
      </c>
    </row>
    <row r="285" spans="13:15" x14ac:dyDescent="0.35">
      <c r="M285" s="120" t="s">
        <v>356</v>
      </c>
      <c r="N285" s="11" t="s">
        <v>356</v>
      </c>
      <c r="O285" s="11" t="s">
        <v>203</v>
      </c>
    </row>
    <row r="286" spans="13:15" x14ac:dyDescent="0.35">
      <c r="M286" s="120" t="s">
        <v>356</v>
      </c>
      <c r="N286" s="11" t="s">
        <v>356</v>
      </c>
      <c r="O286" s="11" t="s">
        <v>272</v>
      </c>
    </row>
    <row r="287" spans="13:15" x14ac:dyDescent="0.35">
      <c r="M287" s="120" t="s">
        <v>356</v>
      </c>
      <c r="N287" s="11" t="s">
        <v>356</v>
      </c>
      <c r="O287" s="11" t="s">
        <v>218</v>
      </c>
    </row>
    <row r="288" spans="13:15" x14ac:dyDescent="0.35">
      <c r="M288" s="120" t="s">
        <v>356</v>
      </c>
      <c r="N288" s="11" t="s">
        <v>356</v>
      </c>
      <c r="O288" s="11" t="s">
        <v>225</v>
      </c>
    </row>
    <row r="289" spans="13:15" x14ac:dyDescent="0.35">
      <c r="M289" s="120" t="s">
        <v>356</v>
      </c>
      <c r="N289" s="11" t="s">
        <v>356</v>
      </c>
      <c r="O289" s="11" t="s">
        <v>134</v>
      </c>
    </row>
    <row r="290" spans="13:15" x14ac:dyDescent="0.35">
      <c r="M290" s="120" t="s">
        <v>356</v>
      </c>
      <c r="N290" s="11" t="s">
        <v>356</v>
      </c>
      <c r="O290" s="11" t="s">
        <v>332</v>
      </c>
    </row>
    <row r="291" spans="13:15" x14ac:dyDescent="0.35">
      <c r="M291" s="120" t="s">
        <v>356</v>
      </c>
      <c r="N291" s="11" t="s">
        <v>356</v>
      </c>
      <c r="O291" s="11" t="s">
        <v>241</v>
      </c>
    </row>
    <row r="292" spans="13:15" x14ac:dyDescent="0.35">
      <c r="M292" s="120" t="s">
        <v>356</v>
      </c>
      <c r="N292" s="11" t="s">
        <v>356</v>
      </c>
      <c r="O292" s="11" t="s">
        <v>246</v>
      </c>
    </row>
    <row r="293" spans="13:15" x14ac:dyDescent="0.35">
      <c r="M293" s="120" t="s">
        <v>356</v>
      </c>
      <c r="N293" s="11" t="s">
        <v>356</v>
      </c>
      <c r="O293" s="11" t="s">
        <v>106</v>
      </c>
    </row>
    <row r="294" spans="13:15" x14ac:dyDescent="0.35">
      <c r="M294" s="120" t="s">
        <v>356</v>
      </c>
      <c r="N294" s="11" t="s">
        <v>356</v>
      </c>
      <c r="O294" s="11" t="s">
        <v>417</v>
      </c>
    </row>
    <row r="295" spans="13:15" x14ac:dyDescent="0.35">
      <c r="M295" s="120" t="s">
        <v>356</v>
      </c>
      <c r="N295" s="11" t="s">
        <v>356</v>
      </c>
      <c r="O295" s="11" t="s">
        <v>145</v>
      </c>
    </row>
    <row r="296" spans="13:15" x14ac:dyDescent="0.35">
      <c r="M296" s="120" t="s">
        <v>356</v>
      </c>
      <c r="N296" s="11" t="s">
        <v>356</v>
      </c>
      <c r="O296" s="11" t="s">
        <v>153</v>
      </c>
    </row>
    <row r="297" spans="13:15" x14ac:dyDescent="0.35">
      <c r="M297" s="120" t="s">
        <v>356</v>
      </c>
      <c r="N297" s="11" t="s">
        <v>356</v>
      </c>
      <c r="O297" s="11" t="s">
        <v>156</v>
      </c>
    </row>
    <row r="298" spans="13:15" x14ac:dyDescent="0.35">
      <c r="M298" s="120" t="s">
        <v>362</v>
      </c>
      <c r="N298" s="11" t="s">
        <v>362</v>
      </c>
      <c r="O298" s="11" t="s">
        <v>101</v>
      </c>
    </row>
    <row r="299" spans="13:15" x14ac:dyDescent="0.35">
      <c r="M299" s="120" t="s">
        <v>362</v>
      </c>
      <c r="N299" s="11" t="s">
        <v>362</v>
      </c>
      <c r="O299" s="11" t="s">
        <v>240</v>
      </c>
    </row>
    <row r="300" spans="13:15" x14ac:dyDescent="0.35">
      <c r="M300" s="120" t="s">
        <v>369</v>
      </c>
      <c r="N300" s="11" t="s">
        <v>369</v>
      </c>
      <c r="O300" s="11" t="s">
        <v>153</v>
      </c>
    </row>
    <row r="301" spans="13:15" x14ac:dyDescent="0.35">
      <c r="M301" s="120" t="s">
        <v>375</v>
      </c>
      <c r="N301" s="11" t="s">
        <v>375</v>
      </c>
      <c r="O301" s="11" t="s">
        <v>88</v>
      </c>
    </row>
    <row r="302" spans="13:15" x14ac:dyDescent="0.35">
      <c r="M302" s="120" t="s">
        <v>375</v>
      </c>
      <c r="N302" s="11" t="s">
        <v>375</v>
      </c>
      <c r="O302" s="11" t="s">
        <v>95</v>
      </c>
    </row>
    <row r="303" spans="13:15" x14ac:dyDescent="0.35">
      <c r="M303" s="120" t="s">
        <v>375</v>
      </c>
      <c r="N303" s="11" t="s">
        <v>375</v>
      </c>
      <c r="O303" s="11" t="s">
        <v>316</v>
      </c>
    </row>
    <row r="304" spans="13:15" x14ac:dyDescent="0.35">
      <c r="M304" s="120" t="s">
        <v>375</v>
      </c>
      <c r="N304" s="11" t="s">
        <v>375</v>
      </c>
      <c r="O304" s="11" t="s">
        <v>391</v>
      </c>
    </row>
    <row r="305" spans="13:15" x14ac:dyDescent="0.35">
      <c r="M305" s="120" t="s">
        <v>380</v>
      </c>
      <c r="N305" s="11" t="s">
        <v>380</v>
      </c>
      <c r="O305" s="11" t="s">
        <v>163</v>
      </c>
    </row>
    <row r="306" spans="13:15" x14ac:dyDescent="0.35">
      <c r="M306" s="120" t="s">
        <v>380</v>
      </c>
      <c r="N306" s="11" t="s">
        <v>380</v>
      </c>
      <c r="O306" s="11" t="s">
        <v>272</v>
      </c>
    </row>
    <row r="307" spans="13:15" x14ac:dyDescent="0.35">
      <c r="M307" s="120" t="s">
        <v>380</v>
      </c>
      <c r="N307" s="11" t="s">
        <v>380</v>
      </c>
      <c r="O307" s="11" t="s">
        <v>240</v>
      </c>
    </row>
    <row r="308" spans="13:15" x14ac:dyDescent="0.35">
      <c r="M308" s="120" t="s">
        <v>380</v>
      </c>
      <c r="N308" s="11" t="s">
        <v>380</v>
      </c>
      <c r="O308" s="11" t="s">
        <v>377</v>
      </c>
    </row>
    <row r="309" spans="13:15" x14ac:dyDescent="0.35">
      <c r="M309" s="120" t="s">
        <v>380</v>
      </c>
      <c r="N309" s="11" t="s">
        <v>380</v>
      </c>
      <c r="O309" s="11" t="s">
        <v>135</v>
      </c>
    </row>
    <row r="310" spans="13:15" x14ac:dyDescent="0.35">
      <c r="M310" s="120" t="s">
        <v>380</v>
      </c>
      <c r="N310" s="11" t="s">
        <v>380</v>
      </c>
      <c r="O310" s="11" t="s">
        <v>396</v>
      </c>
    </row>
    <row r="311" spans="13:15" x14ac:dyDescent="0.35">
      <c r="M311" s="120" t="s">
        <v>380</v>
      </c>
      <c r="N311" s="11" t="s">
        <v>380</v>
      </c>
      <c r="O311" s="11" t="s">
        <v>153</v>
      </c>
    </row>
    <row r="312" spans="13:15" x14ac:dyDescent="0.35">
      <c r="M312" s="120" t="s">
        <v>382</v>
      </c>
      <c r="N312" s="11" t="s">
        <v>382</v>
      </c>
      <c r="O312" s="11" t="s">
        <v>102</v>
      </c>
    </row>
    <row r="313" spans="13:15" x14ac:dyDescent="0.35">
      <c r="M313" s="120" t="s">
        <v>382</v>
      </c>
      <c r="N313" s="11" t="s">
        <v>382</v>
      </c>
      <c r="O313" s="11" t="s">
        <v>240</v>
      </c>
    </row>
    <row r="314" spans="13:15" x14ac:dyDescent="0.35">
      <c r="M314" s="120" t="s">
        <v>382</v>
      </c>
      <c r="N314" s="11" t="s">
        <v>382</v>
      </c>
      <c r="O314" s="11" t="s">
        <v>379</v>
      </c>
    </row>
    <row r="315" spans="13:15" x14ac:dyDescent="0.35">
      <c r="M315" s="120" t="s">
        <v>382</v>
      </c>
      <c r="N315" s="12" t="s">
        <v>382</v>
      </c>
      <c r="O315" s="12" t="s">
        <v>110</v>
      </c>
    </row>
    <row r="316" spans="13:15" x14ac:dyDescent="0.35">
      <c r="M316" s="120" t="s">
        <v>382</v>
      </c>
      <c r="N316" s="12" t="s">
        <v>382</v>
      </c>
      <c r="O316" s="12" t="s">
        <v>398</v>
      </c>
    </row>
    <row r="317" spans="13:15" x14ac:dyDescent="0.35">
      <c r="M317" s="120" t="s">
        <v>384</v>
      </c>
      <c r="N317" s="11" t="s">
        <v>384</v>
      </c>
      <c r="O317" s="11" t="s">
        <v>118</v>
      </c>
    </row>
    <row r="318" spans="13:15" x14ac:dyDescent="0.35">
      <c r="M318" s="120" t="s">
        <v>384</v>
      </c>
      <c r="N318" s="11" t="s">
        <v>384</v>
      </c>
      <c r="O318" s="11" t="s">
        <v>240</v>
      </c>
    </row>
    <row r="319" spans="13:15" x14ac:dyDescent="0.35">
      <c r="M319" s="120" t="s">
        <v>384</v>
      </c>
      <c r="N319" s="11" t="s">
        <v>384</v>
      </c>
      <c r="O319" s="11" t="s">
        <v>303</v>
      </c>
    </row>
    <row r="320" spans="13:15" x14ac:dyDescent="0.35">
      <c r="M320" s="120" t="s">
        <v>384</v>
      </c>
      <c r="N320" s="11" t="s">
        <v>384</v>
      </c>
      <c r="O320" s="11" t="s">
        <v>377</v>
      </c>
    </row>
    <row r="321" spans="13:15" x14ac:dyDescent="0.35">
      <c r="M321" s="120" t="s">
        <v>384</v>
      </c>
      <c r="N321" s="12" t="s">
        <v>384</v>
      </c>
      <c r="O321" s="12" t="s">
        <v>237</v>
      </c>
    </row>
    <row r="322" spans="13:15" x14ac:dyDescent="0.35">
      <c r="M322" s="120" t="s">
        <v>384</v>
      </c>
      <c r="N322" s="12" t="s">
        <v>384</v>
      </c>
      <c r="O322" s="12" t="s">
        <v>385</v>
      </c>
    </row>
    <row r="323" spans="13:15" x14ac:dyDescent="0.35">
      <c r="M323" s="120" t="s">
        <v>386</v>
      </c>
      <c r="N323" s="12" t="s">
        <v>386</v>
      </c>
      <c r="O323" s="12" t="s">
        <v>88</v>
      </c>
    </row>
    <row r="324" spans="13:15" x14ac:dyDescent="0.35">
      <c r="M324" s="120" t="s">
        <v>386</v>
      </c>
      <c r="N324" s="12" t="s">
        <v>386</v>
      </c>
      <c r="O324" s="12" t="s">
        <v>366</v>
      </c>
    </row>
    <row r="325" spans="13:15" x14ac:dyDescent="0.35">
      <c r="M325" s="120" t="s">
        <v>386</v>
      </c>
      <c r="N325" s="11" t="s">
        <v>386</v>
      </c>
      <c r="O325" s="11" t="s">
        <v>101</v>
      </c>
    </row>
    <row r="326" spans="13:15" x14ac:dyDescent="0.35">
      <c r="M326" s="120" t="s">
        <v>386</v>
      </c>
      <c r="N326" s="11" t="s">
        <v>386</v>
      </c>
      <c r="O326" s="11" t="s">
        <v>240</v>
      </c>
    </row>
    <row r="327" spans="13:15" x14ac:dyDescent="0.35">
      <c r="M327" s="120" t="s">
        <v>386</v>
      </c>
      <c r="N327" s="12" t="s">
        <v>386</v>
      </c>
      <c r="O327" s="12" t="s">
        <v>406</v>
      </c>
    </row>
    <row r="328" spans="13:15" x14ac:dyDescent="0.35">
      <c r="M328" s="120" t="s">
        <v>386</v>
      </c>
      <c r="N328" s="11" t="s">
        <v>386</v>
      </c>
      <c r="O328" s="11" t="s">
        <v>214</v>
      </c>
    </row>
    <row r="329" spans="13:15" x14ac:dyDescent="0.35">
      <c r="M329" s="120" t="s">
        <v>386</v>
      </c>
      <c r="N329" s="11" t="s">
        <v>386</v>
      </c>
      <c r="O329" s="11" t="s">
        <v>297</v>
      </c>
    </row>
    <row r="330" spans="13:15" x14ac:dyDescent="0.35">
      <c r="M330" s="120" t="s">
        <v>397</v>
      </c>
      <c r="N330" s="12" t="s">
        <v>397</v>
      </c>
      <c r="O330" s="12" t="s">
        <v>157</v>
      </c>
    </row>
    <row r="331" spans="13:15" x14ac:dyDescent="0.35">
      <c r="M331" s="120" t="s">
        <v>397</v>
      </c>
      <c r="N331" s="11" t="s">
        <v>397</v>
      </c>
      <c r="O331" s="11" t="s">
        <v>96</v>
      </c>
    </row>
    <row r="332" spans="13:15" x14ac:dyDescent="0.35">
      <c r="M332" s="120" t="s">
        <v>397</v>
      </c>
      <c r="N332" s="11" t="s">
        <v>397</v>
      </c>
      <c r="O332" s="11" t="s">
        <v>88</v>
      </c>
    </row>
    <row r="333" spans="13:15" x14ac:dyDescent="0.35">
      <c r="M333" s="120" t="s">
        <v>397</v>
      </c>
      <c r="N333" s="11" t="s">
        <v>397</v>
      </c>
      <c r="O333" s="11" t="s">
        <v>95</v>
      </c>
    </row>
    <row r="334" spans="13:15" x14ac:dyDescent="0.35">
      <c r="M334" s="120" t="s">
        <v>397</v>
      </c>
      <c r="N334" s="11" t="s">
        <v>397</v>
      </c>
      <c r="O334" s="11" t="s">
        <v>101</v>
      </c>
    </row>
    <row r="335" spans="13:15" x14ac:dyDescent="0.35">
      <c r="M335" s="120" t="s">
        <v>397</v>
      </c>
      <c r="N335" s="11" t="s">
        <v>397</v>
      </c>
      <c r="O335" s="11" t="s">
        <v>103</v>
      </c>
    </row>
    <row r="336" spans="13:15" x14ac:dyDescent="0.35">
      <c r="M336" s="120" t="s">
        <v>397</v>
      </c>
      <c r="N336" s="11" t="s">
        <v>397</v>
      </c>
      <c r="O336" s="11" t="s">
        <v>223</v>
      </c>
    </row>
    <row r="337" spans="13:15" x14ac:dyDescent="0.35">
      <c r="M337" s="120" t="s">
        <v>397</v>
      </c>
      <c r="N337" s="11" t="s">
        <v>397</v>
      </c>
      <c r="O337" s="11" t="s">
        <v>372</v>
      </c>
    </row>
    <row r="338" spans="13:15" x14ac:dyDescent="0.35">
      <c r="M338" s="120" t="s">
        <v>397</v>
      </c>
      <c r="N338" s="11" t="s">
        <v>397</v>
      </c>
      <c r="O338" s="11" t="s">
        <v>217</v>
      </c>
    </row>
    <row r="339" spans="13:15" x14ac:dyDescent="0.35">
      <c r="M339" s="120" t="s">
        <v>397</v>
      </c>
      <c r="N339" s="11" t="s">
        <v>397</v>
      </c>
      <c r="O339" s="11" t="s">
        <v>134</v>
      </c>
    </row>
    <row r="340" spans="13:15" x14ac:dyDescent="0.35">
      <c r="M340" s="120" t="s">
        <v>397</v>
      </c>
      <c r="N340" s="11" t="s">
        <v>397</v>
      </c>
      <c r="O340" s="11" t="s">
        <v>326</v>
      </c>
    </row>
    <row r="341" spans="13:15" x14ac:dyDescent="0.35">
      <c r="M341" s="120" t="s">
        <v>397</v>
      </c>
      <c r="N341" s="11" t="s">
        <v>397</v>
      </c>
      <c r="O341" s="11" t="s">
        <v>199</v>
      </c>
    </row>
    <row r="342" spans="13:15" x14ac:dyDescent="0.35">
      <c r="M342" s="120" t="s">
        <v>397</v>
      </c>
      <c r="N342" s="11" t="s">
        <v>397</v>
      </c>
      <c r="O342" s="11" t="s">
        <v>262</v>
      </c>
    </row>
    <row r="343" spans="13:15" x14ac:dyDescent="0.35">
      <c r="M343" s="120" t="s">
        <v>397</v>
      </c>
      <c r="N343" s="11" t="s">
        <v>397</v>
      </c>
      <c r="O343" s="11" t="s">
        <v>145</v>
      </c>
    </row>
    <row r="344" spans="13:15" x14ac:dyDescent="0.35">
      <c r="M344" s="120" t="s">
        <v>397</v>
      </c>
      <c r="N344" s="11" t="s">
        <v>397</v>
      </c>
      <c r="O344" s="11" t="s">
        <v>450</v>
      </c>
    </row>
    <row r="345" spans="13:15" x14ac:dyDescent="0.35">
      <c r="M345" s="120" t="s">
        <v>397</v>
      </c>
      <c r="N345" s="11" t="s">
        <v>397</v>
      </c>
      <c r="O345" s="11" t="s">
        <v>214</v>
      </c>
    </row>
    <row r="346" spans="13:15" x14ac:dyDescent="0.35">
      <c r="M346" s="120" t="s">
        <v>397</v>
      </c>
      <c r="N346" s="11" t="s">
        <v>397</v>
      </c>
      <c r="O346" s="11" t="s">
        <v>280</v>
      </c>
    </row>
    <row r="347" spans="13:15" x14ac:dyDescent="0.35">
      <c r="M347" s="120" t="s">
        <v>400</v>
      </c>
      <c r="N347" s="11" t="s">
        <v>400</v>
      </c>
      <c r="O347" s="11" t="s">
        <v>272</v>
      </c>
    </row>
    <row r="348" spans="13:15" x14ac:dyDescent="0.35">
      <c r="M348" s="120" t="s">
        <v>400</v>
      </c>
      <c r="N348" s="11" t="s">
        <v>400</v>
      </c>
      <c r="O348" s="11" t="s">
        <v>241</v>
      </c>
    </row>
    <row r="349" spans="13:15" x14ac:dyDescent="0.35">
      <c r="M349" s="120" t="s">
        <v>403</v>
      </c>
      <c r="N349" s="11" t="s">
        <v>403</v>
      </c>
      <c r="O349" s="11" t="s">
        <v>167</v>
      </c>
    </row>
    <row r="350" spans="13:15" x14ac:dyDescent="0.35">
      <c r="M350" s="120" t="s">
        <v>403</v>
      </c>
      <c r="N350" s="11" t="s">
        <v>403</v>
      </c>
      <c r="O350" s="11" t="s">
        <v>88</v>
      </c>
    </row>
    <row r="351" spans="13:15" x14ac:dyDescent="0.35">
      <c r="M351" s="120" t="s">
        <v>403</v>
      </c>
      <c r="N351" s="11" t="s">
        <v>403</v>
      </c>
      <c r="O351" s="11" t="s">
        <v>191</v>
      </c>
    </row>
    <row r="352" spans="13:15" x14ac:dyDescent="0.35">
      <c r="M352" s="120" t="s">
        <v>403</v>
      </c>
      <c r="N352" s="11" t="s">
        <v>403</v>
      </c>
      <c r="O352" s="11" t="s">
        <v>194</v>
      </c>
    </row>
    <row r="353" spans="13:15" x14ac:dyDescent="0.35">
      <c r="M353" s="120" t="s">
        <v>403</v>
      </c>
      <c r="N353" s="11" t="s">
        <v>403</v>
      </c>
      <c r="O353" s="11" t="s">
        <v>102</v>
      </c>
    </row>
    <row r="354" spans="13:15" x14ac:dyDescent="0.35">
      <c r="M354" s="120" t="s">
        <v>403</v>
      </c>
      <c r="N354" s="11" t="s">
        <v>403</v>
      </c>
      <c r="O354" s="11" t="s">
        <v>215</v>
      </c>
    </row>
    <row r="355" spans="13:15" x14ac:dyDescent="0.35">
      <c r="M355" s="120" t="s">
        <v>403</v>
      </c>
      <c r="N355" s="11" t="s">
        <v>403</v>
      </c>
      <c r="O355" s="11" t="s">
        <v>107</v>
      </c>
    </row>
    <row r="356" spans="13:15" x14ac:dyDescent="0.35">
      <c r="M356" s="120" t="s">
        <v>403</v>
      </c>
      <c r="N356" s="11" t="s">
        <v>403</v>
      </c>
      <c r="O356" s="11" t="s">
        <v>111</v>
      </c>
    </row>
    <row r="357" spans="13:15" x14ac:dyDescent="0.35">
      <c r="M357" s="120" t="s">
        <v>403</v>
      </c>
      <c r="N357" s="11" t="s">
        <v>403</v>
      </c>
      <c r="O357" s="11" t="s">
        <v>116</v>
      </c>
    </row>
    <row r="358" spans="13:15" x14ac:dyDescent="0.35">
      <c r="M358" s="120" t="s">
        <v>403</v>
      </c>
      <c r="N358" s="11" t="s">
        <v>403</v>
      </c>
      <c r="O358" s="11" t="s">
        <v>234</v>
      </c>
    </row>
    <row r="359" spans="13:15" x14ac:dyDescent="0.35">
      <c r="M359" s="120" t="s">
        <v>403</v>
      </c>
      <c r="N359" s="11" t="s">
        <v>403</v>
      </c>
      <c r="O359" s="11" t="s">
        <v>237</v>
      </c>
    </row>
    <row r="360" spans="13:15" x14ac:dyDescent="0.35">
      <c r="M360" s="120" t="s">
        <v>403</v>
      </c>
      <c r="N360" s="11" t="s">
        <v>403</v>
      </c>
      <c r="O360" s="11" t="s">
        <v>241</v>
      </c>
    </row>
    <row r="361" spans="13:15" x14ac:dyDescent="0.35">
      <c r="M361" s="120" t="s">
        <v>403</v>
      </c>
      <c r="N361" s="11" t="s">
        <v>403</v>
      </c>
      <c r="O361" s="11" t="s">
        <v>246</v>
      </c>
    </row>
    <row r="362" spans="13:15" x14ac:dyDescent="0.35">
      <c r="M362" s="120" t="s">
        <v>403</v>
      </c>
      <c r="N362" s="11" t="s">
        <v>403</v>
      </c>
      <c r="O362" s="11" t="s">
        <v>245</v>
      </c>
    </row>
    <row r="363" spans="13:15" x14ac:dyDescent="0.35">
      <c r="M363" s="120" t="s">
        <v>403</v>
      </c>
      <c r="N363" s="11" t="s">
        <v>403</v>
      </c>
      <c r="O363" s="11" t="s">
        <v>253</v>
      </c>
    </row>
    <row r="364" spans="13:15" x14ac:dyDescent="0.35">
      <c r="M364" s="120" t="s">
        <v>403</v>
      </c>
      <c r="N364" s="11" t="s">
        <v>403</v>
      </c>
      <c r="O364" s="11" t="s">
        <v>417</v>
      </c>
    </row>
    <row r="365" spans="13:15" x14ac:dyDescent="0.35">
      <c r="M365" s="120" t="s">
        <v>403</v>
      </c>
      <c r="N365" s="11" t="s">
        <v>403</v>
      </c>
      <c r="O365" s="11" t="s">
        <v>205</v>
      </c>
    </row>
    <row r="366" spans="13:15" x14ac:dyDescent="0.35">
      <c r="M366" s="120" t="s">
        <v>403</v>
      </c>
      <c r="N366" s="11" t="s">
        <v>403</v>
      </c>
      <c r="O366" s="11" t="s">
        <v>264</v>
      </c>
    </row>
    <row r="367" spans="13:15" x14ac:dyDescent="0.35">
      <c r="M367" s="120" t="s">
        <v>403</v>
      </c>
      <c r="N367" s="11" t="s">
        <v>403</v>
      </c>
      <c r="O367" s="11" t="s">
        <v>130</v>
      </c>
    </row>
    <row r="368" spans="13:15" x14ac:dyDescent="0.35">
      <c r="M368" s="120" t="s">
        <v>403</v>
      </c>
      <c r="N368" s="11" t="s">
        <v>403</v>
      </c>
      <c r="O368" s="11" t="s">
        <v>393</v>
      </c>
    </row>
    <row r="369" spans="13:15" x14ac:dyDescent="0.35">
      <c r="M369" s="120" t="s">
        <v>403</v>
      </c>
      <c r="N369" s="11" t="s">
        <v>403</v>
      </c>
      <c r="O369" s="11" t="s">
        <v>145</v>
      </c>
    </row>
    <row r="370" spans="13:15" x14ac:dyDescent="0.35">
      <c r="M370" s="120" t="s">
        <v>403</v>
      </c>
      <c r="N370" s="11" t="s">
        <v>403</v>
      </c>
      <c r="O370" s="11" t="s">
        <v>273</v>
      </c>
    </row>
    <row r="371" spans="13:15" x14ac:dyDescent="0.35">
      <c r="M371" s="120" t="s">
        <v>403</v>
      </c>
      <c r="N371" s="11" t="s">
        <v>403</v>
      </c>
      <c r="O371" s="11" t="s">
        <v>156</v>
      </c>
    </row>
    <row r="372" spans="13:15" x14ac:dyDescent="0.35">
      <c r="M372" s="120" t="s">
        <v>403</v>
      </c>
      <c r="N372" s="11" t="s">
        <v>403</v>
      </c>
      <c r="O372" s="11" t="s">
        <v>162</v>
      </c>
    </row>
    <row r="373" spans="13:15" x14ac:dyDescent="0.35">
      <c r="M373" s="120" t="s">
        <v>405</v>
      </c>
      <c r="N373" s="11" t="s">
        <v>405</v>
      </c>
      <c r="O373" s="11" t="s">
        <v>181</v>
      </c>
    </row>
    <row r="374" spans="13:15" x14ac:dyDescent="0.35">
      <c r="M374" s="120" t="s">
        <v>405</v>
      </c>
      <c r="N374" s="11" t="s">
        <v>405</v>
      </c>
      <c r="O374" s="11" t="s">
        <v>88</v>
      </c>
    </row>
    <row r="375" spans="13:15" x14ac:dyDescent="0.35">
      <c r="M375" s="120" t="s">
        <v>405</v>
      </c>
      <c r="N375" s="11" t="s">
        <v>405</v>
      </c>
      <c r="O375" s="11" t="s">
        <v>236</v>
      </c>
    </row>
    <row r="376" spans="13:15" x14ac:dyDescent="0.35">
      <c r="M376" s="120" t="s">
        <v>405</v>
      </c>
      <c r="N376" s="11" t="s">
        <v>405</v>
      </c>
      <c r="O376" s="11" t="s">
        <v>374</v>
      </c>
    </row>
    <row r="377" spans="13:15" x14ac:dyDescent="0.35">
      <c r="M377" s="120" t="s">
        <v>405</v>
      </c>
      <c r="N377" s="11" t="s">
        <v>405</v>
      </c>
      <c r="O377" s="11" t="s">
        <v>107</v>
      </c>
    </row>
    <row r="378" spans="13:15" x14ac:dyDescent="0.35">
      <c r="M378" s="120" t="s">
        <v>405</v>
      </c>
      <c r="N378" s="11" t="s">
        <v>405</v>
      </c>
      <c r="O378" s="11" t="s">
        <v>240</v>
      </c>
    </row>
    <row r="379" spans="13:15" x14ac:dyDescent="0.35">
      <c r="M379" s="120" t="s">
        <v>405</v>
      </c>
      <c r="N379" s="11" t="s">
        <v>405</v>
      </c>
      <c r="O379" s="11" t="s">
        <v>297</v>
      </c>
    </row>
    <row r="380" spans="13:15" x14ac:dyDescent="0.35">
      <c r="M380" s="120" t="s">
        <v>182</v>
      </c>
      <c r="N380" s="11" t="s">
        <v>182</v>
      </c>
      <c r="O380" s="11" t="s">
        <v>163</v>
      </c>
    </row>
    <row r="381" spans="13:15" x14ac:dyDescent="0.35">
      <c r="M381" s="120" t="s">
        <v>182</v>
      </c>
      <c r="N381" s="11" t="s">
        <v>182</v>
      </c>
      <c r="O381" s="11" t="s">
        <v>212</v>
      </c>
    </row>
    <row r="382" spans="13:15" x14ac:dyDescent="0.35">
      <c r="M382" s="120" t="s">
        <v>182</v>
      </c>
      <c r="N382" s="11" t="s">
        <v>182</v>
      </c>
      <c r="O382" s="11" t="s">
        <v>215</v>
      </c>
    </row>
    <row r="383" spans="13:15" x14ac:dyDescent="0.35">
      <c r="M383" s="120" t="s">
        <v>182</v>
      </c>
      <c r="N383" s="11" t="s">
        <v>182</v>
      </c>
      <c r="O383" s="11" t="s">
        <v>318</v>
      </c>
    </row>
    <row r="384" spans="13:15" x14ac:dyDescent="0.35">
      <c r="M384" s="120" t="s">
        <v>182</v>
      </c>
      <c r="N384" s="11" t="s">
        <v>182</v>
      </c>
      <c r="O384" s="11" t="s">
        <v>107</v>
      </c>
    </row>
    <row r="385" spans="13:15" x14ac:dyDescent="0.35">
      <c r="M385" s="120" t="s">
        <v>182</v>
      </c>
      <c r="N385" s="11" t="s">
        <v>182</v>
      </c>
      <c r="O385" s="11" t="s">
        <v>240</v>
      </c>
    </row>
    <row r="386" spans="13:15" x14ac:dyDescent="0.35">
      <c r="M386" s="120" t="s">
        <v>182</v>
      </c>
      <c r="N386" s="11" t="s">
        <v>182</v>
      </c>
      <c r="O386" s="11" t="s">
        <v>116</v>
      </c>
    </row>
    <row r="387" spans="13:15" x14ac:dyDescent="0.35">
      <c r="M387" s="120" t="s">
        <v>182</v>
      </c>
      <c r="N387" s="11" t="s">
        <v>182</v>
      </c>
      <c r="O387" s="11" t="s">
        <v>417</v>
      </c>
    </row>
    <row r="388" spans="13:15" x14ac:dyDescent="0.35">
      <c r="M388" s="120" t="s">
        <v>182</v>
      </c>
      <c r="N388" s="11" t="s">
        <v>182</v>
      </c>
      <c r="O388" s="11" t="s">
        <v>446</v>
      </c>
    </row>
    <row r="389" spans="13:15" x14ac:dyDescent="0.35">
      <c r="M389" s="120" t="s">
        <v>182</v>
      </c>
      <c r="N389" s="11" t="s">
        <v>182</v>
      </c>
      <c r="O389" s="11" t="s">
        <v>262</v>
      </c>
    </row>
    <row r="390" spans="13:15" x14ac:dyDescent="0.35">
      <c r="M390" s="120" t="s">
        <v>182</v>
      </c>
      <c r="N390" s="11" t="s">
        <v>182</v>
      </c>
      <c r="O390" s="11" t="s">
        <v>320</v>
      </c>
    </row>
    <row r="391" spans="13:15" x14ac:dyDescent="0.35">
      <c r="M391" s="120" t="s">
        <v>182</v>
      </c>
      <c r="N391" s="11" t="s">
        <v>182</v>
      </c>
      <c r="O391" s="11" t="s">
        <v>145</v>
      </c>
    </row>
    <row r="392" spans="13:15" x14ac:dyDescent="0.35">
      <c r="M392" s="120" t="s">
        <v>182</v>
      </c>
      <c r="N392" s="11" t="s">
        <v>182</v>
      </c>
      <c r="O392" s="11" t="s">
        <v>153</v>
      </c>
    </row>
    <row r="393" spans="13:15" x14ac:dyDescent="0.35">
      <c r="M393" s="120" t="s">
        <v>414</v>
      </c>
      <c r="N393" s="11" t="s">
        <v>414</v>
      </c>
      <c r="O393" s="11" t="s">
        <v>88</v>
      </c>
    </row>
    <row r="394" spans="13:15" x14ac:dyDescent="0.35">
      <c r="M394" s="120" t="s">
        <v>414</v>
      </c>
      <c r="N394" s="11" t="s">
        <v>414</v>
      </c>
      <c r="O394" s="11" t="s">
        <v>417</v>
      </c>
    </row>
    <row r="395" spans="13:15" x14ac:dyDescent="0.35">
      <c r="M395" s="120" t="s">
        <v>414</v>
      </c>
      <c r="N395" s="11" t="s">
        <v>414</v>
      </c>
      <c r="O395" s="11" t="s">
        <v>297</v>
      </c>
    </row>
    <row r="396" spans="13:15" x14ac:dyDescent="0.35">
      <c r="M396" s="120" t="s">
        <v>416</v>
      </c>
      <c r="N396" s="11" t="s">
        <v>416</v>
      </c>
      <c r="O396" s="11" t="s">
        <v>284</v>
      </c>
    </row>
    <row r="397" spans="13:15" x14ac:dyDescent="0.35">
      <c r="M397" s="120" t="s">
        <v>425</v>
      </c>
      <c r="N397" s="11" t="s">
        <v>425</v>
      </c>
      <c r="O397" s="11" t="s">
        <v>240</v>
      </c>
    </row>
    <row r="398" spans="13:15" x14ac:dyDescent="0.35">
      <c r="M398" s="120" t="s">
        <v>430</v>
      </c>
      <c r="N398" s="11" t="s">
        <v>430</v>
      </c>
      <c r="O398" s="11" t="s">
        <v>118</v>
      </c>
    </row>
    <row r="399" spans="13:15" x14ac:dyDescent="0.35">
      <c r="M399" s="120" t="s">
        <v>430</v>
      </c>
      <c r="N399" s="11" t="s">
        <v>430</v>
      </c>
      <c r="O399" s="11" t="s">
        <v>272</v>
      </c>
    </row>
    <row r="400" spans="13:15" x14ac:dyDescent="0.35">
      <c r="M400" s="120" t="s">
        <v>430</v>
      </c>
      <c r="N400" s="11" t="s">
        <v>430</v>
      </c>
      <c r="O400" s="11" t="s">
        <v>115</v>
      </c>
    </row>
    <row r="401" spans="13:15" x14ac:dyDescent="0.35">
      <c r="M401" s="120" t="s">
        <v>430</v>
      </c>
      <c r="N401" s="11" t="s">
        <v>430</v>
      </c>
      <c r="O401" s="11" t="s">
        <v>303</v>
      </c>
    </row>
    <row r="402" spans="13:15" x14ac:dyDescent="0.35">
      <c r="M402" s="120" t="s">
        <v>430</v>
      </c>
      <c r="N402" s="11" t="s">
        <v>430</v>
      </c>
      <c r="O402" s="11" t="s">
        <v>159</v>
      </c>
    </row>
    <row r="403" spans="13:15" x14ac:dyDescent="0.35">
      <c r="M403" s="120" t="s">
        <v>438</v>
      </c>
      <c r="N403" s="11" t="s">
        <v>438</v>
      </c>
      <c r="O403" s="11" t="s">
        <v>102</v>
      </c>
    </row>
    <row r="404" spans="13:15" x14ac:dyDescent="0.35">
      <c r="M404" s="120" t="s">
        <v>447</v>
      </c>
      <c r="N404" s="11" t="s">
        <v>447</v>
      </c>
      <c r="O404" s="11" t="s">
        <v>240</v>
      </c>
    </row>
    <row r="405" spans="13:15" x14ac:dyDescent="0.35">
      <c r="M405" s="120" t="s">
        <v>449</v>
      </c>
      <c r="N405" s="11" t="s">
        <v>449</v>
      </c>
      <c r="O405" s="11" t="s">
        <v>240</v>
      </c>
    </row>
    <row r="406" spans="13:15" x14ac:dyDescent="0.35">
      <c r="M406" s="120" t="s">
        <v>454</v>
      </c>
      <c r="N406" s="11" t="s">
        <v>454</v>
      </c>
      <c r="O406" s="11" t="s">
        <v>107</v>
      </c>
    </row>
    <row r="407" spans="13:15" x14ac:dyDescent="0.35">
      <c r="M407" s="120" t="s">
        <v>455</v>
      </c>
      <c r="N407" s="11" t="s">
        <v>455</v>
      </c>
      <c r="O407" s="11" t="s">
        <v>103</v>
      </c>
    </row>
    <row r="408" spans="13:15" x14ac:dyDescent="0.35">
      <c r="M408" s="120" t="s">
        <v>456</v>
      </c>
      <c r="N408" s="11" t="s">
        <v>456</v>
      </c>
      <c r="O408" s="11" t="s">
        <v>102</v>
      </c>
    </row>
    <row r="409" spans="13:15" x14ac:dyDescent="0.35">
      <c r="M409" s="120" t="s">
        <v>456</v>
      </c>
      <c r="N409" s="11" t="s">
        <v>456</v>
      </c>
      <c r="O409" s="11" t="s">
        <v>208</v>
      </c>
    </row>
    <row r="410" spans="13:15" x14ac:dyDescent="0.35">
      <c r="M410" s="120" t="s">
        <v>456</v>
      </c>
      <c r="N410" s="11" t="s">
        <v>456</v>
      </c>
      <c r="O410" s="11" t="s">
        <v>272</v>
      </c>
    </row>
    <row r="411" spans="13:15" x14ac:dyDescent="0.35">
      <c r="M411" s="120" t="s">
        <v>456</v>
      </c>
      <c r="N411" s="11" t="s">
        <v>456</v>
      </c>
      <c r="O411" s="11" t="s">
        <v>240</v>
      </c>
    </row>
    <row r="412" spans="13:15" x14ac:dyDescent="0.35">
      <c r="M412" s="120" t="s">
        <v>456</v>
      </c>
      <c r="N412" s="11" t="s">
        <v>456</v>
      </c>
      <c r="O412" s="11" t="s">
        <v>124</v>
      </c>
    </row>
    <row r="413" spans="13:15" x14ac:dyDescent="0.35">
      <c r="M413" s="120" t="s">
        <v>456</v>
      </c>
      <c r="N413" s="11" t="s">
        <v>456</v>
      </c>
      <c r="O413" s="11" t="s">
        <v>262</v>
      </c>
    </row>
    <row r="414" spans="13:15" x14ac:dyDescent="0.35">
      <c r="M414" s="120" t="s">
        <v>456</v>
      </c>
      <c r="N414" s="11" t="s">
        <v>456</v>
      </c>
      <c r="O414" s="11" t="s">
        <v>293</v>
      </c>
    </row>
    <row r="415" spans="13:15" x14ac:dyDescent="0.35">
      <c r="M415" s="120" t="s">
        <v>456</v>
      </c>
      <c r="N415" s="11" t="s">
        <v>456</v>
      </c>
      <c r="O415" s="11" t="s">
        <v>391</v>
      </c>
    </row>
    <row r="416" spans="13:15" x14ac:dyDescent="0.35">
      <c r="M416" s="120" t="s">
        <v>456</v>
      </c>
      <c r="N416" s="11" t="s">
        <v>456</v>
      </c>
      <c r="O416" s="11" t="s">
        <v>359</v>
      </c>
    </row>
    <row r="417" spans="13:15" x14ac:dyDescent="0.35">
      <c r="M417" s="120" t="s">
        <v>456</v>
      </c>
      <c r="N417" s="11" t="s">
        <v>456</v>
      </c>
      <c r="O417" s="11" t="s">
        <v>284</v>
      </c>
    </row>
    <row r="418" spans="13:15" x14ac:dyDescent="0.35">
      <c r="M418" s="120" t="s">
        <v>456</v>
      </c>
      <c r="N418" s="11" t="s">
        <v>456</v>
      </c>
      <c r="O418" s="11" t="s">
        <v>153</v>
      </c>
    </row>
    <row r="419" spans="13:15" x14ac:dyDescent="0.35">
      <c r="M419" s="120" t="s">
        <v>188</v>
      </c>
      <c r="N419" s="11" t="s">
        <v>188</v>
      </c>
      <c r="O419" s="11" t="s">
        <v>107</v>
      </c>
    </row>
    <row r="420" spans="13:15" x14ac:dyDescent="0.35">
      <c r="M420" s="120" t="s">
        <v>188</v>
      </c>
      <c r="N420" s="11" t="s">
        <v>188</v>
      </c>
      <c r="O420" s="11" t="s">
        <v>134</v>
      </c>
    </row>
    <row r="421" spans="13:15" x14ac:dyDescent="0.35">
      <c r="M421" s="120" t="s">
        <v>188</v>
      </c>
      <c r="N421" s="11" t="s">
        <v>188</v>
      </c>
      <c r="O421" s="11" t="s">
        <v>417</v>
      </c>
    </row>
    <row r="422" spans="13:15" x14ac:dyDescent="0.35">
      <c r="M422" s="120" t="s">
        <v>188</v>
      </c>
      <c r="N422" s="11" t="s">
        <v>188</v>
      </c>
      <c r="O422" s="11" t="s">
        <v>139</v>
      </c>
    </row>
    <row r="423" spans="13:15" x14ac:dyDescent="0.35">
      <c r="M423" s="120" t="s">
        <v>188</v>
      </c>
      <c r="N423" s="11" t="s">
        <v>188</v>
      </c>
      <c r="O423" s="11" t="s">
        <v>145</v>
      </c>
    </row>
    <row r="424" spans="13:15" x14ac:dyDescent="0.35">
      <c r="M424" s="120" t="s">
        <v>462</v>
      </c>
      <c r="N424" s="11" t="s">
        <v>482</v>
      </c>
      <c r="O424" s="11" t="s">
        <v>206</v>
      </c>
    </row>
    <row r="425" spans="13:15" x14ac:dyDescent="0.35">
      <c r="M425" s="120" t="s">
        <v>462</v>
      </c>
      <c r="N425" s="11" t="s">
        <v>482</v>
      </c>
      <c r="O425" s="11" t="s">
        <v>103</v>
      </c>
    </row>
    <row r="426" spans="13:15" x14ac:dyDescent="0.35">
      <c r="M426" s="120" t="s">
        <v>462</v>
      </c>
      <c r="N426" s="11" t="s">
        <v>482</v>
      </c>
      <c r="O426" s="11" t="s">
        <v>221</v>
      </c>
    </row>
    <row r="427" spans="13:15" x14ac:dyDescent="0.35">
      <c r="M427" s="120" t="s">
        <v>462</v>
      </c>
      <c r="N427" s="11" t="s">
        <v>482</v>
      </c>
      <c r="O427" s="11" t="s">
        <v>180</v>
      </c>
    </row>
    <row r="428" spans="13:15" x14ac:dyDescent="0.35">
      <c r="M428" s="120" t="s">
        <v>462</v>
      </c>
      <c r="N428" s="11" t="s">
        <v>482</v>
      </c>
      <c r="O428" s="11" t="s">
        <v>217</v>
      </c>
    </row>
    <row r="429" spans="13:15" x14ac:dyDescent="0.35">
      <c r="M429" s="120" t="s">
        <v>462</v>
      </c>
      <c r="N429" s="11" t="s">
        <v>482</v>
      </c>
      <c r="O429" s="11" t="s">
        <v>134</v>
      </c>
    </row>
    <row r="430" spans="13:15" x14ac:dyDescent="0.35">
      <c r="M430" s="120" t="s">
        <v>462</v>
      </c>
      <c r="N430" s="11" t="s">
        <v>482</v>
      </c>
      <c r="O430" s="11" t="s">
        <v>232</v>
      </c>
    </row>
    <row r="431" spans="13:15" x14ac:dyDescent="0.35">
      <c r="M431" s="120" t="s">
        <v>462</v>
      </c>
      <c r="N431" s="11" t="s">
        <v>482</v>
      </c>
      <c r="O431" s="11" t="s">
        <v>245</v>
      </c>
    </row>
    <row r="432" spans="13:15" x14ac:dyDescent="0.35">
      <c r="M432" s="120" t="s">
        <v>462</v>
      </c>
      <c r="N432" s="11" t="s">
        <v>482</v>
      </c>
      <c r="O432" s="11" t="s">
        <v>260</v>
      </c>
    </row>
    <row r="433" spans="13:15" x14ac:dyDescent="0.35">
      <c r="M433" s="120" t="s">
        <v>462</v>
      </c>
      <c r="N433" s="11" t="s">
        <v>482</v>
      </c>
      <c r="O433" s="11" t="s">
        <v>269</v>
      </c>
    </row>
    <row r="434" spans="13:15" x14ac:dyDescent="0.35">
      <c r="M434" s="120" t="s">
        <v>463</v>
      </c>
      <c r="N434" s="11" t="s">
        <v>463</v>
      </c>
      <c r="O434" s="11" t="s">
        <v>103</v>
      </c>
    </row>
    <row r="435" spans="13:15" x14ac:dyDescent="0.35">
      <c r="M435" s="120" t="s">
        <v>465</v>
      </c>
      <c r="N435" s="11" t="s">
        <v>465</v>
      </c>
      <c r="O435" s="11" t="s">
        <v>88</v>
      </c>
    </row>
    <row r="436" spans="13:15" x14ac:dyDescent="0.35">
      <c r="M436" s="120" t="s">
        <v>465</v>
      </c>
      <c r="N436" s="11" t="s">
        <v>465</v>
      </c>
      <c r="O436" s="11" t="s">
        <v>102</v>
      </c>
    </row>
    <row r="437" spans="13:15" x14ac:dyDescent="0.35">
      <c r="M437" s="120" t="s">
        <v>465</v>
      </c>
      <c r="N437" s="11" t="s">
        <v>465</v>
      </c>
      <c r="O437" s="11" t="s">
        <v>268</v>
      </c>
    </row>
    <row r="438" spans="13:15" x14ac:dyDescent="0.35">
      <c r="M438" s="120" t="s">
        <v>465</v>
      </c>
      <c r="N438" s="11" t="s">
        <v>465</v>
      </c>
      <c r="O438" s="11" t="s">
        <v>272</v>
      </c>
    </row>
    <row r="439" spans="13:15" x14ac:dyDescent="0.35">
      <c r="M439" s="120" t="s">
        <v>465</v>
      </c>
      <c r="N439" s="11" t="s">
        <v>465</v>
      </c>
      <c r="O439" s="11" t="s">
        <v>107</v>
      </c>
    </row>
    <row r="440" spans="13:15" x14ac:dyDescent="0.35">
      <c r="M440" s="120" t="s">
        <v>465</v>
      </c>
      <c r="N440" s="11" t="s">
        <v>465</v>
      </c>
      <c r="O440" s="11" t="s">
        <v>240</v>
      </c>
    </row>
    <row r="441" spans="13:15" x14ac:dyDescent="0.35">
      <c r="M441" s="120" t="s">
        <v>465</v>
      </c>
      <c r="N441" s="11" t="s">
        <v>465</v>
      </c>
      <c r="O441" s="11" t="s">
        <v>262</v>
      </c>
    </row>
    <row r="442" spans="13:15" x14ac:dyDescent="0.35">
      <c r="M442" s="120" t="s">
        <v>465</v>
      </c>
      <c r="N442" s="11" t="s">
        <v>465</v>
      </c>
      <c r="O442" s="11" t="s">
        <v>385</v>
      </c>
    </row>
    <row r="443" spans="13:15" x14ac:dyDescent="0.35">
      <c r="M443" s="120" t="s">
        <v>465</v>
      </c>
      <c r="N443" s="11" t="s">
        <v>465</v>
      </c>
      <c r="O443" s="11" t="s">
        <v>391</v>
      </c>
    </row>
    <row r="444" spans="13:15" x14ac:dyDescent="0.35">
      <c r="M444" s="120" t="s">
        <v>465</v>
      </c>
      <c r="N444" s="11" t="s">
        <v>465</v>
      </c>
      <c r="O444" s="11" t="s">
        <v>145</v>
      </c>
    </row>
    <row r="445" spans="13:15" x14ac:dyDescent="0.35">
      <c r="M445" s="120" t="s">
        <v>465</v>
      </c>
      <c r="N445" s="11" t="s">
        <v>465</v>
      </c>
      <c r="O445" s="11" t="s">
        <v>284</v>
      </c>
    </row>
    <row r="446" spans="13:15" x14ac:dyDescent="0.35">
      <c r="M446" s="120" t="s">
        <v>465</v>
      </c>
      <c r="N446" s="11" t="s">
        <v>465</v>
      </c>
      <c r="O446" s="11" t="s">
        <v>153</v>
      </c>
    </row>
    <row r="447" spans="13:15" x14ac:dyDescent="0.35">
      <c r="M447" s="120" t="s">
        <v>465</v>
      </c>
      <c r="N447" s="11" t="s">
        <v>465</v>
      </c>
      <c r="O447" s="11" t="s">
        <v>278</v>
      </c>
    </row>
    <row r="448" spans="13:15" x14ac:dyDescent="0.35">
      <c r="M448" s="120" t="s">
        <v>466</v>
      </c>
      <c r="N448" s="11" t="s">
        <v>466</v>
      </c>
      <c r="O448" s="11" t="s">
        <v>348</v>
      </c>
    </row>
    <row r="449" spans="13:15" x14ac:dyDescent="0.35">
      <c r="M449" s="120" t="s">
        <v>466</v>
      </c>
      <c r="N449" s="11" t="s">
        <v>466</v>
      </c>
      <c r="O449" s="11" t="s">
        <v>101</v>
      </c>
    </row>
    <row r="450" spans="13:15" x14ac:dyDescent="0.35">
      <c r="M450" s="120" t="s">
        <v>466</v>
      </c>
      <c r="N450" s="11" t="s">
        <v>466</v>
      </c>
      <c r="O450" s="11" t="s">
        <v>417</v>
      </c>
    </row>
    <row r="451" spans="13:15" x14ac:dyDescent="0.35">
      <c r="M451" s="120" t="s">
        <v>471</v>
      </c>
      <c r="N451" s="11" t="s">
        <v>471</v>
      </c>
      <c r="O451" s="11" t="s">
        <v>338</v>
      </c>
    </row>
    <row r="452" spans="13:15" x14ac:dyDescent="0.35">
      <c r="M452" s="120" t="s">
        <v>474</v>
      </c>
      <c r="N452" s="11" t="s">
        <v>474</v>
      </c>
      <c r="O452" s="11" t="s">
        <v>240</v>
      </c>
    </row>
    <row r="453" spans="13:15" x14ac:dyDescent="0.35">
      <c r="M453" s="120" t="s">
        <v>475</v>
      </c>
      <c r="N453" s="11" t="s">
        <v>475</v>
      </c>
      <c r="O453" s="11" t="s">
        <v>88</v>
      </c>
    </row>
    <row r="454" spans="13:15" x14ac:dyDescent="0.35">
      <c r="M454" s="120" t="s">
        <v>475</v>
      </c>
      <c r="N454" s="11" t="s">
        <v>475</v>
      </c>
      <c r="O454" s="11" t="s">
        <v>197</v>
      </c>
    </row>
    <row r="455" spans="13:15" x14ac:dyDescent="0.35">
      <c r="M455" s="120" t="s">
        <v>475</v>
      </c>
      <c r="N455" s="11" t="s">
        <v>475</v>
      </c>
      <c r="O455" s="11" t="s">
        <v>272</v>
      </c>
    </row>
    <row r="456" spans="13:15" x14ac:dyDescent="0.35">
      <c r="M456" s="120" t="s">
        <v>475</v>
      </c>
      <c r="N456" s="11" t="s">
        <v>475</v>
      </c>
      <c r="O456" s="11" t="s">
        <v>107</v>
      </c>
    </row>
    <row r="457" spans="13:15" x14ac:dyDescent="0.35">
      <c r="M457" s="120" t="s">
        <v>475</v>
      </c>
      <c r="N457" s="12" t="s">
        <v>475</v>
      </c>
      <c r="O457" s="12" t="s">
        <v>180</v>
      </c>
    </row>
    <row r="458" spans="13:15" x14ac:dyDescent="0.35">
      <c r="M458" s="120" t="s">
        <v>475</v>
      </c>
      <c r="N458" s="11" t="s">
        <v>475</v>
      </c>
      <c r="O458" s="11" t="s">
        <v>217</v>
      </c>
    </row>
    <row r="459" spans="13:15" x14ac:dyDescent="0.35">
      <c r="M459" s="120" t="s">
        <v>475</v>
      </c>
      <c r="N459" s="11" t="s">
        <v>475</v>
      </c>
      <c r="O459" s="11" t="s">
        <v>134</v>
      </c>
    </row>
    <row r="460" spans="13:15" x14ac:dyDescent="0.35">
      <c r="M460" s="120" t="s">
        <v>475</v>
      </c>
      <c r="N460" t="s">
        <v>475</v>
      </c>
      <c r="O460" t="s">
        <v>199</v>
      </c>
    </row>
    <row r="461" spans="13:15" x14ac:dyDescent="0.35">
      <c r="M461" s="120" t="s">
        <v>475</v>
      </c>
      <c r="N461" t="s">
        <v>475</v>
      </c>
      <c r="O461" t="s">
        <v>251</v>
      </c>
    </row>
    <row r="462" spans="13:15" x14ac:dyDescent="0.35">
      <c r="M462" s="120" t="s">
        <v>475</v>
      </c>
      <c r="N462" t="s">
        <v>475</v>
      </c>
      <c r="O462" t="s">
        <v>262</v>
      </c>
    </row>
    <row r="463" spans="13:15" x14ac:dyDescent="0.35">
      <c r="M463" s="120" t="s">
        <v>475</v>
      </c>
      <c r="N463" t="s">
        <v>475</v>
      </c>
      <c r="O463" t="s">
        <v>320</v>
      </c>
    </row>
    <row r="464" spans="13:15" x14ac:dyDescent="0.35">
      <c r="M464" s="120" t="s">
        <v>475</v>
      </c>
      <c r="N464" t="s">
        <v>475</v>
      </c>
      <c r="O464" t="s">
        <v>145</v>
      </c>
    </row>
    <row r="465" spans="13:15" x14ac:dyDescent="0.35">
      <c r="M465" s="120" t="s">
        <v>475</v>
      </c>
      <c r="N465" t="s">
        <v>475</v>
      </c>
      <c r="O465" t="s">
        <v>284</v>
      </c>
    </row>
    <row r="466" spans="13:15" x14ac:dyDescent="0.35">
      <c r="M466" s="120" t="s">
        <v>475</v>
      </c>
      <c r="N466" t="s">
        <v>475</v>
      </c>
      <c r="O466" t="s">
        <v>214</v>
      </c>
    </row>
    <row r="467" spans="13:15" x14ac:dyDescent="0.35">
      <c r="M467" s="120" t="s">
        <v>475</v>
      </c>
      <c r="N467" t="s">
        <v>475</v>
      </c>
      <c r="O467" t="s">
        <v>297</v>
      </c>
    </row>
    <row r="468" spans="13:15" x14ac:dyDescent="0.35">
      <c r="M468" s="120" t="s">
        <v>475</v>
      </c>
      <c r="N468" t="s">
        <v>475</v>
      </c>
      <c r="O468" t="s">
        <v>153</v>
      </c>
    </row>
    <row r="469" spans="13:15" x14ac:dyDescent="0.35">
      <c r="M469" s="120" t="s">
        <v>476</v>
      </c>
      <c r="N469" t="s">
        <v>476</v>
      </c>
      <c r="O469" t="s">
        <v>107</v>
      </c>
    </row>
    <row r="470" spans="13:15" x14ac:dyDescent="0.35">
      <c r="M470" s="120" t="s">
        <v>477</v>
      </c>
      <c r="N470" t="s">
        <v>477</v>
      </c>
      <c r="O470" t="s">
        <v>102</v>
      </c>
    </row>
    <row r="471" spans="13:15" x14ac:dyDescent="0.35">
      <c r="M471" s="120" t="s">
        <v>477</v>
      </c>
      <c r="N471" t="s">
        <v>477</v>
      </c>
      <c r="O471" t="s">
        <v>131</v>
      </c>
    </row>
    <row r="472" spans="13:15" x14ac:dyDescent="0.35">
      <c r="M472" s="120" t="s">
        <v>477</v>
      </c>
      <c r="N472" t="s">
        <v>477</v>
      </c>
      <c r="O472" t="s">
        <v>103</v>
      </c>
    </row>
    <row r="473" spans="13:15" x14ac:dyDescent="0.35">
      <c r="M473" s="120" t="s">
        <v>477</v>
      </c>
      <c r="N473" t="s">
        <v>477</v>
      </c>
      <c r="O473" t="s">
        <v>353</v>
      </c>
    </row>
    <row r="474" spans="13:15" x14ac:dyDescent="0.35">
      <c r="M474" s="120" t="s">
        <v>477</v>
      </c>
      <c r="N474" t="s">
        <v>477</v>
      </c>
      <c r="O474" t="s">
        <v>411</v>
      </c>
    </row>
    <row r="475" spans="13:15" x14ac:dyDescent="0.35">
      <c r="M475" s="120" t="s">
        <v>477</v>
      </c>
      <c r="N475" t="s">
        <v>477</v>
      </c>
      <c r="O475" t="s">
        <v>391</v>
      </c>
    </row>
    <row r="476" spans="13:15" x14ac:dyDescent="0.35">
      <c r="M476" s="120" t="s">
        <v>477</v>
      </c>
      <c r="N476" t="s">
        <v>477</v>
      </c>
      <c r="O476" t="s">
        <v>153</v>
      </c>
    </row>
    <row r="477" spans="13:15" x14ac:dyDescent="0.35">
      <c r="M477" s="120" t="s">
        <v>478</v>
      </c>
      <c r="N477" t="s">
        <v>478</v>
      </c>
      <c r="O477" t="s">
        <v>240</v>
      </c>
    </row>
    <row r="478" spans="13:15" x14ac:dyDescent="0.35">
      <c r="M478" s="120" t="s">
        <v>478</v>
      </c>
      <c r="N478" t="s">
        <v>478</v>
      </c>
      <c r="O478" t="s">
        <v>409</v>
      </c>
    </row>
    <row r="479" spans="13:15" x14ac:dyDescent="0.35">
      <c r="M479" s="120" t="s">
        <v>478</v>
      </c>
      <c r="N479" t="s">
        <v>478</v>
      </c>
      <c r="O479" t="s">
        <v>145</v>
      </c>
    </row>
    <row r="480" spans="13:15" x14ac:dyDescent="0.35">
      <c r="M480" s="120" t="s">
        <v>478</v>
      </c>
      <c r="N480" t="s">
        <v>478</v>
      </c>
      <c r="O480" t="s">
        <v>153</v>
      </c>
    </row>
  </sheetData>
  <mergeCells count="7">
    <mergeCell ref="Q1:R1"/>
    <mergeCell ref="AT1:AV1"/>
    <mergeCell ref="A1:B1"/>
    <mergeCell ref="J1:K1"/>
    <mergeCell ref="D210:H210"/>
    <mergeCell ref="D1:H1"/>
    <mergeCell ref="M1:O1"/>
  </mergeCells>
  <pageMargins left="0.7" right="0.7" top="0.75" bottom="0.75" header="0.3" footer="0.3"/>
  <pageSetup paperSize="9" orientation="portrait" horizontalDpi="1200" verticalDpi="1200" r:id="rId1"/>
  <headerFooter>
    <oddHeader>&amp;C&amp;"Calibri"&amp;10&amp;K000000 OFFICIAL-SENSITIVE&amp;1#_x000D_</oddHeader>
    <oddFooter>&amp;C_x000D_&amp;1#&amp;"Calibri"&amp;10&amp;K000000 OFFICIAL-SENSITIVE</oddFooter>
  </headerFooter>
  <tableParts count="2">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71382-A93A-40F1-825A-1278B86161BE}">
  <dimension ref="A1:AA136"/>
  <sheetViews>
    <sheetView topLeftCell="A120" zoomScale="85" zoomScaleNormal="85" workbookViewId="0">
      <selection activeCell="C121" sqref="C121"/>
    </sheetView>
  </sheetViews>
  <sheetFormatPr defaultRowHeight="14.5" x14ac:dyDescent="0.35"/>
  <cols>
    <col min="1" max="1" width="2.1796875" customWidth="1"/>
    <col min="2" max="3" width="39.81640625" customWidth="1"/>
    <col min="23" max="23" width="37.54296875" bestFit="1" customWidth="1"/>
    <col min="24" max="25" width="21.81640625" customWidth="1"/>
  </cols>
  <sheetData>
    <row r="1" spans="2:27" x14ac:dyDescent="0.35">
      <c r="C1" s="1"/>
      <c r="D1">
        <f>SIGN(SUMPRODUCT($B$4:$B$86,D4:D86))</f>
        <v>0</v>
      </c>
      <c r="E1">
        <f>SIGN(SUMPRODUCT($B$4:$B$86,E4:E86))*(MAX($D$1:D1)+1)</f>
        <v>0</v>
      </c>
      <c r="F1">
        <f>SIGN(SUMPRODUCT($B$4:$B$86,F4:F86))*(MAX($D$1:E1)+1)</f>
        <v>0</v>
      </c>
      <c r="G1">
        <f>SIGN(SUMPRODUCT($B$4:$B$86,G4:G86))*(MAX($D$1:F1)+1)</f>
        <v>0</v>
      </c>
      <c r="H1">
        <f>SIGN(SUMPRODUCT($B$4:$B$86,H4:H86))*(MAX($D$1:G1)+1)</f>
        <v>0</v>
      </c>
      <c r="I1">
        <f>SIGN(SUMPRODUCT($B$4:$B$86,I4:I86))*(MAX($D$1:H1)+1)</f>
        <v>0</v>
      </c>
      <c r="J1">
        <f>SIGN(SUMPRODUCT($B$4:$B$86,J4:J86))*(MAX($D$1:I1)+1)</f>
        <v>0</v>
      </c>
      <c r="K1">
        <f>SIGN(SUMPRODUCT($B$4:$B$86,K4:K86))*(MAX($D$1:J1)+1)</f>
        <v>0</v>
      </c>
      <c r="L1">
        <f>SIGN(SUMPRODUCT($B$4:$B$86,L4:L86))*(MAX($D$1:K1)+1)</f>
        <v>0</v>
      </c>
      <c r="M1">
        <f>SIGN(SUMPRODUCT($B$4:$B$86,M4:M86))*(MAX($D$1:L1)+1)</f>
        <v>0</v>
      </c>
      <c r="N1">
        <f>SIGN(SUMPRODUCT($B$4:$B$86,N4:N86))*(MAX($D$1:M1)+1)</f>
        <v>0</v>
      </c>
      <c r="O1">
        <f>SIGN(SUMPRODUCT($B$4:$B$86,O4:O86))*(MAX($D$1:N1)+1)</f>
        <v>0</v>
      </c>
      <c r="P1">
        <f>SIGN(SUMPRODUCT($B$4:$B$86,P4:P86))*(MAX($D$1:O1)+1)</f>
        <v>0</v>
      </c>
      <c r="Q1">
        <f>SIGN(SUMPRODUCT($B$4:$B$86,Q4:Q86))*(MAX($D$1:P1)+1)</f>
        <v>0</v>
      </c>
      <c r="R1">
        <f>SIGN(SUMPRODUCT($B$4:$B$86,R4:R86))*(MAX($D$1:Q1)+1)</f>
        <v>0</v>
      </c>
      <c r="S1">
        <f>SIGN(SUMPRODUCT($B$4:$B$86,S4:S86))*(MAX($D$1:R1)+1)</f>
        <v>0</v>
      </c>
      <c r="T1">
        <f>SIGN(SUMPRODUCT($B$4:$B$86,T4:T86))*(MAX($D$1:S1)+1)</f>
        <v>0</v>
      </c>
      <c r="U1">
        <f>SIGN(SUMPRODUCT($B$4:$B$86,U4:U86))*(MAX($D$1:T1)+1)</f>
        <v>0</v>
      </c>
      <c r="V1">
        <f>SIGN(SUMPRODUCT($B$4:$B$86,V4:V86))*(MAX($D$1:U1)+1)</f>
        <v>0</v>
      </c>
    </row>
    <row r="2" spans="2:27" ht="180.75" customHeight="1" x14ac:dyDescent="0.35">
      <c r="C2" s="5" t="s">
        <v>483</v>
      </c>
      <c r="D2" s="50" t="s">
        <v>484</v>
      </c>
      <c r="E2" s="50" t="s">
        <v>485</v>
      </c>
      <c r="F2" s="51" t="s">
        <v>486</v>
      </c>
      <c r="G2" s="50" t="s">
        <v>487</v>
      </c>
      <c r="H2" s="50" t="s">
        <v>488</v>
      </c>
      <c r="I2" s="50" t="s">
        <v>489</v>
      </c>
      <c r="J2" s="50" t="s">
        <v>490</v>
      </c>
      <c r="K2" s="50" t="s">
        <v>491</v>
      </c>
      <c r="L2" s="50" t="s">
        <v>492</v>
      </c>
      <c r="M2" s="50" t="s">
        <v>493</v>
      </c>
      <c r="N2" s="50" t="s">
        <v>494</v>
      </c>
      <c r="O2" s="50" t="s">
        <v>495</v>
      </c>
      <c r="P2" s="50" t="s">
        <v>496</v>
      </c>
      <c r="Q2" s="50" t="s">
        <v>497</v>
      </c>
      <c r="R2" s="50" t="s">
        <v>498</v>
      </c>
      <c r="S2" s="50" t="s">
        <v>499</v>
      </c>
      <c r="T2" s="50" t="s">
        <v>500</v>
      </c>
      <c r="U2" s="50" t="s">
        <v>501</v>
      </c>
      <c r="V2" s="50" t="s">
        <v>501</v>
      </c>
    </row>
    <row r="3" spans="2:27" x14ac:dyDescent="0.35">
      <c r="B3">
        <f>IF(Input!$B$23=C3,-1,0)</f>
        <v>-1</v>
      </c>
      <c r="C3" s="1" t="s">
        <v>502</v>
      </c>
      <c r="X3" s="166" t="s">
        <v>656</v>
      </c>
      <c r="Y3" s="166"/>
      <c r="Z3" s="166"/>
      <c r="AA3" s="166"/>
    </row>
    <row r="4" spans="2:27" x14ac:dyDescent="0.35">
      <c r="B4">
        <f>IF(Input!$B$23=C4,1,0)</f>
        <v>0</v>
      </c>
      <c r="C4" s="4" t="s">
        <v>503</v>
      </c>
      <c r="D4" s="31"/>
      <c r="E4" s="31"/>
      <c r="F4" s="31"/>
      <c r="G4" s="31"/>
      <c r="H4" s="31"/>
      <c r="I4" s="31">
        <v>1</v>
      </c>
      <c r="J4" s="31"/>
      <c r="K4" s="31">
        <v>1</v>
      </c>
      <c r="L4" s="31"/>
      <c r="M4" s="31"/>
      <c r="N4" s="31"/>
      <c r="O4" s="31">
        <v>1</v>
      </c>
      <c r="P4" s="31"/>
      <c r="Q4" s="31"/>
      <c r="R4" s="31"/>
      <c r="S4" s="31"/>
      <c r="T4" s="31"/>
      <c r="U4" s="31"/>
      <c r="V4" s="31"/>
      <c r="X4" t="s">
        <v>504</v>
      </c>
      <c r="Y4" t="s">
        <v>633</v>
      </c>
      <c r="Z4" t="s">
        <v>505</v>
      </c>
      <c r="AA4" t="s">
        <v>506</v>
      </c>
    </row>
    <row r="5" spans="2:27" x14ac:dyDescent="0.35">
      <c r="B5">
        <f>IF(Input!$B$23=C5,1,0)</f>
        <v>0</v>
      </c>
      <c r="C5" s="1" t="s">
        <v>507</v>
      </c>
      <c r="D5" s="31"/>
      <c r="E5" s="31">
        <v>1</v>
      </c>
      <c r="F5" s="31"/>
      <c r="G5" s="31"/>
      <c r="H5" s="31"/>
      <c r="I5" s="31">
        <v>1</v>
      </c>
      <c r="J5" s="31">
        <v>1</v>
      </c>
      <c r="K5" s="31"/>
      <c r="L5" s="31"/>
      <c r="M5" s="31"/>
      <c r="N5" s="31"/>
      <c r="O5" s="31"/>
      <c r="P5" s="31"/>
      <c r="Q5" s="31"/>
      <c r="R5" s="31"/>
      <c r="S5" s="31"/>
      <c r="T5" s="31"/>
      <c r="U5" s="31"/>
      <c r="V5" s="31"/>
      <c r="X5" s="31" t="s">
        <v>305</v>
      </c>
      <c r="Y5" s="31" t="s">
        <v>370</v>
      </c>
      <c r="Z5" s="80">
        <f>IFERROR(VLOOKUP(Table3[[#This Row],[Tool Name]],Table6[[Tool Name]:[MS Prevalence]],2,FALSE),"")</f>
        <v>12.079667091369631</v>
      </c>
      <c r="AA5" s="80" cm="1">
        <f t="array" ref="AA5">SUMPRODUCT(--(Table3[[#This Row],[Typed Name]]=Input!$B$39:$B$58))</f>
        <v>0</v>
      </c>
    </row>
    <row r="6" spans="2:27" x14ac:dyDescent="0.35">
      <c r="B6">
        <f>IF(Input!$B$23=C6,1,0)</f>
        <v>0</v>
      </c>
      <c r="C6" s="1" t="s">
        <v>508</v>
      </c>
      <c r="D6" s="31"/>
      <c r="E6" s="31">
        <v>1</v>
      </c>
      <c r="F6" s="31"/>
      <c r="G6" s="31"/>
      <c r="H6" s="31"/>
      <c r="I6" s="31">
        <v>1</v>
      </c>
      <c r="J6" s="31">
        <v>1</v>
      </c>
      <c r="K6" s="31">
        <v>1</v>
      </c>
      <c r="L6" s="31"/>
      <c r="M6" s="31"/>
      <c r="N6" s="31"/>
      <c r="O6" s="31"/>
      <c r="P6" s="31"/>
      <c r="Q6" s="31"/>
      <c r="R6" s="31"/>
      <c r="S6" s="31"/>
      <c r="T6" s="31"/>
      <c r="U6" s="31"/>
      <c r="V6" s="31"/>
      <c r="X6" s="31" t="s">
        <v>509</v>
      </c>
      <c r="Y6" s="31" t="s">
        <v>462</v>
      </c>
      <c r="Z6" s="80">
        <f>IFERROR(VLOOKUP(Table3[[#This Row],[Tool Name]],Table6[[Tool Name]:[MS Prevalence]],2,FALSE),"")</f>
        <v>15.64948081970215</v>
      </c>
      <c r="AA6" s="80" cm="1">
        <f t="array" ref="AA6">SUMPRODUCT(--(Table3[[#This Row],[Typed Name]]=Input!$B$39:$B$58))</f>
        <v>0</v>
      </c>
    </row>
    <row r="7" spans="2:27" x14ac:dyDescent="0.35">
      <c r="B7">
        <f>IF(Input!$B$23=C7,1,0)</f>
        <v>0</v>
      </c>
      <c r="C7" s="1" t="s">
        <v>510</v>
      </c>
      <c r="D7" s="31"/>
      <c r="E7" s="31">
        <v>1</v>
      </c>
      <c r="F7" s="31"/>
      <c r="G7" s="31"/>
      <c r="H7" s="31"/>
      <c r="I7" s="31">
        <v>1</v>
      </c>
      <c r="J7" s="31">
        <v>1</v>
      </c>
      <c r="K7" s="31">
        <v>1</v>
      </c>
      <c r="L7" s="31"/>
      <c r="M7" s="31"/>
      <c r="N7" s="31"/>
      <c r="O7" s="31"/>
      <c r="P7" s="31">
        <v>1</v>
      </c>
      <c r="Q7" s="31"/>
      <c r="R7" s="31"/>
      <c r="S7" s="31"/>
      <c r="T7" s="31"/>
      <c r="U7" s="31"/>
      <c r="V7" s="31"/>
      <c r="X7" s="31" t="s">
        <v>511</v>
      </c>
      <c r="Y7" s="31" t="s">
        <v>125</v>
      </c>
      <c r="Z7" s="80">
        <f>IFERROR(VLOOKUP(Table3[[#This Row],[Tool Name]],Table6[[Tool Name]:[MS Prevalence]],2,FALSE),"")</f>
        <v>4.5472292900085449</v>
      </c>
      <c r="AA7" s="80" cm="1">
        <f t="array" ref="AA7">SUMPRODUCT(--(Table3[[#This Row],[Typed Name]]=Input!$B$39:$B$58))</f>
        <v>0</v>
      </c>
    </row>
    <row r="8" spans="2:27" x14ac:dyDescent="0.35">
      <c r="B8">
        <f>IF(Input!$B$23=C8,1,0)</f>
        <v>0</v>
      </c>
      <c r="C8" s="1" t="s">
        <v>512</v>
      </c>
      <c r="D8" s="31"/>
      <c r="E8" s="31"/>
      <c r="F8" s="31"/>
      <c r="G8" s="31"/>
      <c r="H8" s="31"/>
      <c r="I8" s="31">
        <v>1</v>
      </c>
      <c r="J8" s="31"/>
      <c r="K8" s="31">
        <v>1</v>
      </c>
      <c r="L8" s="31"/>
      <c r="M8" s="31"/>
      <c r="N8" s="31"/>
      <c r="O8" s="31"/>
      <c r="P8" s="31"/>
      <c r="Q8" s="31"/>
      <c r="R8" s="31"/>
      <c r="S8" s="31"/>
      <c r="T8" s="31"/>
      <c r="U8" s="31"/>
      <c r="V8" s="31"/>
      <c r="X8" s="31" t="s">
        <v>513</v>
      </c>
      <c r="Y8" s="31" t="s">
        <v>412</v>
      </c>
      <c r="Z8" s="80">
        <f>IFERROR(VLOOKUP(Table3[[#This Row],[Tool Name]],Table6[[Tool Name]:[MS Prevalence]],2,FALSE),"")</f>
        <v>7.990757942199707</v>
      </c>
      <c r="AA8" s="80" cm="1">
        <f t="array" ref="AA8">SUMPRODUCT(--(Table3[[#This Row],[Typed Name]]=Input!$B$39:$B$58))</f>
        <v>0</v>
      </c>
    </row>
    <row r="9" spans="2:27" x14ac:dyDescent="0.35">
      <c r="B9">
        <f>IF(Input!$B$23=C9,1,0)</f>
        <v>0</v>
      </c>
      <c r="C9" s="93" t="s">
        <v>514</v>
      </c>
      <c r="D9" s="31">
        <v>1</v>
      </c>
      <c r="E9" s="31"/>
      <c r="F9" s="31">
        <v>1</v>
      </c>
      <c r="G9" s="31"/>
      <c r="H9" s="31">
        <v>1</v>
      </c>
      <c r="I9" s="31"/>
      <c r="J9" s="31"/>
      <c r="K9" s="31"/>
      <c r="L9" s="31"/>
      <c r="M9" s="31"/>
      <c r="N9" s="31"/>
      <c r="O9" s="31"/>
      <c r="P9" s="31"/>
      <c r="Q9" s="31"/>
      <c r="R9" s="31"/>
      <c r="S9" s="31"/>
      <c r="T9" s="31"/>
      <c r="U9" s="31"/>
      <c r="V9" s="31"/>
      <c r="X9" s="31" t="s">
        <v>515</v>
      </c>
      <c r="Y9" s="31" t="s">
        <v>457</v>
      </c>
      <c r="Z9" s="80">
        <f>IFERROR(VLOOKUP(Table3[[#This Row],[Tool Name]],Table6[[Tool Name]:[MS Prevalence]],2,FALSE),"")</f>
        <v>6.0507779121398926</v>
      </c>
      <c r="AA9" s="80" cm="1">
        <f t="array" ref="AA9">SUMPRODUCT(--(Table3[[#This Row],[Typed Name]]=Input!$B$39:$B$58))</f>
        <v>0</v>
      </c>
    </row>
    <row r="10" spans="2:27" ht="29" x14ac:dyDescent="0.35">
      <c r="B10">
        <f>IF(Input!$B$23=C10,1,0)</f>
        <v>0</v>
      </c>
      <c r="C10" s="1" t="s">
        <v>516</v>
      </c>
      <c r="D10" s="31"/>
      <c r="E10" s="31"/>
      <c r="F10" s="31"/>
      <c r="G10" s="31"/>
      <c r="H10" s="31"/>
      <c r="I10" s="31"/>
      <c r="J10" s="31">
        <v>1</v>
      </c>
      <c r="K10" s="31">
        <v>1</v>
      </c>
      <c r="L10" s="31"/>
      <c r="M10" s="31"/>
      <c r="N10" s="31"/>
      <c r="O10" s="31"/>
      <c r="P10" s="31"/>
      <c r="Q10" s="31"/>
      <c r="R10" s="31"/>
      <c r="S10" s="31"/>
      <c r="T10" s="31"/>
      <c r="U10" s="31"/>
      <c r="V10" s="31"/>
      <c r="X10" s="31" t="s">
        <v>73</v>
      </c>
      <c r="Y10" s="31" t="s">
        <v>468</v>
      </c>
      <c r="Z10" s="80">
        <f>IFERROR(VLOOKUP(Table3[[#This Row],[Tool Name]],Table6[[Tool Name]:[MS Prevalence]],2,FALSE),"")</f>
        <v>1.803719639778137</v>
      </c>
      <c r="AA10" s="80" cm="1">
        <f t="array" ref="AA10">SUMPRODUCT(--(Table3[[#This Row],[Typed Name]]=Input!$B$39:$B$58))</f>
        <v>0</v>
      </c>
    </row>
    <row r="11" spans="2:27" x14ac:dyDescent="0.35">
      <c r="B11">
        <f>IF(Input!$B$23=C11,1,0)</f>
        <v>0</v>
      </c>
      <c r="C11" s="1" t="s">
        <v>517</v>
      </c>
      <c r="D11" s="31"/>
      <c r="E11" s="31"/>
      <c r="F11" s="31"/>
      <c r="G11" s="31"/>
      <c r="H11" s="31"/>
      <c r="I11" s="31"/>
      <c r="J11" s="31"/>
      <c r="K11" s="31"/>
      <c r="L11" s="31"/>
      <c r="M11" s="31"/>
      <c r="N11" s="31"/>
      <c r="O11" s="31"/>
      <c r="P11" s="31"/>
      <c r="Q11" s="31"/>
      <c r="R11" s="31"/>
      <c r="S11" s="31"/>
      <c r="T11" s="31"/>
      <c r="U11" s="31"/>
      <c r="V11" s="31"/>
      <c r="X11" s="31" t="s">
        <v>518</v>
      </c>
      <c r="Y11" s="31" t="s">
        <v>468</v>
      </c>
      <c r="Z11" s="80">
        <f>IFERROR(VLOOKUP(Table3[[#This Row],[Tool Name]],Table6[[Tool Name]:[MS Prevalence]],2,FALSE),"")</f>
        <v>1.803719639778137</v>
      </c>
      <c r="AA11" s="80" cm="1">
        <f t="array" ref="AA11">SUMPRODUCT(--(Table3[[#This Row],[Typed Name]]=Input!$B$39:$B$58))</f>
        <v>0</v>
      </c>
    </row>
    <row r="12" spans="2:27" x14ac:dyDescent="0.35">
      <c r="B12">
        <f>IF(Input!$B$23=C12,1,0)</f>
        <v>0</v>
      </c>
      <c r="C12" s="1" t="s">
        <v>519</v>
      </c>
      <c r="D12" s="31"/>
      <c r="E12" s="31"/>
      <c r="F12" s="31"/>
      <c r="G12" s="31"/>
      <c r="H12" s="31"/>
      <c r="I12" s="31"/>
      <c r="J12" s="31"/>
      <c r="K12" s="31"/>
      <c r="L12" s="31"/>
      <c r="M12" s="31">
        <v>1</v>
      </c>
      <c r="N12" s="31">
        <v>1</v>
      </c>
      <c r="O12" s="31">
        <v>1</v>
      </c>
      <c r="P12" s="31"/>
      <c r="Q12" s="31"/>
      <c r="R12" s="31"/>
      <c r="S12" s="31"/>
      <c r="T12" s="31"/>
      <c r="U12" s="31"/>
      <c r="V12" s="31"/>
      <c r="X12" s="31" t="s">
        <v>520</v>
      </c>
      <c r="Y12" s="31" t="s">
        <v>468</v>
      </c>
      <c r="Z12" s="80">
        <f>IFERROR(VLOOKUP(Table3[[#This Row],[Tool Name]],Table6[[Tool Name]:[MS Prevalence]],2,FALSE),"")</f>
        <v>1.803719639778137</v>
      </c>
      <c r="AA12" s="80" cm="1">
        <f t="array" ref="AA12">SUMPRODUCT(--(Table3[[#This Row],[Typed Name]]=Input!$B$39:$B$58))</f>
        <v>0</v>
      </c>
    </row>
    <row r="13" spans="2:27" x14ac:dyDescent="0.35">
      <c r="B13">
        <f>IF(Input!$B$23=C13,1,0)</f>
        <v>0</v>
      </c>
      <c r="C13" s="1" t="s">
        <v>521</v>
      </c>
      <c r="D13" s="31">
        <v>1</v>
      </c>
      <c r="E13" s="31"/>
      <c r="F13" s="31"/>
      <c r="G13" s="31"/>
      <c r="H13" s="31"/>
      <c r="I13" s="31">
        <v>1</v>
      </c>
      <c r="J13" s="31"/>
      <c r="K13" s="31">
        <v>1</v>
      </c>
      <c r="L13" s="31"/>
      <c r="M13" s="31"/>
      <c r="N13" s="31"/>
      <c r="O13" s="31">
        <v>1</v>
      </c>
      <c r="P13" s="31"/>
      <c r="Q13" s="31">
        <v>1</v>
      </c>
      <c r="R13" s="31">
        <v>1</v>
      </c>
      <c r="S13" s="31"/>
      <c r="T13" s="31"/>
      <c r="U13" s="31"/>
      <c r="V13" s="31"/>
      <c r="X13" s="31" t="s">
        <v>522</v>
      </c>
      <c r="Y13" s="31" t="s">
        <v>468</v>
      </c>
      <c r="Z13" s="80">
        <f>IFERROR(VLOOKUP(Table3[[#This Row],[Tool Name]],Table6[[Tool Name]:[MS Prevalence]],2,FALSE),"")</f>
        <v>1.803719639778137</v>
      </c>
      <c r="AA13" s="80" cm="1">
        <f t="array" ref="AA13">SUMPRODUCT(--(Table3[[#This Row],[Typed Name]]=Input!$B$39:$B$58))</f>
        <v>0</v>
      </c>
    </row>
    <row r="14" spans="2:27" x14ac:dyDescent="0.35">
      <c r="B14">
        <f>IF(Input!$B$23=C14,1,0)</f>
        <v>0</v>
      </c>
      <c r="C14" s="1" t="s">
        <v>523</v>
      </c>
      <c r="D14" s="31">
        <v>1</v>
      </c>
      <c r="E14" s="31"/>
      <c r="F14" s="31">
        <v>1</v>
      </c>
      <c r="G14" s="31"/>
      <c r="H14" s="31"/>
      <c r="I14" s="31"/>
      <c r="J14" s="31"/>
      <c r="K14" s="31">
        <v>1</v>
      </c>
      <c r="L14" s="31"/>
      <c r="M14" s="31"/>
      <c r="N14" s="31"/>
      <c r="O14" s="31"/>
      <c r="P14" s="31"/>
      <c r="Q14" s="31">
        <v>1</v>
      </c>
      <c r="R14" s="31"/>
      <c r="S14" s="31"/>
      <c r="T14" s="31"/>
      <c r="U14" s="31"/>
      <c r="V14" s="31"/>
      <c r="X14" s="31" t="s">
        <v>524</v>
      </c>
      <c r="Y14" s="31" t="s">
        <v>469</v>
      </c>
      <c r="Z14" s="80">
        <f>IFERROR(VLOOKUP(Table3[[#This Row],[Tool Name]],Table6[[Tool Name]:[MS Prevalence]],2,FALSE),"")</f>
        <v>3.29526686668396</v>
      </c>
      <c r="AA14" s="80" cm="1">
        <f t="array" ref="AA14">SUMPRODUCT(--(Table3[[#This Row],[Typed Name]]=Input!$B$39:$B$58))</f>
        <v>0</v>
      </c>
    </row>
    <row r="15" spans="2:27" x14ac:dyDescent="0.35">
      <c r="B15">
        <f>IF(Input!$B$23=C15,1,0)</f>
        <v>0</v>
      </c>
      <c r="C15" s="1" t="s">
        <v>525</v>
      </c>
      <c r="D15" s="31"/>
      <c r="E15" s="31"/>
      <c r="F15" s="31"/>
      <c r="G15" s="31"/>
      <c r="H15" s="31"/>
      <c r="I15" s="31"/>
      <c r="J15" s="31">
        <v>1</v>
      </c>
      <c r="K15" s="31">
        <v>1</v>
      </c>
      <c r="L15" s="31"/>
      <c r="M15" s="31"/>
      <c r="N15" s="31"/>
      <c r="O15" s="31"/>
      <c r="P15" s="31"/>
      <c r="Q15" s="31"/>
      <c r="R15" s="31"/>
      <c r="S15" s="31"/>
      <c r="T15" s="31"/>
      <c r="U15" s="31"/>
      <c r="V15" s="31"/>
      <c r="X15" s="31" t="s">
        <v>526</v>
      </c>
      <c r="Y15" s="31" t="s">
        <v>469</v>
      </c>
      <c r="Z15" s="80">
        <f>IFERROR(VLOOKUP(Table3[[#This Row],[Tool Name]],Table6[[Tool Name]:[MS Prevalence]],2,FALSE),"")</f>
        <v>3.29526686668396</v>
      </c>
      <c r="AA15" s="80" cm="1">
        <f t="array" ref="AA15">SUMPRODUCT(--(Table3[[#This Row],[Typed Name]]=Input!$B$39:$B$58))</f>
        <v>0</v>
      </c>
    </row>
    <row r="16" spans="2:27" x14ac:dyDescent="0.35">
      <c r="B16">
        <f>IF(Input!$B$23=C16,1,0)</f>
        <v>0</v>
      </c>
      <c r="C16" s="1" t="s">
        <v>527</v>
      </c>
      <c r="D16" s="31"/>
      <c r="E16" s="31"/>
      <c r="F16" s="31"/>
      <c r="G16" s="31"/>
      <c r="H16" s="31"/>
      <c r="I16" s="31">
        <v>1</v>
      </c>
      <c r="J16" s="31"/>
      <c r="K16" s="31">
        <v>1</v>
      </c>
      <c r="L16" s="31"/>
      <c r="M16" s="31"/>
      <c r="N16" s="31"/>
      <c r="O16" s="31">
        <v>1</v>
      </c>
      <c r="P16" s="31"/>
      <c r="Q16" s="31"/>
      <c r="R16" s="31"/>
      <c r="S16" s="31"/>
      <c r="T16" s="31"/>
      <c r="U16" s="31"/>
      <c r="V16" s="31"/>
      <c r="X16" s="31" t="s">
        <v>528</v>
      </c>
      <c r="Y16" s="31" t="s">
        <v>467</v>
      </c>
      <c r="Z16" s="80">
        <f>IFERROR(VLOOKUP(Table3[[#This Row],[Tool Name]],Table6[[Tool Name]:[MS Prevalence]],2,FALSE),"")</f>
        <v>13.366727923696081</v>
      </c>
      <c r="AA16" s="80" cm="1">
        <f t="array" ref="AA16">SUMPRODUCT(--(Table3[[#This Row],[Typed Name]]=Input!$B$39:$B$58))</f>
        <v>0</v>
      </c>
    </row>
    <row r="17" spans="2:27" x14ac:dyDescent="0.35">
      <c r="B17">
        <f>IF(Input!$B$23=C17,1,0)</f>
        <v>0</v>
      </c>
      <c r="C17" s="1" t="s">
        <v>529</v>
      </c>
      <c r="D17" s="31"/>
      <c r="E17" s="31"/>
      <c r="F17" s="31"/>
      <c r="G17" s="31"/>
      <c r="H17" s="31"/>
      <c r="I17" s="31">
        <v>1</v>
      </c>
      <c r="J17" s="31"/>
      <c r="K17" s="31">
        <v>1</v>
      </c>
      <c r="L17" s="31"/>
      <c r="M17" s="31"/>
      <c r="N17" s="31"/>
      <c r="O17" s="31">
        <v>1</v>
      </c>
      <c r="P17" s="31">
        <v>1</v>
      </c>
      <c r="Q17" s="31"/>
      <c r="R17" s="31"/>
      <c r="S17" s="31"/>
      <c r="T17" s="31"/>
      <c r="U17" s="31"/>
      <c r="V17" s="31"/>
      <c r="X17" s="79" t="s">
        <v>530</v>
      </c>
      <c r="Y17" s="31"/>
      <c r="Z17" s="80" t="str">
        <f>IFERROR(VLOOKUP(Table3[[#This Row],[Tool Name]],Table6[[Tool Name]:[MS Prevalence]],2,FALSE),"")</f>
        <v/>
      </c>
      <c r="AA17" s="80" cm="1">
        <f t="array" ref="AA17">SUMPRODUCT(--(Table3[[#This Row],[Typed Name]]=Input!$B$39:$B$58))</f>
        <v>20</v>
      </c>
    </row>
    <row r="18" spans="2:27" x14ac:dyDescent="0.35">
      <c r="B18">
        <f>IF(Input!$B$23=C18,1,0)</f>
        <v>0</v>
      </c>
      <c r="C18" s="1" t="s">
        <v>531</v>
      </c>
      <c r="D18" s="31"/>
      <c r="E18" s="31">
        <v>1</v>
      </c>
      <c r="F18" s="31"/>
      <c r="G18" s="31"/>
      <c r="H18" s="31"/>
      <c r="I18" s="31">
        <v>1</v>
      </c>
      <c r="J18" s="31"/>
      <c r="K18" s="31">
        <v>1</v>
      </c>
      <c r="L18" s="31"/>
      <c r="M18" s="31"/>
      <c r="N18" s="31"/>
      <c r="O18" s="31">
        <v>1</v>
      </c>
      <c r="P18" s="31"/>
      <c r="Q18" s="31"/>
      <c r="R18" s="31"/>
      <c r="S18" s="31"/>
      <c r="T18" s="31"/>
      <c r="U18" s="31"/>
      <c r="V18" s="31"/>
      <c r="X18" s="79" t="s">
        <v>530</v>
      </c>
      <c r="Y18" s="31"/>
      <c r="Z18" s="80" t="str">
        <f>IFERROR(VLOOKUP(Table3[[#This Row],[Tool Name]],Table6[[Tool Name]:[MS Prevalence]],2,FALSE),"")</f>
        <v/>
      </c>
      <c r="AA18" s="80" cm="1">
        <f t="array" ref="AA18">SUMPRODUCT(--(Table3[[#This Row],[Typed Name]]=Input!$B$39:$B$58))</f>
        <v>20</v>
      </c>
    </row>
    <row r="19" spans="2:27" ht="29" x14ac:dyDescent="0.35">
      <c r="B19">
        <f>IF(Input!$B$23=C19,1,0)</f>
        <v>0</v>
      </c>
      <c r="C19" s="1" t="s">
        <v>54</v>
      </c>
      <c r="D19" s="31">
        <v>1</v>
      </c>
      <c r="E19" s="31"/>
      <c r="F19" s="31">
        <v>1</v>
      </c>
      <c r="G19" s="31"/>
      <c r="H19" s="31"/>
      <c r="I19" s="31"/>
      <c r="J19" s="31"/>
      <c r="K19" s="31"/>
      <c r="L19" s="31"/>
      <c r="M19" s="31"/>
      <c r="N19" s="31"/>
      <c r="O19" s="31">
        <v>1</v>
      </c>
      <c r="P19" s="31"/>
      <c r="Q19" s="31">
        <v>1</v>
      </c>
      <c r="R19" s="31"/>
      <c r="S19" s="31"/>
      <c r="T19" s="31"/>
      <c r="U19" s="31"/>
      <c r="V19" s="31"/>
      <c r="X19" s="79" t="s">
        <v>530</v>
      </c>
      <c r="Y19" s="31"/>
      <c r="Z19" s="80" t="str">
        <f>IFERROR(VLOOKUP(Table3[[#This Row],[Tool Name]],Table6[[Tool Name]:[MS Prevalence]],2,FALSE),"")</f>
        <v/>
      </c>
      <c r="AA19" s="80" cm="1">
        <f t="array" ref="AA19">SUMPRODUCT(--(Table3[[#This Row],[Typed Name]]=Input!$B$39:$B$58))</f>
        <v>20</v>
      </c>
    </row>
    <row r="20" spans="2:27" x14ac:dyDescent="0.35">
      <c r="B20">
        <f>IF(Input!$B$23=C20,1,0)</f>
        <v>0</v>
      </c>
      <c r="C20" s="1" t="s">
        <v>532</v>
      </c>
      <c r="D20" s="31">
        <v>1</v>
      </c>
      <c r="E20" s="31"/>
      <c r="F20" s="31"/>
      <c r="G20" s="31"/>
      <c r="H20" s="31"/>
      <c r="I20" s="31"/>
      <c r="J20" s="31"/>
      <c r="K20" s="31"/>
      <c r="L20" s="31"/>
      <c r="M20" s="31">
        <v>1</v>
      </c>
      <c r="N20" s="31"/>
      <c r="O20" s="31">
        <v>1</v>
      </c>
      <c r="P20" s="31"/>
      <c r="Q20" s="31">
        <v>1</v>
      </c>
      <c r="R20" s="31">
        <v>1</v>
      </c>
      <c r="S20" s="31"/>
      <c r="T20" s="31"/>
      <c r="U20" s="31"/>
      <c r="V20" s="31"/>
      <c r="X20" s="79" t="s">
        <v>530</v>
      </c>
      <c r="Y20" s="31"/>
      <c r="Z20" s="80" t="str">
        <f>IFERROR(VLOOKUP(Table3[[#This Row],[Tool Name]],Table6[[Tool Name]:[MS Prevalence]],2,FALSE),"")</f>
        <v/>
      </c>
      <c r="AA20" s="80" cm="1">
        <f t="array" ref="AA20">SUMPRODUCT(--(Table3[[#This Row],[Typed Name]]=Input!$B$39:$B$58))</f>
        <v>20</v>
      </c>
    </row>
    <row r="21" spans="2:27" x14ac:dyDescent="0.35">
      <c r="B21">
        <f>IF(Input!$B$23=C21,1,0)</f>
        <v>0</v>
      </c>
      <c r="C21" s="1" t="s">
        <v>533</v>
      </c>
      <c r="D21" s="31"/>
      <c r="E21" s="31">
        <v>1</v>
      </c>
      <c r="F21" s="31"/>
      <c r="G21" s="31"/>
      <c r="H21" s="31"/>
      <c r="I21" s="31">
        <v>1</v>
      </c>
      <c r="J21" s="31">
        <v>1</v>
      </c>
      <c r="K21" s="31"/>
      <c r="L21" s="31"/>
      <c r="M21" s="31"/>
      <c r="N21" s="31"/>
      <c r="O21" s="31"/>
      <c r="P21" s="31"/>
      <c r="Q21" s="31"/>
      <c r="R21" s="31"/>
      <c r="S21" s="31"/>
      <c r="T21" s="31"/>
      <c r="U21" s="31"/>
      <c r="V21" s="31"/>
      <c r="X21" s="79" t="s">
        <v>530</v>
      </c>
      <c r="Y21" s="31"/>
      <c r="Z21" s="80" t="str">
        <f>IFERROR(VLOOKUP(Table3[[#This Row],[Tool Name]],Table6[[Tool Name]:[MS Prevalence]],2,FALSE),"")</f>
        <v/>
      </c>
      <c r="AA21" s="80" cm="1">
        <f t="array" ref="AA21">SUMPRODUCT(--(Table3[[#This Row],[Typed Name]]=Input!$B$39:$B$58))</f>
        <v>20</v>
      </c>
    </row>
    <row r="22" spans="2:27" x14ac:dyDescent="0.35">
      <c r="B22">
        <f>IF(Input!$B$23=C22,1,0)</f>
        <v>0</v>
      </c>
      <c r="C22" s="1" t="s">
        <v>534</v>
      </c>
      <c r="D22" s="31"/>
      <c r="E22" s="31">
        <v>1</v>
      </c>
      <c r="F22" s="31"/>
      <c r="G22" s="31"/>
      <c r="H22" s="31">
        <v>1</v>
      </c>
      <c r="I22" s="31"/>
      <c r="J22" s="31"/>
      <c r="K22" s="31"/>
      <c r="L22" s="31"/>
      <c r="M22" s="31"/>
      <c r="N22" s="31"/>
      <c r="O22" s="31">
        <v>1</v>
      </c>
      <c r="P22" s="31"/>
      <c r="Q22" s="31"/>
      <c r="R22" s="31"/>
      <c r="S22" s="31"/>
      <c r="T22" s="31"/>
      <c r="U22" s="31"/>
      <c r="V22" s="31"/>
      <c r="X22" s="79" t="s">
        <v>530</v>
      </c>
      <c r="Y22" s="31"/>
      <c r="Z22" s="80" t="str">
        <f>IFERROR(VLOOKUP(Table3[[#This Row],[Tool Name]],Table6[[Tool Name]:[MS Prevalence]],2,FALSE),"")</f>
        <v/>
      </c>
      <c r="AA22" s="80" cm="1">
        <f t="array" ref="AA22">SUMPRODUCT(--(Table3[[#This Row],[Typed Name]]=Input!$B$39:$B$58))</f>
        <v>20</v>
      </c>
    </row>
    <row r="23" spans="2:27" x14ac:dyDescent="0.35">
      <c r="B23">
        <f>IF(Input!$B$23=C23,1,0)</f>
        <v>0</v>
      </c>
      <c r="C23" s="1" t="s">
        <v>535</v>
      </c>
      <c r="D23" s="31"/>
      <c r="E23" s="31">
        <v>1</v>
      </c>
      <c r="F23" s="31"/>
      <c r="G23" s="31"/>
      <c r="H23" s="31"/>
      <c r="I23" s="31"/>
      <c r="J23" s="31">
        <v>1</v>
      </c>
      <c r="K23" s="31"/>
      <c r="L23" s="31"/>
      <c r="M23" s="31">
        <v>1</v>
      </c>
      <c r="N23" s="31">
        <v>1</v>
      </c>
      <c r="O23" s="31"/>
      <c r="P23" s="31">
        <v>1</v>
      </c>
      <c r="Q23" s="31"/>
      <c r="R23" s="31"/>
      <c r="S23" s="31"/>
      <c r="T23" s="31"/>
      <c r="U23" s="31"/>
      <c r="V23" s="31"/>
      <c r="X23" s="79" t="s">
        <v>530</v>
      </c>
      <c r="Y23" s="31"/>
      <c r="Z23" s="80" t="str">
        <f>IFERROR(VLOOKUP(Table3[[#This Row],[Tool Name]],Table6[[Tool Name]:[MS Prevalence]],2,FALSE),"")</f>
        <v/>
      </c>
      <c r="AA23" s="80" cm="1">
        <f t="array" ref="AA23">SUMPRODUCT(--(Table3[[#This Row],[Typed Name]]=Input!$B$39:$B$58))</f>
        <v>20</v>
      </c>
    </row>
    <row r="24" spans="2:27" x14ac:dyDescent="0.35">
      <c r="B24">
        <f>IF(Input!$B$23=C24,1,0)</f>
        <v>0</v>
      </c>
      <c r="C24" s="1" t="s">
        <v>536</v>
      </c>
      <c r="D24" s="31"/>
      <c r="E24" s="31">
        <v>1</v>
      </c>
      <c r="F24" s="31"/>
      <c r="G24" s="31"/>
      <c r="H24" s="31"/>
      <c r="I24" s="31"/>
      <c r="J24" s="31">
        <v>1</v>
      </c>
      <c r="K24" s="31">
        <v>1</v>
      </c>
      <c r="L24" s="31"/>
      <c r="M24" s="31"/>
      <c r="N24" s="31"/>
      <c r="O24" s="31"/>
      <c r="P24" s="31">
        <v>1</v>
      </c>
      <c r="Q24" s="31"/>
      <c r="R24" s="31"/>
      <c r="S24" s="31"/>
      <c r="T24" s="31"/>
      <c r="U24" s="31"/>
      <c r="V24" s="31"/>
      <c r="X24" s="79" t="s">
        <v>530</v>
      </c>
      <c r="Y24" s="31"/>
      <c r="Z24" s="80" t="str">
        <f>IFERROR(VLOOKUP(Table3[[#This Row],[Tool Name]],Table6[[Tool Name]:[MS Prevalence]],2,FALSE),"")</f>
        <v/>
      </c>
      <c r="AA24" s="80" cm="1">
        <f t="array" ref="AA24">SUMPRODUCT(--(Table3[[#This Row],[Typed Name]]=Input!$B$39:$B$58))</f>
        <v>20</v>
      </c>
    </row>
    <row r="25" spans="2:27" x14ac:dyDescent="0.35">
      <c r="B25">
        <f>IF(Input!$B$23=C25,1,0)</f>
        <v>0</v>
      </c>
      <c r="C25" s="1" t="s">
        <v>537</v>
      </c>
      <c r="D25" s="31"/>
      <c r="E25" s="31"/>
      <c r="F25" s="31"/>
      <c r="G25" s="31"/>
      <c r="H25" s="31">
        <v>1</v>
      </c>
      <c r="I25" s="31"/>
      <c r="J25" s="31">
        <v>1</v>
      </c>
      <c r="K25" s="31"/>
      <c r="L25" s="31"/>
      <c r="M25" s="31"/>
      <c r="N25" s="31"/>
      <c r="O25" s="31"/>
      <c r="P25" s="31"/>
      <c r="Q25" s="31">
        <v>1</v>
      </c>
      <c r="R25" s="31"/>
      <c r="S25" s="31"/>
      <c r="T25" s="31"/>
      <c r="U25" s="31"/>
      <c r="V25" s="31"/>
      <c r="X25" s="79" t="s">
        <v>530</v>
      </c>
      <c r="Y25" s="31"/>
      <c r="Z25" s="80" t="str">
        <f>IFERROR(VLOOKUP(Table3[[#This Row],[Tool Name]],Table6[[Tool Name]:[MS Prevalence]],2,FALSE),"")</f>
        <v/>
      </c>
      <c r="AA25" s="80" cm="1">
        <f t="array" ref="AA25">SUMPRODUCT(--(Table3[[#This Row],[Typed Name]]=Input!$B$39:$B$58))</f>
        <v>20</v>
      </c>
    </row>
    <row r="26" spans="2:27" x14ac:dyDescent="0.35">
      <c r="C26" s="1" t="s">
        <v>63</v>
      </c>
      <c r="D26" s="31"/>
      <c r="E26" s="31"/>
      <c r="F26" s="31"/>
      <c r="G26" s="31"/>
      <c r="H26" s="31"/>
      <c r="I26" s="31"/>
      <c r="J26" s="31"/>
      <c r="K26" s="31">
        <v>1</v>
      </c>
      <c r="L26" s="31"/>
      <c r="M26" s="31"/>
      <c r="N26" s="31"/>
      <c r="O26" s="31"/>
      <c r="P26" s="31"/>
      <c r="Q26" s="31">
        <v>1</v>
      </c>
      <c r="R26" s="31"/>
      <c r="S26" s="31"/>
      <c r="T26" s="31"/>
      <c r="U26" s="31"/>
      <c r="V26" s="31"/>
      <c r="X26" s="79" t="s">
        <v>530</v>
      </c>
      <c r="Y26" s="31"/>
      <c r="Z26" s="80" t="str">
        <f>IFERROR(VLOOKUP(Table3[[#This Row],[Tool Name]],Table6[[Tool Name]:[MS Prevalence]],2,FALSE),"")</f>
        <v/>
      </c>
      <c r="AA26" s="80" cm="1">
        <f t="array" ref="AA26">SUMPRODUCT(--(Table3[[#This Row],[Typed Name]]=Input!$B$39:$B$58))</f>
        <v>20</v>
      </c>
    </row>
    <row r="27" spans="2:27" x14ac:dyDescent="0.35">
      <c r="B27">
        <f>IF(Input!$B$23=C27,1,0)</f>
        <v>0</v>
      </c>
      <c r="C27" s="1" t="s">
        <v>480</v>
      </c>
      <c r="D27" s="31"/>
      <c r="E27" s="31"/>
      <c r="F27" s="31"/>
      <c r="G27" s="31"/>
      <c r="H27" s="31">
        <v>1</v>
      </c>
      <c r="I27" s="31"/>
      <c r="J27" s="31">
        <v>1</v>
      </c>
      <c r="K27" s="31"/>
      <c r="L27" s="31"/>
      <c r="M27" s="31"/>
      <c r="N27" s="31"/>
      <c r="O27" s="31"/>
      <c r="P27" s="31"/>
      <c r="Q27" s="31">
        <v>1</v>
      </c>
      <c r="R27" s="31"/>
      <c r="S27" s="31"/>
      <c r="T27" s="31"/>
      <c r="U27" s="31"/>
      <c r="V27" s="31"/>
      <c r="X27" s="79" t="s">
        <v>530</v>
      </c>
      <c r="Y27" s="31"/>
      <c r="Z27" s="80" t="str">
        <f>IFERROR(VLOOKUP(Table3[[#This Row],[Tool Name]],Table6[[Tool Name]:[MS Prevalence]],2,FALSE),"")</f>
        <v/>
      </c>
      <c r="AA27" s="80" cm="1">
        <f t="array" ref="AA27">SUMPRODUCT(--(Table3[[#This Row],[Typed Name]]=Input!$B$39:$B$58))</f>
        <v>20</v>
      </c>
    </row>
    <row r="28" spans="2:27" x14ac:dyDescent="0.35">
      <c r="C28" s="5" t="s">
        <v>538</v>
      </c>
      <c r="X28" s="79" t="s">
        <v>530</v>
      </c>
      <c r="Y28" s="31"/>
      <c r="Z28" s="80" t="str">
        <f>IFERROR(VLOOKUP(Table3[[#This Row],[Tool Name]],Table6[[Tool Name]:[MS Prevalence]],2,FALSE),"")</f>
        <v/>
      </c>
      <c r="AA28" s="80" cm="1">
        <f t="array" ref="AA28">SUMPRODUCT(--(Table3[[#This Row],[Typed Name]]=Input!$B$39:$B$58))</f>
        <v>20</v>
      </c>
    </row>
    <row r="29" spans="2:27" x14ac:dyDescent="0.35">
      <c r="B29">
        <f>IF(Input!$B$29=C29,-1,0)</f>
        <v>-1</v>
      </c>
      <c r="C29" s="1" t="s">
        <v>502</v>
      </c>
      <c r="X29" s="79" t="s">
        <v>530</v>
      </c>
      <c r="Y29" s="31"/>
      <c r="Z29" s="80" t="str">
        <f>IFERROR(VLOOKUP(Table3[[#This Row],[Tool Name]],Table6[[Tool Name]:[MS Prevalence]],2,FALSE),"")</f>
        <v/>
      </c>
      <c r="AA29" s="80" cm="1">
        <f t="array" ref="AA29">SUMPRODUCT(--(Table3[[#This Row],[Typed Name]]=Input!$B$39:$B$58))</f>
        <v>20</v>
      </c>
    </row>
    <row r="30" spans="2:27" x14ac:dyDescent="0.35">
      <c r="B30">
        <f>IF(Input!$B$29=C30,1,0)</f>
        <v>0</v>
      </c>
      <c r="C30" s="1" t="s">
        <v>539</v>
      </c>
      <c r="D30" s="31"/>
      <c r="E30" s="31"/>
      <c r="F30" s="31"/>
      <c r="G30" s="31"/>
      <c r="H30" s="31">
        <v>1</v>
      </c>
      <c r="I30" s="31"/>
      <c r="J30" s="31"/>
      <c r="K30" s="31"/>
      <c r="L30" s="31"/>
      <c r="M30" s="31"/>
      <c r="N30" s="31"/>
      <c r="O30" s="31"/>
      <c r="P30" s="31"/>
      <c r="Q30" s="31"/>
      <c r="R30" s="31"/>
      <c r="S30" s="31">
        <v>1</v>
      </c>
      <c r="T30" s="31"/>
      <c r="U30" s="31"/>
      <c r="V30" s="31"/>
      <c r="X30" s="79" t="s">
        <v>530</v>
      </c>
      <c r="Y30" s="31"/>
      <c r="Z30" s="80" t="str">
        <f>IFERROR(VLOOKUP(Table3[[#This Row],[Tool Name]],Table6[[Tool Name]:[MS Prevalence]],2,FALSE),"")</f>
        <v/>
      </c>
      <c r="AA30" s="80" cm="1">
        <f t="array" ref="AA30">SUMPRODUCT(--(Table3[[#This Row],[Typed Name]]=Input!$B$39:$B$58))</f>
        <v>20</v>
      </c>
    </row>
    <row r="31" spans="2:27" ht="43.5" x14ac:dyDescent="0.35">
      <c r="B31">
        <f>IF(Input!$B$29=C31,1,0)</f>
        <v>0</v>
      </c>
      <c r="C31" s="1" t="s">
        <v>540</v>
      </c>
      <c r="D31" s="31"/>
      <c r="E31" s="31">
        <v>1</v>
      </c>
      <c r="F31" s="31"/>
      <c r="G31" s="31"/>
      <c r="H31" s="31"/>
      <c r="I31" s="31">
        <v>1</v>
      </c>
      <c r="J31" s="31">
        <v>1</v>
      </c>
      <c r="K31" s="31">
        <v>1</v>
      </c>
      <c r="L31" s="31"/>
      <c r="M31" s="31"/>
      <c r="N31" s="31"/>
      <c r="O31" s="31"/>
      <c r="P31" s="31">
        <v>1</v>
      </c>
      <c r="Q31" s="31"/>
      <c r="R31" s="31"/>
      <c r="S31" s="31"/>
      <c r="T31" s="31"/>
      <c r="U31" s="31"/>
      <c r="V31" s="31"/>
      <c r="X31" s="79" t="s">
        <v>530</v>
      </c>
      <c r="Y31" s="31"/>
      <c r="Z31" s="80" t="str">
        <f>IFERROR(VLOOKUP(Table3[[#This Row],[Tool Name]],Table6[[Tool Name]:[MS Prevalence]],2,FALSE),"")</f>
        <v/>
      </c>
      <c r="AA31" s="80" cm="1">
        <f t="array" ref="AA31">SUMPRODUCT(--(Table3[[#This Row],[Typed Name]]=Input!$B$39:$B$58))</f>
        <v>20</v>
      </c>
    </row>
    <row r="32" spans="2:27" ht="43.5" x14ac:dyDescent="0.35">
      <c r="B32">
        <f>IF(Input!$B$29=C32,1,0)</f>
        <v>0</v>
      </c>
      <c r="C32" s="1" t="s">
        <v>541</v>
      </c>
      <c r="D32" s="31"/>
      <c r="E32" s="31"/>
      <c r="F32" s="31"/>
      <c r="G32" s="31"/>
      <c r="H32" s="31"/>
      <c r="I32" s="31"/>
      <c r="J32" s="31"/>
      <c r="K32" s="31"/>
      <c r="L32" s="31"/>
      <c r="M32" s="31"/>
      <c r="N32" s="31"/>
      <c r="O32" s="31">
        <v>1</v>
      </c>
      <c r="P32" s="31"/>
      <c r="Q32" s="31">
        <v>1</v>
      </c>
      <c r="R32" s="31"/>
      <c r="S32" s="31">
        <v>1</v>
      </c>
      <c r="T32" s="31"/>
      <c r="U32" s="31"/>
      <c r="V32" s="31"/>
      <c r="X32" s="79" t="s">
        <v>530</v>
      </c>
      <c r="Y32" s="31"/>
      <c r="Z32" s="80" t="str">
        <f>IFERROR(VLOOKUP(Table3[[#This Row],[Tool Name]],Table6[[Tool Name]:[MS Prevalence]],2,FALSE),"")</f>
        <v/>
      </c>
      <c r="AA32" s="80" cm="1">
        <f t="array" ref="AA32">SUMPRODUCT(--(Table3[[#This Row],[Typed Name]]=Input!$B$39:$B$58))</f>
        <v>20</v>
      </c>
    </row>
    <row r="33" spans="2:27" ht="43.5" x14ac:dyDescent="0.35">
      <c r="B33">
        <f>IF(Input!$B$29=C33,1,0)</f>
        <v>0</v>
      </c>
      <c r="C33" s="1" t="s">
        <v>542</v>
      </c>
      <c r="D33" s="31"/>
      <c r="E33" s="31"/>
      <c r="F33" s="31"/>
      <c r="G33" s="31"/>
      <c r="H33" s="31">
        <v>1</v>
      </c>
      <c r="I33" s="31">
        <v>1</v>
      </c>
      <c r="J33" s="31">
        <v>1</v>
      </c>
      <c r="K33" s="31">
        <v>1</v>
      </c>
      <c r="L33" s="31"/>
      <c r="M33" s="31"/>
      <c r="N33" s="31"/>
      <c r="O33" s="31"/>
      <c r="P33" s="31"/>
      <c r="Q33" s="31"/>
      <c r="R33" s="31"/>
      <c r="S33" s="31"/>
      <c r="T33" s="31"/>
      <c r="U33" s="31"/>
      <c r="V33" s="31"/>
      <c r="X33" s="79" t="s">
        <v>530</v>
      </c>
      <c r="Y33" s="31"/>
      <c r="Z33" s="80" t="str">
        <f>IFERROR(VLOOKUP(Table3[[#This Row],[Tool Name]],Table6[[Tool Name]:[MS Prevalence]],2,FALSE),"")</f>
        <v/>
      </c>
      <c r="AA33" s="80" cm="1">
        <f t="array" ref="AA33">SUMPRODUCT(--(Table3[[#This Row],[Typed Name]]=Input!$B$39:$B$58))</f>
        <v>20</v>
      </c>
    </row>
    <row r="34" spans="2:27" x14ac:dyDescent="0.35">
      <c r="B34">
        <f>IF(Input!$B$29=C34,1,0)</f>
        <v>0</v>
      </c>
      <c r="C34" s="1" t="s">
        <v>537</v>
      </c>
      <c r="D34" s="31"/>
      <c r="E34" s="31"/>
      <c r="F34" s="31"/>
      <c r="G34" s="31"/>
      <c r="H34" s="31"/>
      <c r="I34" s="31"/>
      <c r="J34" s="31"/>
      <c r="K34" s="31"/>
      <c r="L34" s="31"/>
      <c r="M34" s="31"/>
      <c r="N34" s="31"/>
      <c r="O34" s="31"/>
      <c r="P34" s="31"/>
      <c r="Q34" s="31"/>
      <c r="R34" s="31"/>
      <c r="S34" s="31"/>
      <c r="T34" s="31"/>
      <c r="U34" s="31"/>
      <c r="V34" s="31"/>
      <c r="X34" s="79" t="s">
        <v>530</v>
      </c>
      <c r="Y34" s="31"/>
      <c r="Z34" s="80" t="str">
        <f>IFERROR(VLOOKUP(Table3[[#This Row],[Tool Name]],Table6[[Tool Name]:[MS Prevalence]],2,FALSE),"")</f>
        <v/>
      </c>
      <c r="AA34" s="80" cm="1">
        <f t="array" ref="AA34">SUMPRODUCT(--(Table3[[#This Row],[Typed Name]]=Input!$B$39:$B$58))</f>
        <v>20</v>
      </c>
    </row>
    <row r="35" spans="2:27" x14ac:dyDescent="0.35">
      <c r="C35" s="1" t="s">
        <v>63</v>
      </c>
      <c r="D35" s="31"/>
      <c r="E35" s="31"/>
      <c r="F35" s="31"/>
      <c r="G35" s="31"/>
      <c r="H35" s="31"/>
      <c r="I35" s="31"/>
      <c r="J35" s="31"/>
      <c r="K35" s="31"/>
      <c r="L35" s="31"/>
      <c r="M35" s="31"/>
      <c r="N35" s="31"/>
      <c r="O35" s="31"/>
      <c r="P35" s="31"/>
      <c r="Q35" s="31"/>
      <c r="R35" s="31"/>
      <c r="S35" s="31"/>
      <c r="T35" s="31"/>
      <c r="U35" s="31"/>
      <c r="V35" s="31"/>
    </row>
    <row r="36" spans="2:27" x14ac:dyDescent="0.35">
      <c r="B36">
        <f>IF(Input!$B$29=C36,1,0)</f>
        <v>0</v>
      </c>
      <c r="C36" s="1" t="s">
        <v>480</v>
      </c>
      <c r="D36" s="31"/>
      <c r="E36" s="31"/>
      <c r="F36" s="31"/>
      <c r="G36" s="31"/>
      <c r="H36" s="31"/>
      <c r="I36" s="31"/>
      <c r="J36" s="31"/>
      <c r="K36" s="31"/>
      <c r="L36" s="31"/>
      <c r="M36" s="31"/>
      <c r="N36" s="31"/>
      <c r="O36" s="31"/>
      <c r="P36" s="31"/>
      <c r="Q36" s="31"/>
      <c r="R36" s="31"/>
      <c r="S36" s="31"/>
      <c r="T36" s="31"/>
      <c r="U36" s="31"/>
      <c r="V36" s="31"/>
    </row>
    <row r="37" spans="2:27" x14ac:dyDescent="0.35">
      <c r="C37" s="5" t="s">
        <v>543</v>
      </c>
    </row>
    <row r="38" spans="2:27" x14ac:dyDescent="0.35">
      <c r="B38">
        <f>IF(Input!$B$35=C38,-1,0)</f>
        <v>-1</v>
      </c>
      <c r="C38" s="1" t="s">
        <v>502</v>
      </c>
    </row>
    <row r="39" spans="2:27" ht="29" x14ac:dyDescent="0.35">
      <c r="B39">
        <f>IF(Input!$B$35=C39,1,0)</f>
        <v>0</v>
      </c>
      <c r="C39" s="1" t="s">
        <v>544</v>
      </c>
      <c r="D39" s="31"/>
      <c r="E39" s="31"/>
      <c r="F39" s="31"/>
      <c r="G39" s="31"/>
      <c r="H39" s="31">
        <v>1</v>
      </c>
      <c r="I39" s="31"/>
      <c r="J39" s="31"/>
      <c r="K39" s="31"/>
      <c r="L39" s="31"/>
      <c r="M39" s="31"/>
      <c r="N39" s="31"/>
      <c r="O39" s="31"/>
      <c r="P39" s="31"/>
      <c r="Q39" s="31">
        <v>1</v>
      </c>
      <c r="R39" s="31"/>
      <c r="S39" s="31">
        <v>1</v>
      </c>
      <c r="T39" s="31"/>
      <c r="U39" s="31"/>
      <c r="V39" s="31"/>
    </row>
    <row r="40" spans="2:27" ht="43.5" x14ac:dyDescent="0.35">
      <c r="B40">
        <f>IF(Input!$B$35=C40,1,0)</f>
        <v>0</v>
      </c>
      <c r="C40" s="1" t="s">
        <v>545</v>
      </c>
      <c r="D40" s="31"/>
      <c r="E40" s="31"/>
      <c r="F40" s="31"/>
      <c r="G40" s="31">
        <v>1</v>
      </c>
      <c r="H40" s="31"/>
      <c r="I40" s="31"/>
      <c r="J40" s="31"/>
      <c r="K40" s="31"/>
      <c r="L40" s="31"/>
      <c r="M40" s="31"/>
      <c r="N40" s="31"/>
      <c r="O40" s="31">
        <v>1</v>
      </c>
      <c r="P40" s="31"/>
      <c r="Q40" s="31">
        <v>1</v>
      </c>
      <c r="R40" s="31"/>
      <c r="S40" s="31"/>
      <c r="T40" s="31"/>
      <c r="U40" s="31"/>
      <c r="V40" s="31"/>
    </row>
    <row r="41" spans="2:27" ht="29" x14ac:dyDescent="0.35">
      <c r="B41">
        <f>IF(Input!$B$35=C41,1,0)</f>
        <v>0</v>
      </c>
      <c r="C41" s="1" t="s">
        <v>68</v>
      </c>
      <c r="D41" s="31"/>
      <c r="E41" s="31"/>
      <c r="F41" s="31">
        <v>1</v>
      </c>
      <c r="G41" s="31"/>
      <c r="H41" s="31">
        <v>1</v>
      </c>
      <c r="I41" s="31">
        <v>1</v>
      </c>
      <c r="J41" s="31"/>
      <c r="K41" s="31"/>
      <c r="L41" s="31">
        <v>1</v>
      </c>
      <c r="M41" s="31"/>
      <c r="N41" s="31"/>
      <c r="O41" s="31"/>
      <c r="P41" s="31"/>
      <c r="Q41" s="31">
        <v>1</v>
      </c>
      <c r="R41" s="31"/>
      <c r="S41" s="31"/>
      <c r="T41" s="31"/>
      <c r="U41" s="31"/>
      <c r="V41" s="31"/>
    </row>
    <row r="42" spans="2:27" ht="43.5" x14ac:dyDescent="0.35">
      <c r="B42">
        <f>IF(Input!$B$35=C42,1,0)</f>
        <v>0</v>
      </c>
      <c r="C42" s="1" t="s">
        <v>546</v>
      </c>
      <c r="D42" s="31"/>
      <c r="E42" s="31"/>
      <c r="F42" s="31"/>
      <c r="G42" s="31"/>
      <c r="H42" s="31">
        <v>1</v>
      </c>
      <c r="I42" s="31"/>
      <c r="J42" s="31"/>
      <c r="K42" s="31">
        <v>1</v>
      </c>
      <c r="L42" s="31">
        <v>1</v>
      </c>
      <c r="M42" s="31"/>
      <c r="N42" s="31"/>
      <c r="O42" s="31"/>
      <c r="P42" s="31"/>
      <c r="Q42" s="31">
        <v>1</v>
      </c>
      <c r="R42" s="31"/>
      <c r="S42" s="31"/>
      <c r="T42" s="31"/>
      <c r="U42" s="31"/>
      <c r="V42" s="31"/>
    </row>
    <row r="43" spans="2:27" x14ac:dyDescent="0.35">
      <c r="B43">
        <f>IF(Input!$B$35=C43,1,0)</f>
        <v>0</v>
      </c>
      <c r="C43" s="1" t="s">
        <v>547</v>
      </c>
      <c r="D43" s="31">
        <v>1</v>
      </c>
      <c r="E43" s="31"/>
      <c r="F43" s="31"/>
      <c r="G43" s="31"/>
      <c r="H43" s="31"/>
      <c r="I43" s="31"/>
      <c r="J43" s="31"/>
      <c r="K43" s="31"/>
      <c r="L43" s="31">
        <v>1</v>
      </c>
      <c r="M43" s="31"/>
      <c r="N43" s="31"/>
      <c r="O43" s="31"/>
      <c r="P43" s="31"/>
      <c r="Q43" s="31">
        <v>1</v>
      </c>
      <c r="R43" s="31"/>
      <c r="S43" s="31">
        <v>1</v>
      </c>
      <c r="T43" s="31"/>
      <c r="U43" s="31"/>
      <c r="V43" s="31"/>
    </row>
    <row r="44" spans="2:27" x14ac:dyDescent="0.35">
      <c r="B44">
        <f>IF(Input!$B$35=C44,1,0)</f>
        <v>0</v>
      </c>
      <c r="C44" s="1" t="s">
        <v>548</v>
      </c>
      <c r="D44" s="31"/>
      <c r="E44" s="31"/>
      <c r="F44" s="31"/>
      <c r="G44" s="31"/>
      <c r="H44" s="31"/>
      <c r="I44" s="31"/>
      <c r="J44" s="31"/>
      <c r="K44" s="31"/>
      <c r="L44" s="31"/>
      <c r="M44" s="31"/>
      <c r="N44" s="31"/>
      <c r="O44" s="31"/>
      <c r="P44" s="31"/>
      <c r="Q44" s="31"/>
      <c r="R44" s="31"/>
      <c r="S44" s="31"/>
      <c r="T44" s="31"/>
      <c r="U44" s="31"/>
      <c r="V44" s="31"/>
    </row>
    <row r="45" spans="2:27" ht="29" x14ac:dyDescent="0.35">
      <c r="B45">
        <f>IF(Input!$B$35=C45,1,0)</f>
        <v>0</v>
      </c>
      <c r="C45" s="1" t="s">
        <v>549</v>
      </c>
      <c r="D45" s="31"/>
      <c r="E45" s="31"/>
      <c r="F45" s="31">
        <v>1</v>
      </c>
      <c r="G45" s="31"/>
      <c r="H45" s="31"/>
      <c r="I45" s="31"/>
      <c r="J45" s="31"/>
      <c r="K45" s="31"/>
      <c r="L45" s="31">
        <v>1</v>
      </c>
      <c r="M45" s="31"/>
      <c r="N45" s="31"/>
      <c r="O45" s="31"/>
      <c r="P45" s="31"/>
      <c r="Q45" s="31">
        <v>1</v>
      </c>
      <c r="R45" s="31"/>
      <c r="S45" s="31">
        <v>1</v>
      </c>
      <c r="T45" s="31"/>
      <c r="U45" s="31"/>
      <c r="V45" s="31"/>
    </row>
    <row r="46" spans="2:27" x14ac:dyDescent="0.35">
      <c r="B46">
        <f>IF(Input!$B$35=C46,1,0)</f>
        <v>0</v>
      </c>
      <c r="C46" s="1" t="s">
        <v>537</v>
      </c>
      <c r="D46" s="31"/>
      <c r="E46" s="31"/>
      <c r="F46" s="31"/>
      <c r="G46" s="31"/>
      <c r="H46" s="31">
        <v>1</v>
      </c>
      <c r="I46" s="31"/>
      <c r="J46" s="31">
        <v>1</v>
      </c>
      <c r="K46" s="31"/>
      <c r="L46" s="31"/>
      <c r="M46" s="31"/>
      <c r="N46" s="31"/>
      <c r="O46" s="31"/>
      <c r="P46" s="31"/>
      <c r="Q46" s="31">
        <v>1</v>
      </c>
      <c r="R46" s="31"/>
      <c r="S46" s="31"/>
      <c r="T46" s="31"/>
      <c r="U46" s="31"/>
      <c r="V46" s="31"/>
    </row>
    <row r="47" spans="2:27" x14ac:dyDescent="0.35">
      <c r="C47" s="1" t="s">
        <v>63</v>
      </c>
      <c r="D47" s="31"/>
      <c r="E47" s="31"/>
      <c r="F47" s="31"/>
      <c r="G47" s="31"/>
      <c r="H47" s="31"/>
      <c r="I47" s="31"/>
      <c r="J47" s="31"/>
      <c r="K47" s="31"/>
      <c r="L47" s="31"/>
      <c r="M47" s="31"/>
      <c r="N47" s="31"/>
      <c r="O47" s="31"/>
      <c r="P47" s="31"/>
      <c r="Q47" s="31"/>
      <c r="R47" s="31"/>
      <c r="S47" s="31"/>
      <c r="T47" s="31"/>
      <c r="U47" s="31"/>
      <c r="V47" s="31"/>
    </row>
    <row r="48" spans="2:27" x14ac:dyDescent="0.35">
      <c r="B48">
        <f>IF(Input!$B$35=C48,1,0)</f>
        <v>0</v>
      </c>
      <c r="C48" s="1" t="s">
        <v>480</v>
      </c>
      <c r="D48" s="31"/>
      <c r="E48" s="31"/>
      <c r="F48" s="31"/>
      <c r="G48" s="31"/>
      <c r="H48" s="31">
        <v>1</v>
      </c>
      <c r="I48" s="31"/>
      <c r="J48" s="31">
        <v>1</v>
      </c>
      <c r="K48" s="31"/>
      <c r="L48" s="31"/>
      <c r="M48" s="31"/>
      <c r="N48" s="31"/>
      <c r="O48" s="31"/>
      <c r="P48" s="31"/>
      <c r="Q48" s="31">
        <v>1</v>
      </c>
      <c r="R48" s="31"/>
      <c r="S48" s="31"/>
      <c r="T48" s="31"/>
      <c r="U48" s="31"/>
      <c r="V48" s="31"/>
    </row>
    <row r="49" spans="2:22" x14ac:dyDescent="0.35">
      <c r="C49" s="5" t="s">
        <v>550</v>
      </c>
    </row>
    <row r="50" spans="2:22" x14ac:dyDescent="0.35">
      <c r="B50">
        <f>IF(Input!$B$32=C50,-1,0)</f>
        <v>-1</v>
      </c>
      <c r="C50" s="1" t="s">
        <v>502</v>
      </c>
    </row>
    <row r="51" spans="2:22" ht="43.5" x14ac:dyDescent="0.35">
      <c r="B51">
        <f>IF(Input!$B$32=C51,1,0)</f>
        <v>0</v>
      </c>
      <c r="C51" s="1" t="s">
        <v>551</v>
      </c>
      <c r="D51" s="31"/>
      <c r="E51" s="31">
        <v>1</v>
      </c>
      <c r="F51" s="31"/>
      <c r="G51" s="31"/>
      <c r="H51" s="31"/>
      <c r="I51" s="31"/>
      <c r="J51" s="31"/>
      <c r="K51" s="31"/>
      <c r="L51" s="31"/>
      <c r="M51" s="31"/>
      <c r="N51" s="31"/>
      <c r="O51" s="31"/>
      <c r="P51" s="31">
        <v>1</v>
      </c>
      <c r="Q51" s="31">
        <v>1</v>
      </c>
      <c r="R51" s="31"/>
      <c r="S51" s="31"/>
      <c r="T51" s="31"/>
      <c r="U51" s="31"/>
      <c r="V51" s="31"/>
    </row>
    <row r="52" spans="2:22" ht="43.5" x14ac:dyDescent="0.35">
      <c r="B52">
        <f>IF(Input!$B$32=C52,1,0)</f>
        <v>0</v>
      </c>
      <c r="C52" s="1" t="s">
        <v>552</v>
      </c>
      <c r="D52" s="31"/>
      <c r="E52" s="31"/>
      <c r="F52" s="31"/>
      <c r="G52" s="31"/>
      <c r="H52" s="31"/>
      <c r="I52" s="31">
        <v>1</v>
      </c>
      <c r="J52" s="31"/>
      <c r="K52" s="31"/>
      <c r="L52" s="31"/>
      <c r="M52" s="31"/>
      <c r="N52" s="31"/>
      <c r="O52" s="31"/>
      <c r="P52" s="31"/>
      <c r="Q52" s="31">
        <v>1</v>
      </c>
      <c r="R52" s="31"/>
      <c r="S52" s="31"/>
      <c r="T52" s="31"/>
      <c r="U52" s="31"/>
      <c r="V52" s="31"/>
    </row>
    <row r="53" spans="2:22" ht="43.5" x14ac:dyDescent="0.35">
      <c r="B53">
        <f>IF(Input!$B$32=C53,1,0)</f>
        <v>0</v>
      </c>
      <c r="C53" s="1" t="s">
        <v>66</v>
      </c>
      <c r="D53" s="31"/>
      <c r="E53" s="31"/>
      <c r="F53" s="31"/>
      <c r="G53" s="31"/>
      <c r="H53" s="31"/>
      <c r="I53" s="31"/>
      <c r="J53" s="31"/>
      <c r="K53" s="31"/>
      <c r="L53" s="31"/>
      <c r="M53" s="31"/>
      <c r="N53" s="31"/>
      <c r="O53" s="31"/>
      <c r="P53" s="31"/>
      <c r="Q53" s="31"/>
      <c r="R53" s="31">
        <v>1</v>
      </c>
      <c r="S53" s="31">
        <v>1</v>
      </c>
      <c r="T53" s="31"/>
      <c r="U53" s="31"/>
      <c r="V53" s="31"/>
    </row>
    <row r="54" spans="2:22" ht="43.5" x14ac:dyDescent="0.35">
      <c r="B54">
        <f>IF(Input!$B$32=C54,1,0)</f>
        <v>0</v>
      </c>
      <c r="C54" s="1" t="s">
        <v>553</v>
      </c>
      <c r="D54" s="31"/>
      <c r="E54" s="31">
        <v>1</v>
      </c>
      <c r="F54" s="31"/>
      <c r="G54" s="31"/>
      <c r="H54" s="31"/>
      <c r="I54" s="31"/>
      <c r="J54" s="31"/>
      <c r="K54" s="31"/>
      <c r="L54" s="31"/>
      <c r="M54" s="31"/>
      <c r="N54" s="31"/>
      <c r="O54" s="31"/>
      <c r="P54" s="31">
        <v>1</v>
      </c>
      <c r="Q54" s="31"/>
      <c r="R54" s="31"/>
      <c r="S54" s="31"/>
      <c r="T54" s="31"/>
      <c r="U54" s="31"/>
      <c r="V54" s="31"/>
    </row>
    <row r="55" spans="2:22" x14ac:dyDescent="0.35">
      <c r="B55">
        <f>IF(Input!$B$32=C55,1,0)</f>
        <v>0</v>
      </c>
      <c r="C55" s="1" t="s">
        <v>537</v>
      </c>
      <c r="D55" s="31"/>
      <c r="E55" s="31"/>
      <c r="F55" s="31"/>
      <c r="G55" s="31"/>
      <c r="H55" s="31">
        <v>1</v>
      </c>
      <c r="I55" s="31"/>
      <c r="J55" s="31">
        <v>1</v>
      </c>
      <c r="K55" s="31"/>
      <c r="L55" s="31"/>
      <c r="M55" s="31"/>
      <c r="N55" s="31"/>
      <c r="O55" s="31"/>
      <c r="P55" s="31"/>
      <c r="Q55" s="31">
        <v>1</v>
      </c>
      <c r="R55" s="31"/>
      <c r="S55" s="31"/>
      <c r="T55" s="31"/>
      <c r="U55" s="31"/>
      <c r="V55" s="31"/>
    </row>
    <row r="56" spans="2:22" x14ac:dyDescent="0.35">
      <c r="C56" s="1" t="s">
        <v>554</v>
      </c>
      <c r="D56" s="31"/>
      <c r="E56" s="31"/>
      <c r="F56" s="31"/>
      <c r="G56" s="31"/>
      <c r="H56" s="31"/>
      <c r="I56" s="31"/>
      <c r="J56" s="31"/>
      <c r="K56" s="31"/>
      <c r="L56" s="31"/>
      <c r="M56" s="31"/>
      <c r="N56" s="31"/>
      <c r="O56" s="31"/>
      <c r="P56" s="31"/>
      <c r="Q56" s="31"/>
      <c r="R56" s="31"/>
      <c r="S56" s="31"/>
      <c r="T56" s="31"/>
      <c r="U56" s="31"/>
      <c r="V56" s="31"/>
    </row>
    <row r="57" spans="2:22" x14ac:dyDescent="0.35">
      <c r="B57">
        <f>IF(Input!$B$32=C57,1,0)</f>
        <v>0</v>
      </c>
      <c r="C57" s="1" t="s">
        <v>480</v>
      </c>
      <c r="D57" s="31"/>
      <c r="E57" s="31"/>
      <c r="F57" s="31"/>
      <c r="G57" s="31"/>
      <c r="H57" s="31">
        <v>1</v>
      </c>
      <c r="I57" s="31"/>
      <c r="J57" s="31">
        <v>1</v>
      </c>
      <c r="K57" s="31"/>
      <c r="L57" s="31"/>
      <c r="M57" s="31"/>
      <c r="N57" s="31"/>
      <c r="O57" s="31"/>
      <c r="P57" s="31"/>
      <c r="Q57" s="31">
        <v>1</v>
      </c>
      <c r="R57" s="31"/>
      <c r="S57" s="31"/>
      <c r="T57" s="31"/>
      <c r="U57" s="31"/>
      <c r="V57" s="31"/>
    </row>
    <row r="58" spans="2:22" x14ac:dyDescent="0.35">
      <c r="C58" s="5" t="s">
        <v>555</v>
      </c>
    </row>
    <row r="59" spans="2:22" x14ac:dyDescent="0.35">
      <c r="B59">
        <f>IF(Input!$B$26=C59,-1,0)</f>
        <v>-1</v>
      </c>
      <c r="C59" s="1" t="s">
        <v>502</v>
      </c>
    </row>
    <row r="60" spans="2:22" x14ac:dyDescent="0.35">
      <c r="B60" s="44">
        <f>IF(Input!$B$26=C60,0.5,0)</f>
        <v>0</v>
      </c>
      <c r="C60" s="1" t="s">
        <v>556</v>
      </c>
      <c r="D60" s="31">
        <v>1</v>
      </c>
      <c r="E60" s="31"/>
      <c r="F60" s="31"/>
      <c r="G60" s="31"/>
      <c r="H60" s="31"/>
      <c r="I60" s="31">
        <v>1</v>
      </c>
      <c r="J60" s="31"/>
      <c r="K60" s="31"/>
      <c r="L60" s="31"/>
      <c r="M60" s="31"/>
      <c r="N60" s="31">
        <v>1</v>
      </c>
      <c r="O60" s="31"/>
      <c r="P60" s="31"/>
      <c r="Q60" s="31"/>
      <c r="R60" s="31"/>
      <c r="S60" s="31"/>
      <c r="T60" s="31"/>
      <c r="U60" s="31"/>
      <c r="V60" s="31"/>
    </row>
    <row r="61" spans="2:22" x14ac:dyDescent="0.35">
      <c r="B61" s="42">
        <f>IF(Input!$B$26=C61,1,0)</f>
        <v>0</v>
      </c>
      <c r="C61" s="1" t="s">
        <v>557</v>
      </c>
      <c r="D61" s="31">
        <v>1</v>
      </c>
      <c r="E61" s="31"/>
      <c r="F61" s="31">
        <v>1</v>
      </c>
      <c r="G61" s="31"/>
      <c r="H61" s="31"/>
      <c r="I61" s="31"/>
      <c r="J61" s="31"/>
      <c r="K61" s="31"/>
      <c r="L61" s="31"/>
      <c r="M61" s="31"/>
      <c r="N61" s="31"/>
      <c r="O61" s="31">
        <v>1</v>
      </c>
      <c r="P61" s="31"/>
      <c r="Q61" s="31"/>
      <c r="R61" s="31"/>
      <c r="S61" s="31"/>
      <c r="T61" s="31"/>
      <c r="U61" s="31"/>
      <c r="V61" s="31"/>
    </row>
    <row r="62" spans="2:22" x14ac:dyDescent="0.35">
      <c r="B62" s="44">
        <f>IF(Input!$B$26=C62,0.5,0)</f>
        <v>0</v>
      </c>
      <c r="C62" t="s">
        <v>558</v>
      </c>
      <c r="D62" s="31"/>
      <c r="E62" s="31"/>
      <c r="F62" s="31"/>
      <c r="G62" s="31"/>
      <c r="H62" s="31"/>
      <c r="I62" s="31"/>
      <c r="J62" s="31"/>
      <c r="K62" s="31"/>
      <c r="L62" s="31">
        <v>1</v>
      </c>
      <c r="M62" s="31"/>
      <c r="N62" s="31"/>
      <c r="O62" s="31"/>
      <c r="P62" s="31"/>
      <c r="Q62" s="31"/>
      <c r="R62" s="31"/>
      <c r="S62" s="31"/>
      <c r="T62" s="31"/>
      <c r="U62" s="31"/>
      <c r="V62" s="31"/>
    </row>
    <row r="63" spans="2:22" x14ac:dyDescent="0.35">
      <c r="B63" s="42">
        <f>IF(Input!$B$26=C63,1,0)</f>
        <v>0</v>
      </c>
      <c r="C63" t="s">
        <v>559</v>
      </c>
      <c r="D63" s="31">
        <v>1</v>
      </c>
      <c r="E63" s="31"/>
      <c r="F63" s="31">
        <v>1</v>
      </c>
      <c r="G63" s="31"/>
      <c r="H63" s="31"/>
      <c r="I63" s="31"/>
      <c r="J63" s="31"/>
      <c r="K63" s="31">
        <v>1</v>
      </c>
      <c r="L63" s="31"/>
      <c r="M63" s="31"/>
      <c r="N63" s="31"/>
      <c r="O63" s="31"/>
      <c r="P63" s="31"/>
      <c r="Q63" s="31">
        <v>1</v>
      </c>
      <c r="R63" s="31"/>
      <c r="S63" s="31"/>
      <c r="T63" s="31"/>
      <c r="U63" s="31"/>
      <c r="V63" s="31"/>
    </row>
    <row r="64" spans="2:22" x14ac:dyDescent="0.35">
      <c r="B64" s="44">
        <f>IF(Input!$B$26=C64,0.5,0)</f>
        <v>0</v>
      </c>
      <c r="C64" t="s">
        <v>560</v>
      </c>
      <c r="D64" s="31">
        <v>1</v>
      </c>
      <c r="E64" s="31"/>
      <c r="F64" s="31"/>
      <c r="G64" s="31"/>
      <c r="H64" s="31"/>
      <c r="I64" s="31"/>
      <c r="J64" s="31"/>
      <c r="K64" s="31"/>
      <c r="L64" s="31"/>
      <c r="M64" s="31"/>
      <c r="N64" s="31"/>
      <c r="O64" s="31"/>
      <c r="P64" s="31"/>
      <c r="Q64" s="31"/>
      <c r="R64" s="31"/>
      <c r="S64" s="31"/>
      <c r="T64" s="31"/>
      <c r="U64" s="31"/>
      <c r="V64" s="31"/>
    </row>
    <row r="65" spans="2:22" x14ac:dyDescent="0.35">
      <c r="B65" s="44">
        <f>IF(Input!$B$26=C65,0.5,0)</f>
        <v>0</v>
      </c>
      <c r="C65" t="s">
        <v>561</v>
      </c>
      <c r="D65" s="31"/>
      <c r="E65" s="31"/>
      <c r="F65" s="31"/>
      <c r="G65" s="31"/>
      <c r="H65" s="31"/>
      <c r="I65" s="31"/>
      <c r="J65" s="31"/>
      <c r="K65" s="31"/>
      <c r="L65" s="31">
        <v>1</v>
      </c>
      <c r="M65" s="31"/>
      <c r="N65" s="31"/>
      <c r="O65" s="31"/>
      <c r="P65" s="31"/>
      <c r="Q65" s="31"/>
      <c r="R65" s="31"/>
      <c r="S65" s="31"/>
      <c r="T65" s="31"/>
      <c r="U65" s="31"/>
      <c r="V65" s="31"/>
    </row>
    <row r="66" spans="2:22" x14ac:dyDescent="0.35">
      <c r="B66" s="42">
        <f>IF(Input!$B$26=C66,1,0)</f>
        <v>0</v>
      </c>
      <c r="C66" t="s">
        <v>562</v>
      </c>
      <c r="D66" s="31">
        <v>1</v>
      </c>
      <c r="E66" s="31"/>
      <c r="F66" s="31">
        <v>1</v>
      </c>
      <c r="G66" s="31"/>
      <c r="H66" s="31">
        <v>1</v>
      </c>
      <c r="I66" s="31"/>
      <c r="J66" s="31"/>
      <c r="K66" s="31"/>
      <c r="L66" s="31"/>
      <c r="M66" s="31"/>
      <c r="N66" s="31"/>
      <c r="O66" s="31">
        <v>1</v>
      </c>
      <c r="P66" s="31"/>
      <c r="Q66" s="31">
        <v>1</v>
      </c>
      <c r="R66" s="31"/>
      <c r="S66" s="31"/>
      <c r="T66" s="31"/>
      <c r="U66" s="31"/>
      <c r="V66" s="31"/>
    </row>
    <row r="67" spans="2:22" x14ac:dyDescent="0.35">
      <c r="B67" s="44">
        <f>IF(Input!$B$26=C67,0.5,0)</f>
        <v>0</v>
      </c>
      <c r="C67" t="s">
        <v>563</v>
      </c>
      <c r="D67" s="31"/>
      <c r="E67" s="31"/>
      <c r="F67" s="31"/>
      <c r="G67" s="31"/>
      <c r="H67" s="31"/>
      <c r="I67" s="31"/>
      <c r="J67" s="31"/>
      <c r="K67" s="31"/>
      <c r="L67" s="31">
        <v>1</v>
      </c>
      <c r="M67" s="31"/>
      <c r="N67" s="31"/>
      <c r="O67" s="31"/>
      <c r="P67" s="31"/>
      <c r="Q67" s="31"/>
      <c r="R67" s="31"/>
      <c r="S67" s="31"/>
      <c r="T67" s="31"/>
      <c r="U67" s="31"/>
      <c r="V67" s="31"/>
    </row>
    <row r="68" spans="2:22" x14ac:dyDescent="0.35">
      <c r="B68" s="44">
        <f>IF(Input!$B$26=C68,0.5,0)</f>
        <v>0</v>
      </c>
      <c r="C68" t="s">
        <v>564</v>
      </c>
      <c r="D68" s="31"/>
      <c r="E68" s="31"/>
      <c r="F68" s="31"/>
      <c r="G68" s="31"/>
      <c r="H68" s="31"/>
      <c r="I68" s="31">
        <v>1</v>
      </c>
      <c r="J68" s="31"/>
      <c r="K68" s="31"/>
      <c r="L68" s="31"/>
      <c r="M68" s="31"/>
      <c r="N68" s="31"/>
      <c r="O68" s="31"/>
      <c r="P68" s="31"/>
      <c r="Q68" s="31">
        <v>1</v>
      </c>
      <c r="R68" s="31"/>
      <c r="S68" s="31"/>
      <c r="T68" s="31"/>
      <c r="U68" s="31"/>
      <c r="V68" s="31"/>
    </row>
    <row r="69" spans="2:22" x14ac:dyDescent="0.35">
      <c r="B69" s="44">
        <f>IF(Input!$B$26=C69,0.5,0)</f>
        <v>0</v>
      </c>
      <c r="C69" t="s">
        <v>565</v>
      </c>
      <c r="D69" s="31">
        <v>1</v>
      </c>
      <c r="E69" s="31"/>
      <c r="F69" s="31"/>
      <c r="G69" s="31"/>
      <c r="H69" s="31">
        <v>1</v>
      </c>
      <c r="I69" s="31"/>
      <c r="J69" s="31"/>
      <c r="K69" s="31"/>
      <c r="L69" s="31"/>
      <c r="M69" s="31"/>
      <c r="N69" s="31"/>
      <c r="O69" s="31"/>
      <c r="P69" s="31"/>
      <c r="Q69" s="31"/>
      <c r="R69" s="31"/>
      <c r="S69" s="31"/>
      <c r="T69" s="31"/>
      <c r="U69" s="31"/>
      <c r="V69" s="31"/>
    </row>
    <row r="70" spans="2:22" x14ac:dyDescent="0.35">
      <c r="B70" s="42">
        <f>IF(Input!$B$26=C70,1,0)</f>
        <v>0</v>
      </c>
      <c r="C70" t="s">
        <v>566</v>
      </c>
      <c r="D70" s="31"/>
      <c r="E70" s="31"/>
      <c r="F70" s="31"/>
      <c r="G70" s="31"/>
      <c r="H70" s="31"/>
      <c r="I70" s="31"/>
      <c r="J70" s="31"/>
      <c r="K70" s="31"/>
      <c r="L70" s="31">
        <v>1</v>
      </c>
      <c r="M70" s="31"/>
      <c r="N70" s="31"/>
      <c r="O70" s="31"/>
      <c r="P70" s="31"/>
      <c r="Q70" s="31"/>
      <c r="R70" s="31"/>
      <c r="S70" s="31"/>
      <c r="T70" s="31"/>
      <c r="U70" s="31"/>
      <c r="V70" s="31"/>
    </row>
    <row r="71" spans="2:22" x14ac:dyDescent="0.35">
      <c r="B71" s="44">
        <f>IF(Input!$B$26=C71,0.5,0)</f>
        <v>0</v>
      </c>
      <c r="C71" t="s">
        <v>193</v>
      </c>
      <c r="D71" s="31"/>
      <c r="E71" s="31"/>
      <c r="F71" s="31"/>
      <c r="G71" s="31"/>
      <c r="H71" s="31"/>
      <c r="I71" s="31"/>
      <c r="J71" s="31"/>
      <c r="K71" s="31"/>
      <c r="L71" s="31"/>
      <c r="M71" s="31"/>
      <c r="N71" s="31"/>
      <c r="O71" s="31"/>
      <c r="P71" s="31"/>
      <c r="Q71" s="31"/>
      <c r="R71" s="31"/>
      <c r="S71" s="31"/>
      <c r="T71" s="31"/>
      <c r="U71" s="31"/>
      <c r="V71" s="31"/>
    </row>
    <row r="72" spans="2:22" x14ac:dyDescent="0.35">
      <c r="B72" s="44">
        <f>IF(Input!$B$26=C72,0.5,0)</f>
        <v>0</v>
      </c>
      <c r="C72" t="s">
        <v>567</v>
      </c>
      <c r="D72" s="31"/>
      <c r="E72" s="31"/>
      <c r="F72" s="31"/>
      <c r="G72" s="31"/>
      <c r="H72" s="31"/>
      <c r="I72" s="31"/>
      <c r="J72" s="31"/>
      <c r="K72" s="31"/>
      <c r="L72" s="31"/>
      <c r="M72" s="31"/>
      <c r="N72" s="31"/>
      <c r="O72" s="31"/>
      <c r="P72" s="31"/>
      <c r="Q72" s="31"/>
      <c r="R72" s="31"/>
      <c r="S72" s="31"/>
      <c r="T72" s="31"/>
      <c r="U72" s="31"/>
      <c r="V72" s="31"/>
    </row>
    <row r="73" spans="2:22" x14ac:dyDescent="0.35">
      <c r="B73" s="44">
        <f>IF(Input!$B$26=C73,0.5,0)</f>
        <v>0</v>
      </c>
      <c r="C73" t="s">
        <v>568</v>
      </c>
      <c r="D73" s="31">
        <v>1</v>
      </c>
      <c r="E73" s="31"/>
      <c r="F73" s="31"/>
      <c r="G73" s="31"/>
      <c r="H73" s="31"/>
      <c r="I73" s="31"/>
      <c r="J73" s="31"/>
      <c r="K73" s="31"/>
      <c r="L73" s="31"/>
      <c r="M73" s="31"/>
      <c r="N73" s="31"/>
      <c r="O73" s="31"/>
      <c r="P73" s="31"/>
      <c r="Q73" s="31"/>
      <c r="R73" s="31"/>
      <c r="S73" s="31"/>
      <c r="T73" s="31"/>
      <c r="U73" s="31"/>
      <c r="V73" s="31"/>
    </row>
    <row r="74" spans="2:22" x14ac:dyDescent="0.35">
      <c r="B74" s="44">
        <f>IF(Input!$B$26=C74,0.5,0)</f>
        <v>0</v>
      </c>
      <c r="C74" t="s">
        <v>442</v>
      </c>
      <c r="D74" s="31"/>
      <c r="E74" s="31"/>
      <c r="F74" s="31"/>
      <c r="G74" s="31"/>
      <c r="H74" s="31"/>
      <c r="I74" s="31"/>
      <c r="J74" s="31"/>
      <c r="K74" s="31"/>
      <c r="L74" s="31"/>
      <c r="M74" s="31"/>
      <c r="N74" s="31"/>
      <c r="O74" s="31"/>
      <c r="P74" s="31"/>
      <c r="Q74" s="31"/>
      <c r="R74" s="31"/>
      <c r="S74" s="31"/>
      <c r="T74" s="31"/>
      <c r="U74" s="31"/>
      <c r="V74" s="31"/>
    </row>
    <row r="75" spans="2:22" x14ac:dyDescent="0.35">
      <c r="B75" s="44">
        <f>IF(Input!$B$26=C75,0.5,0)</f>
        <v>0</v>
      </c>
      <c r="C75" t="s">
        <v>60</v>
      </c>
      <c r="D75" s="31"/>
      <c r="E75" s="31"/>
      <c r="F75" s="31"/>
      <c r="G75" s="31"/>
      <c r="H75" s="31"/>
      <c r="I75" s="31"/>
      <c r="J75" s="31"/>
      <c r="K75" s="31"/>
      <c r="L75" s="31">
        <v>1</v>
      </c>
      <c r="M75" s="31"/>
      <c r="N75" s="31"/>
      <c r="O75" s="31"/>
      <c r="P75" s="31"/>
      <c r="Q75" s="31"/>
      <c r="R75" s="31"/>
      <c r="S75" s="31"/>
      <c r="T75" s="31"/>
      <c r="U75" s="31"/>
      <c r="V75" s="31"/>
    </row>
    <row r="76" spans="2:22" x14ac:dyDescent="0.35">
      <c r="B76" s="44">
        <f>IF(Input!$B$26=C76,0.5,0)</f>
        <v>0</v>
      </c>
      <c r="C76" t="s">
        <v>569</v>
      </c>
      <c r="D76" s="31">
        <v>1</v>
      </c>
      <c r="E76" s="31"/>
      <c r="F76" s="31"/>
      <c r="G76" s="31"/>
      <c r="H76" s="31"/>
      <c r="I76" s="31"/>
      <c r="J76" s="31"/>
      <c r="K76" s="31"/>
      <c r="L76" s="31">
        <v>1</v>
      </c>
      <c r="M76" s="31">
        <v>1</v>
      </c>
      <c r="N76" s="31"/>
      <c r="O76" s="31">
        <v>1</v>
      </c>
      <c r="P76" s="31"/>
      <c r="Q76" s="31">
        <v>1</v>
      </c>
      <c r="R76" s="31">
        <v>1</v>
      </c>
      <c r="S76" s="31"/>
      <c r="T76" s="31"/>
      <c r="U76" s="31"/>
      <c r="V76" s="31"/>
    </row>
    <row r="77" spans="2:22" x14ac:dyDescent="0.35">
      <c r="B77" s="42">
        <f>IF(Input!$B$26=C77,1,0)</f>
        <v>0</v>
      </c>
      <c r="C77" t="s">
        <v>570</v>
      </c>
      <c r="D77" s="31">
        <v>1</v>
      </c>
      <c r="E77" s="31"/>
      <c r="F77" s="31"/>
      <c r="G77" s="31">
        <v>1</v>
      </c>
      <c r="H77" s="31">
        <v>1</v>
      </c>
      <c r="I77" s="31"/>
      <c r="J77" s="31"/>
      <c r="K77" s="31"/>
      <c r="L77" s="31"/>
      <c r="M77" s="31"/>
      <c r="N77" s="31">
        <v>1</v>
      </c>
      <c r="O77" s="31"/>
      <c r="P77" s="31">
        <v>1</v>
      </c>
      <c r="Q77" s="31"/>
      <c r="R77" s="31"/>
      <c r="S77" s="31"/>
      <c r="T77" s="31"/>
      <c r="U77" s="31"/>
      <c r="V77" s="31"/>
    </row>
    <row r="78" spans="2:22" x14ac:dyDescent="0.35">
      <c r="B78" s="44">
        <f>IF(Input!$B$26=C78,0.5,0)</f>
        <v>0</v>
      </c>
      <c r="C78" t="s">
        <v>571</v>
      </c>
      <c r="D78" s="31"/>
      <c r="E78" s="31"/>
      <c r="F78" s="31"/>
      <c r="G78" s="31"/>
      <c r="H78" s="31"/>
      <c r="I78" s="31"/>
      <c r="J78" s="31"/>
      <c r="K78" s="31">
        <v>1</v>
      </c>
      <c r="L78" s="31"/>
      <c r="M78" s="31"/>
      <c r="N78" s="31"/>
      <c r="O78" s="31">
        <v>1</v>
      </c>
      <c r="P78" s="31"/>
      <c r="Q78" s="31"/>
      <c r="R78" s="31"/>
      <c r="S78" s="31"/>
      <c r="T78" s="31"/>
      <c r="U78" s="31"/>
      <c r="V78" s="31"/>
    </row>
    <row r="79" spans="2:22" x14ac:dyDescent="0.35">
      <c r="B79" s="44">
        <f>IF(Input!$B$26=C79,0.5,0)</f>
        <v>0</v>
      </c>
      <c r="C79" t="s">
        <v>572</v>
      </c>
      <c r="D79" s="31">
        <v>1</v>
      </c>
      <c r="E79" s="31"/>
      <c r="F79" s="31"/>
      <c r="G79" s="31"/>
      <c r="H79" s="31"/>
      <c r="I79" s="31"/>
      <c r="J79" s="31"/>
      <c r="K79" s="31"/>
      <c r="L79" s="31"/>
      <c r="M79" s="31"/>
      <c r="N79" s="31"/>
      <c r="O79" s="31"/>
      <c r="P79" s="31"/>
      <c r="Q79" s="31"/>
      <c r="R79" s="31"/>
      <c r="S79" s="31"/>
      <c r="T79" s="31"/>
      <c r="U79" s="31"/>
      <c r="V79" s="31"/>
    </row>
    <row r="80" spans="2:22" x14ac:dyDescent="0.35">
      <c r="B80" s="42">
        <f>IF(Input!$B$26=C80,1,0)</f>
        <v>0</v>
      </c>
      <c r="C80" t="s">
        <v>573</v>
      </c>
      <c r="D80" s="31">
        <v>1</v>
      </c>
      <c r="E80" s="31"/>
      <c r="F80" s="31"/>
      <c r="G80" s="31"/>
      <c r="H80" s="31">
        <v>1</v>
      </c>
      <c r="I80" s="31"/>
      <c r="J80" s="31"/>
      <c r="K80" s="31"/>
      <c r="L80" s="31"/>
      <c r="M80" s="31"/>
      <c r="N80" s="31"/>
      <c r="O80" s="31"/>
      <c r="P80" s="31"/>
      <c r="Q80" s="31"/>
      <c r="R80" s="31">
        <v>1</v>
      </c>
      <c r="S80" s="31"/>
      <c r="T80" s="31">
        <v>1</v>
      </c>
      <c r="U80" s="31"/>
      <c r="V80" s="31"/>
    </row>
    <row r="81" spans="2:22" x14ac:dyDescent="0.35">
      <c r="B81" s="42">
        <f>IF(Input!$B$26=C81,1,0)</f>
        <v>0</v>
      </c>
      <c r="C81" t="s">
        <v>574</v>
      </c>
      <c r="D81" s="31"/>
      <c r="E81" s="31"/>
      <c r="F81" s="31"/>
      <c r="G81" s="31"/>
      <c r="H81" s="31"/>
      <c r="I81" s="31"/>
      <c r="J81" s="31"/>
      <c r="K81" s="31"/>
      <c r="L81" s="31"/>
      <c r="M81" s="31"/>
      <c r="N81" s="31"/>
      <c r="O81" s="31"/>
      <c r="P81" s="31"/>
      <c r="Q81" s="31"/>
      <c r="R81" s="31"/>
      <c r="S81" s="31"/>
      <c r="T81" s="31"/>
      <c r="U81" s="31"/>
      <c r="V81" s="31"/>
    </row>
    <row r="82" spans="2:22" x14ac:dyDescent="0.35">
      <c r="B82" s="44">
        <f>IF(Input!$B$26=C82,0.5,0)</f>
        <v>0</v>
      </c>
      <c r="C82" t="s">
        <v>153</v>
      </c>
      <c r="D82" s="31">
        <v>1</v>
      </c>
      <c r="E82" s="31"/>
      <c r="F82" s="31"/>
      <c r="G82" s="31"/>
      <c r="H82" s="31"/>
      <c r="I82" s="31"/>
      <c r="J82" s="31"/>
      <c r="K82" s="31"/>
      <c r="L82" s="31"/>
      <c r="M82" s="31"/>
      <c r="N82" s="31"/>
      <c r="O82" s="31"/>
      <c r="P82" s="31"/>
      <c r="Q82" s="31"/>
      <c r="R82" s="31"/>
      <c r="S82" s="31"/>
      <c r="T82" s="31"/>
      <c r="U82" s="31"/>
      <c r="V82" s="31"/>
    </row>
    <row r="83" spans="2:22" x14ac:dyDescent="0.35">
      <c r="B83" s="42">
        <f>IF(Input!$B$26=C83,1,0)</f>
        <v>0</v>
      </c>
      <c r="C83" t="s">
        <v>575</v>
      </c>
      <c r="D83" s="31">
        <v>1</v>
      </c>
      <c r="E83" s="31"/>
      <c r="F83" s="31">
        <v>1</v>
      </c>
      <c r="G83" s="31"/>
      <c r="H83" s="31">
        <v>1</v>
      </c>
      <c r="I83" s="31"/>
      <c r="J83" s="31"/>
      <c r="K83" s="31"/>
      <c r="L83" s="31"/>
      <c r="M83" s="31"/>
      <c r="N83" s="31"/>
      <c r="O83" s="31">
        <v>1</v>
      </c>
      <c r="P83" s="31"/>
      <c r="Q83" s="31">
        <v>1</v>
      </c>
      <c r="R83" s="31"/>
      <c r="S83" s="31"/>
      <c r="T83" s="31"/>
      <c r="U83" s="31"/>
      <c r="V83" s="31"/>
    </row>
    <row r="84" spans="2:22" x14ac:dyDescent="0.35">
      <c r="B84" s="42">
        <f>IF(Input!$B$26=C84,1,0)</f>
        <v>0</v>
      </c>
      <c r="C84" t="s">
        <v>537</v>
      </c>
      <c r="D84" s="31"/>
      <c r="E84" s="31"/>
      <c r="F84" s="31"/>
      <c r="G84" s="31"/>
      <c r="H84" s="31">
        <v>1</v>
      </c>
      <c r="I84" s="31"/>
      <c r="J84" s="31">
        <v>1</v>
      </c>
      <c r="K84" s="31"/>
      <c r="L84" s="31"/>
      <c r="M84" s="31"/>
      <c r="N84" s="31"/>
      <c r="O84" s="31"/>
      <c r="P84" s="31"/>
      <c r="Q84" s="31">
        <v>1</v>
      </c>
      <c r="R84" s="31"/>
      <c r="S84" s="31"/>
      <c r="T84" s="31"/>
      <c r="U84" s="31"/>
      <c r="V84" s="31"/>
    </row>
    <row r="85" spans="2:22" x14ac:dyDescent="0.35">
      <c r="C85" t="s">
        <v>63</v>
      </c>
      <c r="D85" s="31"/>
      <c r="E85" s="31"/>
      <c r="F85" s="31"/>
      <c r="G85" s="31"/>
      <c r="H85" s="31"/>
      <c r="I85" s="31"/>
      <c r="J85" s="31"/>
      <c r="K85" s="31"/>
      <c r="L85" s="31"/>
      <c r="M85" s="31"/>
      <c r="N85" s="31"/>
      <c r="O85" s="31"/>
      <c r="P85" s="31"/>
      <c r="Q85" s="31"/>
      <c r="R85" s="31"/>
      <c r="S85" s="31"/>
      <c r="T85" s="31"/>
      <c r="U85" s="31"/>
      <c r="V85" s="31"/>
    </row>
    <row r="86" spans="2:22" x14ac:dyDescent="0.35">
      <c r="B86" s="42">
        <f>IF(Input!$B$26=C86,1,0)</f>
        <v>0</v>
      </c>
      <c r="C86" t="s">
        <v>480</v>
      </c>
      <c r="D86" s="31"/>
      <c r="E86" s="31"/>
      <c r="F86" s="31"/>
      <c r="G86" s="31"/>
      <c r="H86" s="31">
        <v>1</v>
      </c>
      <c r="I86" s="31"/>
      <c r="J86" s="31">
        <v>1</v>
      </c>
      <c r="K86" s="31"/>
      <c r="L86" s="31"/>
      <c r="M86" s="31"/>
      <c r="N86" s="31"/>
      <c r="O86" s="31"/>
      <c r="P86" s="31"/>
      <c r="Q86" s="31">
        <v>1</v>
      </c>
      <c r="R86" s="31"/>
      <c r="S86" s="31"/>
      <c r="T86" s="31"/>
      <c r="U86" s="31"/>
      <c r="V86" s="31"/>
    </row>
    <row r="87" spans="2:22" x14ac:dyDescent="0.35">
      <c r="B87" s="119">
        <f>_xlfn.MAXIFS(Table2[Estimated prevalence of modern slavery per 1,000 population],Table2[Selected?],"&gt;0")+_xlfn.MAXIFS(Table4[Estimated prevalence of modern slavery per 1,000 population],Table4[Selected?],"&gt;0")</f>
        <v>0</v>
      </c>
      <c r="C87" s="109" t="s">
        <v>657</v>
      </c>
    </row>
    <row r="88" spans="2:22" x14ac:dyDescent="0.35">
      <c r="B88" s="47" t="s">
        <v>576</v>
      </c>
      <c r="C88" s="48">
        <v>4</v>
      </c>
    </row>
    <row r="89" spans="2:22" x14ac:dyDescent="0.35">
      <c r="C89" s="1"/>
    </row>
    <row r="90" spans="2:22" x14ac:dyDescent="0.35">
      <c r="B90">
        <f>SIGN(SUM(B3:B27))</f>
        <v>-1</v>
      </c>
      <c r="C90" s="1" t="s">
        <v>51</v>
      </c>
    </row>
    <row r="91" spans="2:22" x14ac:dyDescent="0.35">
      <c r="B91">
        <f>SIGN(SUM(B29:B36))</f>
        <v>-1</v>
      </c>
      <c r="C91" s="1" t="s">
        <v>61</v>
      </c>
    </row>
    <row r="92" spans="2:22" x14ac:dyDescent="0.35">
      <c r="B92">
        <f>IF(B87&gt;=C88,1,0)</f>
        <v>0</v>
      </c>
      <c r="C92" s="1" t="s">
        <v>577</v>
      </c>
    </row>
    <row r="93" spans="2:22" x14ac:dyDescent="0.35">
      <c r="B93">
        <f>SIGN(SUM(B38:B48))</f>
        <v>-1</v>
      </c>
      <c r="C93" s="1" t="s">
        <v>578</v>
      </c>
    </row>
    <row r="94" spans="2:22" x14ac:dyDescent="0.35">
      <c r="B94">
        <f>MIN(SUM(B59:B86),1)</f>
        <v>-1</v>
      </c>
      <c r="C94" s="1" t="s">
        <v>57</v>
      </c>
    </row>
    <row r="95" spans="2:22" x14ac:dyDescent="0.35">
      <c r="B95">
        <f>SIGN(SUM(B50:B57))</f>
        <v>-1</v>
      </c>
      <c r="C95" s="1" t="s">
        <v>579</v>
      </c>
    </row>
    <row r="96" spans="2:22" x14ac:dyDescent="0.35">
      <c r="C96" s="1"/>
    </row>
    <row r="97" spans="1:8" x14ac:dyDescent="0.35">
      <c r="B97">
        <f>IF(IF(B94=0.5,Input!E23=G108,B94),1,0)</f>
        <v>1</v>
      </c>
      <c r="C97" s="1" t="s">
        <v>580</v>
      </c>
    </row>
    <row r="98" spans="1:8" x14ac:dyDescent="0.35">
      <c r="C98" s="1"/>
    </row>
    <row r="99" spans="1:8" x14ac:dyDescent="0.35">
      <c r="B99">
        <f>SUM(B90:B93,B95,B97)</f>
        <v>-3</v>
      </c>
      <c r="C99" s="1" t="s">
        <v>581</v>
      </c>
      <c r="D99" t="str" cm="1">
        <f t="array" ref="D99">_xlfn.IFS(AND(B99&gt;=D104,SUM(H114:H114)=0),C104,SUM(G114:H114)=0,IFERROR(INDEX(C102:C104,MATCH(B99,D102:D104,1)),"FAIL"),AND(SUM(H114:H114)=0,B99&lt;D103-1),C102,TRUE,"Please complete the required inputs")</f>
        <v>Please complete the required inputs</v>
      </c>
    </row>
    <row r="100" spans="1:8" ht="15" thickBot="1" x14ac:dyDescent="0.4">
      <c r="C100" s="1"/>
    </row>
    <row r="101" spans="1:8" x14ac:dyDescent="0.35">
      <c r="C101" s="25" t="s">
        <v>582</v>
      </c>
      <c r="D101" s="26"/>
    </row>
    <row r="102" spans="1:8" x14ac:dyDescent="0.35">
      <c r="C102" s="27" t="s">
        <v>583</v>
      </c>
      <c r="D102" s="32">
        <v>0</v>
      </c>
    </row>
    <row r="103" spans="1:8" x14ac:dyDescent="0.35">
      <c r="C103" s="27" t="s">
        <v>584</v>
      </c>
      <c r="D103" s="32">
        <v>2</v>
      </c>
    </row>
    <row r="104" spans="1:8" ht="15" thickBot="1" x14ac:dyDescent="0.4">
      <c r="C104" s="28" t="s">
        <v>585</v>
      </c>
      <c r="D104" s="33">
        <v>3</v>
      </c>
    </row>
    <row r="105" spans="1:8" x14ac:dyDescent="0.35">
      <c r="C105" s="1"/>
    </row>
    <row r="106" spans="1:8" ht="29" x14ac:dyDescent="0.35">
      <c r="C106" s="1" t="s">
        <v>586</v>
      </c>
      <c r="D106" t="s">
        <v>585</v>
      </c>
      <c r="E106" t="s">
        <v>584</v>
      </c>
      <c r="F106" t="s">
        <v>583</v>
      </c>
    </row>
    <row r="107" spans="1:8" x14ac:dyDescent="0.35">
      <c r="C107" s="1" t="b">
        <f>Output!$C$5=C$106</f>
        <v>0</v>
      </c>
      <c r="D107" s="1" t="b">
        <f>Output!$C$5=D$106</f>
        <v>0</v>
      </c>
      <c r="E107" s="1" t="b">
        <f>Output!$C$5=E$106</f>
        <v>0</v>
      </c>
      <c r="F107" s="1" t="b">
        <f>Output!$C$5=F$106</f>
        <v>0</v>
      </c>
      <c r="G107" t="s">
        <v>587</v>
      </c>
    </row>
    <row r="108" spans="1:8" x14ac:dyDescent="0.35">
      <c r="C108" s="1"/>
      <c r="D108" s="1"/>
      <c r="E108" s="1"/>
      <c r="F108" s="1"/>
      <c r="G108" t="s">
        <v>55</v>
      </c>
    </row>
    <row r="110" spans="1:8" x14ac:dyDescent="0.35">
      <c r="B110" s="166" t="s">
        <v>659</v>
      </c>
      <c r="C110" s="166"/>
      <c r="D110" s="166"/>
      <c r="E110" s="166"/>
      <c r="F110" s="166"/>
      <c r="G110" s="166"/>
      <c r="H110" s="166"/>
    </row>
    <row r="111" spans="1:8" x14ac:dyDescent="0.35">
      <c r="A111" s="1"/>
      <c r="B111" s="1"/>
      <c r="C111" s="1"/>
      <c r="D111" s="146" t="str">
        <f>D106</f>
        <v>HIGH</v>
      </c>
      <c r="E111" s="146" t="str">
        <f>E106</f>
        <v>MEDIUM</v>
      </c>
      <c r="F111" s="146" t="str">
        <f>F106</f>
        <v>LOW</v>
      </c>
      <c r="G111" s="146" t="s">
        <v>588</v>
      </c>
      <c r="H111" s="146"/>
    </row>
    <row r="112" spans="1:8" x14ac:dyDescent="0.35">
      <c r="A112" s="1"/>
      <c r="B112" s="1"/>
      <c r="C112" s="1"/>
      <c r="D112" s="168"/>
      <c r="E112" s="168"/>
      <c r="F112" s="168"/>
      <c r="G112" t="s">
        <v>589</v>
      </c>
      <c r="H112" t="s">
        <v>590</v>
      </c>
    </row>
    <row r="113" spans="1:8" x14ac:dyDescent="0.35">
      <c r="B113" s="167" t="s">
        <v>591</v>
      </c>
      <c r="C113" s="167"/>
      <c r="D113" s="35">
        <v>1</v>
      </c>
      <c r="E113" s="35">
        <v>2</v>
      </c>
      <c r="F113" s="35">
        <v>3</v>
      </c>
      <c r="G113" s="35">
        <v>4</v>
      </c>
      <c r="H113" s="35">
        <v>5</v>
      </c>
    </row>
    <row r="114" spans="1:8" x14ac:dyDescent="0.35">
      <c r="B114" s="7" t="s">
        <v>592</v>
      </c>
      <c r="C114" s="5" t="s">
        <v>593</v>
      </c>
      <c r="D114">
        <f>SIGN(Output!$C$5=D111)</f>
        <v>0</v>
      </c>
      <c r="E114">
        <f>SIGN(Output!$C$5=E111)</f>
        <v>0</v>
      </c>
      <c r="F114">
        <f>SIGN(Output!$C$5=F111)</f>
        <v>0</v>
      </c>
      <c r="G114">
        <f>SIGN(AND(B94=0.5,Input!E23=""))</f>
        <v>0</v>
      </c>
      <c r="H114">
        <f>SIGN(OR(B87=0,Input!B23="",Input!B26="",Input!B29="",Input!B32="",Input!B35="",COUNTIF(B3:B87,"&lt;0")))</f>
        <v>1</v>
      </c>
    </row>
    <row r="115" spans="1:8" ht="275.5" x14ac:dyDescent="0.35">
      <c r="A115">
        <f>SIGN(SUMPRODUCT($D$114:$H$114,D115:H115))</f>
        <v>0</v>
      </c>
      <c r="B115" s="45" t="s">
        <v>594</v>
      </c>
      <c r="C115" s="49" t="s">
        <v>595</v>
      </c>
      <c r="D115" s="31">
        <v>1</v>
      </c>
      <c r="E115" s="31">
        <v>1</v>
      </c>
      <c r="F115" s="31"/>
      <c r="G115" s="31"/>
      <c r="H115" s="31"/>
    </row>
    <row r="116" spans="1:8" ht="159.5" x14ac:dyDescent="0.35">
      <c r="A116">
        <f t="shared" ref="A116:A136" si="0">A115+SIGN(SUMPRODUCT($D$114:$H$114,D116:H116))</f>
        <v>0</v>
      </c>
      <c r="B116" s="45" t="s">
        <v>594</v>
      </c>
      <c r="C116" s="49" t="s">
        <v>596</v>
      </c>
      <c r="D116" s="31"/>
      <c r="E116" s="31"/>
      <c r="F116" s="31">
        <v>1</v>
      </c>
      <c r="G116" s="31"/>
      <c r="H116" s="31"/>
    </row>
    <row r="117" spans="1:8" ht="159.5" x14ac:dyDescent="0.35">
      <c r="A117">
        <f t="shared" si="0"/>
        <v>0</v>
      </c>
      <c r="B117" s="45" t="s">
        <v>597</v>
      </c>
      <c r="C117" s="49" t="s">
        <v>598</v>
      </c>
      <c r="D117" s="31">
        <v>1</v>
      </c>
      <c r="E117" s="31">
        <v>1</v>
      </c>
      <c r="F117" s="31"/>
      <c r="G117" s="31"/>
      <c r="H117" s="31"/>
    </row>
    <row r="118" spans="1:8" ht="101.5" x14ac:dyDescent="0.35">
      <c r="A118">
        <f t="shared" si="0"/>
        <v>0</v>
      </c>
      <c r="B118" s="45" t="s">
        <v>597</v>
      </c>
      <c r="C118" s="49" t="s">
        <v>599</v>
      </c>
      <c r="D118" s="31"/>
      <c r="E118" s="31"/>
      <c r="F118" s="31">
        <v>1</v>
      </c>
      <c r="G118" s="31"/>
      <c r="H118" s="34"/>
    </row>
    <row r="119" spans="1:8" ht="333.5" x14ac:dyDescent="0.35">
      <c r="A119">
        <f t="shared" si="0"/>
        <v>0</v>
      </c>
      <c r="B119" s="45" t="s">
        <v>600</v>
      </c>
      <c r="C119" s="49" t="s">
        <v>678</v>
      </c>
      <c r="D119" s="31">
        <v>1</v>
      </c>
      <c r="E119" s="31">
        <v>1</v>
      </c>
      <c r="F119" s="31"/>
      <c r="G119" s="31"/>
      <c r="H119" s="31"/>
    </row>
    <row r="120" spans="1:8" ht="275.5" x14ac:dyDescent="0.35">
      <c r="A120">
        <f t="shared" si="0"/>
        <v>0</v>
      </c>
      <c r="B120" s="45" t="s">
        <v>600</v>
      </c>
      <c r="C120" s="49" t="s">
        <v>679</v>
      </c>
      <c r="D120" s="31"/>
      <c r="E120" s="31"/>
      <c r="F120" s="31">
        <v>1</v>
      </c>
      <c r="G120" s="31"/>
      <c r="H120" s="31"/>
    </row>
    <row r="121" spans="1:8" ht="217.5" x14ac:dyDescent="0.35">
      <c r="A121">
        <f t="shared" si="0"/>
        <v>0</v>
      </c>
      <c r="B121" s="45" t="s">
        <v>601</v>
      </c>
      <c r="C121" s="49" t="s">
        <v>693</v>
      </c>
      <c r="D121" s="31">
        <v>1</v>
      </c>
      <c r="E121" s="31">
        <v>1</v>
      </c>
      <c r="F121" s="31"/>
      <c r="G121" s="31"/>
      <c r="H121" s="31"/>
    </row>
    <row r="122" spans="1:8" ht="116" x14ac:dyDescent="0.35">
      <c r="A122">
        <f t="shared" si="0"/>
        <v>0</v>
      </c>
      <c r="B122" s="45" t="s">
        <v>602</v>
      </c>
      <c r="C122" s="110" t="s">
        <v>658</v>
      </c>
      <c r="D122" s="31">
        <v>1</v>
      </c>
      <c r="E122" s="31">
        <v>1</v>
      </c>
      <c r="F122" s="31"/>
      <c r="G122" s="31"/>
      <c r="H122" s="31"/>
    </row>
    <row r="123" spans="1:8" ht="87" x14ac:dyDescent="0.35">
      <c r="A123">
        <f t="shared" si="0"/>
        <v>0</v>
      </c>
      <c r="B123" s="45" t="s">
        <v>602</v>
      </c>
      <c r="C123" s="49" t="s">
        <v>603</v>
      </c>
      <c r="D123" s="31"/>
      <c r="E123" s="31"/>
      <c r="F123" s="31">
        <v>1</v>
      </c>
      <c r="G123" s="31"/>
      <c r="H123" s="31"/>
    </row>
    <row r="124" spans="1:8" ht="159.5" x14ac:dyDescent="0.35">
      <c r="A124">
        <f t="shared" si="0"/>
        <v>0</v>
      </c>
      <c r="B124" s="45" t="s">
        <v>604</v>
      </c>
      <c r="C124" s="49" t="s">
        <v>605</v>
      </c>
      <c r="D124" s="31">
        <v>1</v>
      </c>
      <c r="E124" s="31">
        <v>1</v>
      </c>
      <c r="F124" s="31"/>
      <c r="G124" s="31"/>
      <c r="H124" s="31"/>
    </row>
    <row r="125" spans="1:8" ht="304.5" x14ac:dyDescent="0.35">
      <c r="A125">
        <f t="shared" si="0"/>
        <v>0</v>
      </c>
      <c r="B125" s="45" t="s">
        <v>606</v>
      </c>
      <c r="C125" s="49" t="s">
        <v>607</v>
      </c>
      <c r="D125" s="31">
        <v>1</v>
      </c>
      <c r="E125" s="31">
        <v>1</v>
      </c>
      <c r="F125" s="31"/>
      <c r="G125" s="31"/>
      <c r="H125" s="31"/>
    </row>
    <row r="126" spans="1:8" ht="87" x14ac:dyDescent="0.35">
      <c r="A126">
        <f t="shared" si="0"/>
        <v>0</v>
      </c>
      <c r="B126" s="45" t="s">
        <v>606</v>
      </c>
      <c r="C126" s="49" t="s">
        <v>608</v>
      </c>
      <c r="D126" s="31"/>
      <c r="E126" s="31"/>
      <c r="F126" s="31">
        <v>1</v>
      </c>
      <c r="G126" s="31"/>
      <c r="H126" s="31"/>
    </row>
    <row r="127" spans="1:8" ht="43.5" x14ac:dyDescent="0.35">
      <c r="A127">
        <f t="shared" si="0"/>
        <v>1</v>
      </c>
      <c r="B127" s="45" t="s">
        <v>609</v>
      </c>
      <c r="C127" s="49" t="s">
        <v>610</v>
      </c>
      <c r="D127" s="31"/>
      <c r="E127" s="31"/>
      <c r="F127" s="31"/>
      <c r="G127" s="31"/>
      <c r="H127" s="31">
        <v>1</v>
      </c>
    </row>
    <row r="128" spans="1:8" ht="58" x14ac:dyDescent="0.35">
      <c r="A128">
        <f t="shared" si="0"/>
        <v>1</v>
      </c>
      <c r="B128" s="45" t="s">
        <v>609</v>
      </c>
      <c r="C128" s="49" t="s">
        <v>611</v>
      </c>
      <c r="D128" s="31"/>
      <c r="E128" s="31"/>
      <c r="F128" s="31"/>
      <c r="G128" s="31">
        <v>1</v>
      </c>
      <c r="H128" s="31"/>
    </row>
    <row r="129" spans="1:8" x14ac:dyDescent="0.35">
      <c r="A129">
        <f t="shared" si="0"/>
        <v>1</v>
      </c>
      <c r="B129" s="45" t="s">
        <v>10</v>
      </c>
      <c r="C129" s="49" t="s">
        <v>612</v>
      </c>
      <c r="D129" s="31"/>
      <c r="E129" s="31"/>
      <c r="F129" s="31"/>
      <c r="G129" s="31"/>
      <c r="H129" s="31"/>
    </row>
    <row r="130" spans="1:8" x14ac:dyDescent="0.35">
      <c r="A130">
        <f t="shared" si="0"/>
        <v>1</v>
      </c>
      <c r="B130" s="45" t="s">
        <v>10</v>
      </c>
      <c r="C130" s="49" t="s">
        <v>612</v>
      </c>
      <c r="D130" s="31"/>
      <c r="E130" s="31"/>
      <c r="F130" s="31"/>
      <c r="G130" s="31"/>
      <c r="H130" s="31"/>
    </row>
    <row r="131" spans="1:8" x14ac:dyDescent="0.35">
      <c r="A131">
        <f t="shared" si="0"/>
        <v>1</v>
      </c>
      <c r="B131" s="45" t="s">
        <v>10</v>
      </c>
      <c r="C131" s="49" t="s">
        <v>612</v>
      </c>
      <c r="D131" s="31"/>
      <c r="E131" s="31"/>
      <c r="F131" s="31"/>
      <c r="G131" s="31"/>
      <c r="H131" s="31"/>
    </row>
    <row r="132" spans="1:8" x14ac:dyDescent="0.35">
      <c r="A132">
        <f t="shared" si="0"/>
        <v>1</v>
      </c>
      <c r="B132" s="45" t="s">
        <v>10</v>
      </c>
      <c r="C132" s="49" t="s">
        <v>612</v>
      </c>
      <c r="D132" s="31"/>
      <c r="E132" s="31"/>
      <c r="F132" s="31"/>
      <c r="G132" s="31"/>
      <c r="H132" s="31"/>
    </row>
    <row r="133" spans="1:8" x14ac:dyDescent="0.35">
      <c r="A133">
        <f t="shared" si="0"/>
        <v>1</v>
      </c>
      <c r="B133" s="45" t="s">
        <v>10</v>
      </c>
      <c r="C133" s="49" t="s">
        <v>612</v>
      </c>
      <c r="D133" s="31"/>
      <c r="E133" s="31"/>
      <c r="F133" s="31"/>
      <c r="G133" s="31"/>
      <c r="H133" s="31"/>
    </row>
    <row r="134" spans="1:8" x14ac:dyDescent="0.35">
      <c r="A134">
        <f t="shared" si="0"/>
        <v>1</v>
      </c>
      <c r="B134" s="45" t="s">
        <v>10</v>
      </c>
      <c r="C134" s="49" t="s">
        <v>612</v>
      </c>
      <c r="D134" s="31"/>
      <c r="E134" s="31"/>
      <c r="F134" s="31"/>
      <c r="G134" s="31"/>
      <c r="H134" s="31"/>
    </row>
    <row r="135" spans="1:8" x14ac:dyDescent="0.35">
      <c r="A135">
        <f t="shared" si="0"/>
        <v>1</v>
      </c>
      <c r="B135" s="45" t="s">
        <v>10</v>
      </c>
      <c r="C135" s="49" t="s">
        <v>612</v>
      </c>
      <c r="D135" s="31"/>
      <c r="E135" s="31"/>
      <c r="F135" s="31"/>
      <c r="G135" s="31"/>
      <c r="H135" s="31"/>
    </row>
    <row r="136" spans="1:8" x14ac:dyDescent="0.35">
      <c r="A136">
        <f t="shared" si="0"/>
        <v>1</v>
      </c>
      <c r="B136" s="45" t="s">
        <v>10</v>
      </c>
      <c r="C136" s="49" t="s">
        <v>612</v>
      </c>
      <c r="D136" s="31"/>
      <c r="E136" s="31"/>
      <c r="F136" s="31"/>
      <c r="G136" s="31"/>
      <c r="H136" s="31"/>
    </row>
  </sheetData>
  <sortState xmlns:xlrd2="http://schemas.microsoft.com/office/spreadsheetml/2017/richdata2" ref="B60:V83">
    <sortCondition ref="C60:C83"/>
  </sortState>
  <mergeCells count="7">
    <mergeCell ref="X3:AA3"/>
    <mergeCell ref="B110:H110"/>
    <mergeCell ref="B113:C113"/>
    <mergeCell ref="G111:H111"/>
    <mergeCell ref="D111:D112"/>
    <mergeCell ref="E111:E112"/>
    <mergeCell ref="F111:F112"/>
  </mergeCells>
  <pageMargins left="0.7" right="0.7" top="0.75" bottom="0.75" header="0.3" footer="0.3"/>
  <pageSetup paperSize="9" orientation="portrait" horizontalDpi="1200" verticalDpi="1200" r:id="rId1"/>
  <headerFooter>
    <oddHeader>&amp;C&amp;"Calibri"&amp;10&amp;K000000 OFFICIAL-SENSITIVE&amp;1#_x000D_</oddHeader>
    <oddFooter>&amp;C_x000D_&amp;1#&amp;"Calibri"&amp;10&amp;K000000 OFFICIAL-SENSITIVE</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83D7F-C0CD-48E9-A72A-CF8692F7ABEF}">
  <sheetPr>
    <tabColor rgb="FF92D050"/>
  </sheetPr>
  <dimension ref="B1:F42"/>
  <sheetViews>
    <sheetView showGridLines="0" zoomScaleNormal="100" workbookViewId="0"/>
  </sheetViews>
  <sheetFormatPr defaultRowHeight="14.5" x14ac:dyDescent="0.35"/>
  <cols>
    <col min="1" max="1" width="4.26953125" customWidth="1"/>
    <col min="2" max="2" width="42.81640625" customWidth="1"/>
    <col min="3" max="3" width="174.26953125" customWidth="1"/>
    <col min="5" max="5" width="51.1796875" customWidth="1"/>
    <col min="13" max="13" width="103.1796875" customWidth="1"/>
  </cols>
  <sheetData>
    <row r="1" spans="2:6" ht="26" x14ac:dyDescent="0.6">
      <c r="B1" s="121" t="s">
        <v>649</v>
      </c>
      <c r="C1" s="121"/>
    </row>
    <row r="3" spans="2:6" ht="15" thickBot="1" x14ac:dyDescent="0.4"/>
    <row r="4" spans="2:6" ht="19" thickTop="1" x14ac:dyDescent="0.45">
      <c r="B4" s="183" t="s">
        <v>613</v>
      </c>
      <c r="C4" s="184"/>
    </row>
    <row r="5" spans="2:6" ht="31.5" customHeight="1" thickBot="1" x14ac:dyDescent="0.4">
      <c r="B5" s="62" t="s">
        <v>614</v>
      </c>
      <c r="C5" s="63" t="str">
        <f>IF(AND(Reference!B94=0.5,Input!E23="",OR(Reference!B99=Reference!D103-1,Reference!B99=Reference!D104-1)),Reference!C106,Reference!D99)</f>
        <v>Please complete the required inputs</v>
      </c>
      <c r="E5" s="13"/>
    </row>
    <row r="6" spans="2:6" ht="15" thickTop="1" x14ac:dyDescent="0.35"/>
    <row r="7" spans="2:6" x14ac:dyDescent="0.35">
      <c r="B7" s="86" t="s">
        <v>615</v>
      </c>
      <c r="C7" s="87" t="str">
        <f>IF(Input!C5="","Not completed",Input!C5)</f>
        <v>Not completed</v>
      </c>
    </row>
    <row r="8" spans="2:6" x14ac:dyDescent="0.35">
      <c r="B8" s="86" t="s">
        <v>616</v>
      </c>
      <c r="C8" s="87" t="str">
        <f>IF(Input!C6="","Not completed",Input!C6)</f>
        <v>Not completed</v>
      </c>
    </row>
    <row r="9" spans="2:6" x14ac:dyDescent="0.35">
      <c r="B9" s="86" t="s">
        <v>34</v>
      </c>
      <c r="C9" s="87" t="str">
        <f>IF(Input!C7="","Not completed",Input!C7)</f>
        <v>Not completed</v>
      </c>
    </row>
    <row r="10" spans="2:6" x14ac:dyDescent="0.35">
      <c r="B10" s="86" t="s">
        <v>617</v>
      </c>
      <c r="C10" s="87" t="str">
        <f>IF(Input!C8="","Not completed",Input!C8)</f>
        <v>Not completed</v>
      </c>
    </row>
    <row r="11" spans="2:6" x14ac:dyDescent="0.35">
      <c r="B11" s="86" t="s">
        <v>37</v>
      </c>
      <c r="C11" s="88" t="str">
        <f>IF(Input!C9="","Not completed",Input!C9)</f>
        <v>Not completed</v>
      </c>
    </row>
    <row r="12" spans="2:6" ht="15" thickBot="1" x14ac:dyDescent="0.4"/>
    <row r="13" spans="2:6" ht="19.5" customHeight="1" x14ac:dyDescent="0.35">
      <c r="B13" s="185" t="s">
        <v>618</v>
      </c>
      <c r="C13" s="186"/>
    </row>
    <row r="14" spans="2:6" ht="44.25" customHeight="1" x14ac:dyDescent="0.35">
      <c r="B14" s="187"/>
      <c r="C14" s="188"/>
      <c r="F14" s="24"/>
    </row>
    <row r="15" spans="2:6" ht="22.5" customHeight="1" x14ac:dyDescent="0.4">
      <c r="B15" s="181" t="str">
        <f>IFERROR(VLOOKUP(_xlfn.FLOOR.MATH((ROW(B16)-ROW($B$14))/2),Reference!$A$115:$C$136,MOD(ROW(B15)-ROW($B$13),2)+2,FALSE),"")</f>
        <v>Inputs Missing</v>
      </c>
      <c r="C15" s="182"/>
      <c r="F15" s="24"/>
    </row>
    <row r="16" spans="2:6" ht="122.25" customHeight="1" x14ac:dyDescent="0.35">
      <c r="B16" s="179" t="str">
        <f>IFERROR(VLOOKUP(_xlfn.FLOOR.MATH((ROW(B17)-ROW($B$14))/2),Reference!$A$115:$C$136,MOD(ROW(B16)-ROW($B$13),2)+2,FALSE),"")</f>
        <v>Please complete the six key questions on the 'Input' sheet, including selecting at least one country.</v>
      </c>
      <c r="C16" s="180"/>
      <c r="F16" s="24"/>
    </row>
    <row r="17" spans="2:3" ht="22.5" customHeight="1" x14ac:dyDescent="0.4">
      <c r="B17" s="171" t="str">
        <f>IFERROR(VLOOKUP(_xlfn.FLOOR.MATH((ROW(B18)-ROW($B$14))/2),Reference!$A$115:$C$136,MOD(ROW(B17)-ROW($B$13),2)+2,FALSE),"")</f>
        <v/>
      </c>
      <c r="C17" s="172"/>
    </row>
    <row r="18" spans="2:3" ht="75" customHeight="1" x14ac:dyDescent="0.35">
      <c r="B18" s="179" t="str">
        <f>IFERROR(VLOOKUP(_xlfn.FLOOR.MATH((ROW(B19)-ROW($B$14))/2),Reference!$A$115:$C$136,MOD(ROW(B18)-ROW($B$13),2)+2,FALSE),"")</f>
        <v/>
      </c>
      <c r="C18" s="180"/>
    </row>
    <row r="19" spans="2:3" ht="22.5" customHeight="1" x14ac:dyDescent="0.4">
      <c r="B19" s="171" t="str">
        <f>IFERROR(VLOOKUP(_xlfn.FLOOR.MATH((ROW(B20)-ROW($B$14))/2),Reference!$A$115:$C$136,MOD(ROW(B19)-ROW($B$13),2)+2,FALSE),"")</f>
        <v/>
      </c>
      <c r="C19" s="172"/>
    </row>
    <row r="20" spans="2:3" ht="96.75" customHeight="1" x14ac:dyDescent="0.35">
      <c r="B20" s="179" t="str">
        <f>IFERROR(VLOOKUP(_xlfn.FLOOR.MATH((ROW(B21)-ROW($B$14))/2),Reference!$A$115:$C$136,MOD(ROW(B20)-ROW($B$13),2)+2,FALSE),"")</f>
        <v/>
      </c>
      <c r="C20" s="180"/>
    </row>
    <row r="21" spans="2:3" ht="22.5" customHeight="1" x14ac:dyDescent="0.4">
      <c r="B21" s="171" t="str">
        <f>IFERROR(VLOOKUP(_xlfn.FLOOR.MATH((ROW(B22)-ROW($B$14))/2),Reference!$A$115:$C$136,MOD(ROW(B21)-ROW($B$13),2)+2,FALSE),"")</f>
        <v/>
      </c>
      <c r="C21" s="172"/>
    </row>
    <row r="22" spans="2:3" ht="126.75" customHeight="1" x14ac:dyDescent="0.35">
      <c r="B22" s="179" t="str">
        <f>IFERROR(VLOOKUP(_xlfn.FLOOR.MATH((ROW(B23)-ROW($B$14))/2),Reference!$A$115:$C$136,MOD(ROW(B22)-ROW($B$13),2)+2,FALSE),"")</f>
        <v/>
      </c>
      <c r="C22" s="180"/>
    </row>
    <row r="23" spans="2:3" ht="22.5" customHeight="1" x14ac:dyDescent="0.4">
      <c r="B23" s="171" t="str">
        <f>IFERROR(VLOOKUP(_xlfn.FLOOR.MATH((ROW(B24)-ROW($B$14))/2),Reference!$A$115:$C$136,MOD(ROW(B23)-ROW($B$13),2)+2,FALSE),"")</f>
        <v/>
      </c>
      <c r="C23" s="172"/>
    </row>
    <row r="24" spans="2:3" ht="66.75" customHeight="1" x14ac:dyDescent="0.35">
      <c r="B24" s="179" t="str">
        <f>IFERROR(VLOOKUP(_xlfn.FLOOR.MATH((ROW(B25)-ROW($B$14))/2),Reference!$A$115:$C$136,MOD(ROW(B24)-ROW($B$13),2)+2,FALSE),"")</f>
        <v/>
      </c>
      <c r="C24" s="180"/>
    </row>
    <row r="25" spans="2:3" ht="22.5" customHeight="1" x14ac:dyDescent="0.4">
      <c r="B25" s="171" t="str">
        <f>IFERROR(VLOOKUP(_xlfn.FLOOR.MATH((ROW(B26)-ROW($B$14))/2),Reference!$A$115:$C$136,MOD(ROW(B25)-ROW($B$13),2)+2,FALSE),"")</f>
        <v/>
      </c>
      <c r="C25" s="172"/>
    </row>
    <row r="26" spans="2:3" ht="69.75" customHeight="1" x14ac:dyDescent="0.35">
      <c r="B26" s="179" t="str">
        <f>IFERROR(VLOOKUP(_xlfn.FLOOR.MATH((ROW(B27)-ROW($B$14))/2),Reference!$A$115:$C$136,MOD(ROW(B26)-ROW($B$13),2)+2,FALSE),"")</f>
        <v/>
      </c>
      <c r="C26" s="180"/>
    </row>
    <row r="27" spans="2:3" ht="22.5" customHeight="1" x14ac:dyDescent="0.4">
      <c r="B27" s="171" t="str">
        <f>IFERROR(VLOOKUP(_xlfn.FLOOR.MATH((ROW(B28)-ROW($B$14))/2),Reference!$A$115:$C$136,MOD(ROW(B27)-ROW($B$13),2)+2,FALSE),"")</f>
        <v/>
      </c>
      <c r="C27" s="172"/>
    </row>
    <row r="28" spans="2:3" ht="116.25" customHeight="1" x14ac:dyDescent="0.35">
      <c r="B28" s="179" t="str">
        <f>IFERROR(VLOOKUP(_xlfn.FLOOR.MATH((ROW(B29)-ROW($B$14))/2),Reference!$A$115:$C$136,MOD(ROW(B28)-ROW($B$13),2)+2,FALSE),"")</f>
        <v/>
      </c>
      <c r="C28" s="180"/>
    </row>
    <row r="29" spans="2:3" ht="22.5" customHeight="1" x14ac:dyDescent="0.4">
      <c r="B29" s="171" t="str">
        <f>IFERROR(VLOOKUP(_xlfn.FLOOR.MATH((ROW(B30)-ROW($B$14))/2),Reference!$A$115:$C$136,MOD(ROW(B29)-ROW($B$13),2)+2,FALSE),"")</f>
        <v/>
      </c>
      <c r="C29" s="172"/>
    </row>
    <row r="30" spans="2:3" ht="37.5" customHeight="1" thickBot="1" x14ac:dyDescent="0.4">
      <c r="B30" s="173" t="str">
        <f>IFERROR(VLOOKUP(_xlfn.FLOOR.MATH((ROW(B31)-ROW($B$14))/2),Reference!$A$115:$C$136,MOD(ROW(B30)-ROW($B$13),2)+2,FALSE),"")</f>
        <v/>
      </c>
      <c r="C30" s="174"/>
    </row>
    <row r="31" spans="2:3" ht="25.5" customHeight="1" thickBot="1" x14ac:dyDescent="0.4">
      <c r="B31" s="14"/>
    </row>
    <row r="32" spans="2:3" ht="18.75" customHeight="1" x14ac:dyDescent="0.45">
      <c r="B32" s="177" t="s">
        <v>619</v>
      </c>
      <c r="C32" s="178"/>
    </row>
    <row r="33" spans="2:3" ht="39" customHeight="1" x14ac:dyDescent="0.35">
      <c r="B33" s="175" t="str">
        <f>IFERROR(INDEX(Reference!$D$2:$V$2,1,MATCH(ROW(B33)-ROW($B$32),Reference!$D$1:$V$1,0)),"")</f>
        <v/>
      </c>
      <c r="C33" s="176"/>
    </row>
    <row r="34" spans="2:3" ht="39" customHeight="1" x14ac:dyDescent="0.35">
      <c r="B34" s="175" t="str">
        <f>IFERROR(INDEX(Reference!$D$2:$V$2,1,MATCH(ROW(B34)-ROW($B$32),Reference!$D$1:$V$1,0)),"")</f>
        <v/>
      </c>
      <c r="C34" s="176"/>
    </row>
    <row r="35" spans="2:3" ht="39" customHeight="1" x14ac:dyDescent="0.35">
      <c r="B35" s="175" t="str">
        <f>IFERROR(INDEX(Reference!$D$2:$V$2,1,MATCH(ROW(B35)-ROW($B$32),Reference!$D$1:$V$1,0)),"")</f>
        <v/>
      </c>
      <c r="C35" s="176"/>
    </row>
    <row r="36" spans="2:3" ht="39" customHeight="1" x14ac:dyDescent="0.35">
      <c r="B36" s="175" t="str">
        <f>IFERROR(INDEX(Reference!$D$2:$V$2,1,MATCH(ROW(B36)-ROW($B$32),Reference!$D$1:$V$1,0)),"")</f>
        <v/>
      </c>
      <c r="C36" s="176"/>
    </row>
    <row r="37" spans="2:3" ht="39" customHeight="1" x14ac:dyDescent="0.35">
      <c r="B37" s="175" t="str">
        <f>IFERROR(INDEX(Reference!$D$2:$V$2,1,MATCH(ROW(B37)-ROW($B$32),Reference!$D$1:$V$1,0)),"")</f>
        <v/>
      </c>
      <c r="C37" s="176"/>
    </row>
    <row r="38" spans="2:3" ht="39" customHeight="1" x14ac:dyDescent="0.35">
      <c r="B38" s="175" t="str">
        <f>IFERROR(INDEX(Reference!$D$2:$V$2,1,MATCH(ROW(B38)-ROW($B$32),Reference!$D$1:$V$1,0)),"")</f>
        <v/>
      </c>
      <c r="C38" s="176"/>
    </row>
    <row r="39" spans="2:3" ht="39" customHeight="1" x14ac:dyDescent="0.35">
      <c r="B39" s="175" t="str">
        <f>IFERROR(INDEX(Reference!$D$2:$V$2,1,MATCH(ROW(B39)-ROW($B$32),Reference!$D$1:$V$1,0)),"")</f>
        <v/>
      </c>
      <c r="C39" s="176"/>
    </row>
    <row r="40" spans="2:3" ht="39" customHeight="1" x14ac:dyDescent="0.35">
      <c r="B40" s="175" t="str">
        <f>IFERROR(INDEX(Reference!$D$2:$V$2,1,MATCH(ROW(B40)-ROW($B$32),Reference!$D$1:$V$1,0)),"")</f>
        <v/>
      </c>
      <c r="C40" s="176"/>
    </row>
    <row r="41" spans="2:3" ht="39" customHeight="1" x14ac:dyDescent="0.35">
      <c r="B41" s="175" t="str">
        <f>IFERROR(INDEX(Reference!$D$2:$V$2,1,MATCH(ROW(B41)-ROW($B$32),Reference!$D$1:$V$1,0)),"")</f>
        <v/>
      </c>
      <c r="C41" s="176"/>
    </row>
    <row r="42" spans="2:3" ht="39" customHeight="1" thickBot="1" x14ac:dyDescent="0.4">
      <c r="B42" s="169" t="str">
        <f>IFERROR(INDEX(Reference!$D$2:$V$2,1,MATCH(ROW(B42)-ROW($B$32),Reference!$D$1:$V$1,0)),"")</f>
        <v/>
      </c>
      <c r="C42" s="170"/>
    </row>
  </sheetData>
  <sheetProtection algorithmName="SHA-512" hashValue="jK4r+i9oks++zy9ZWF6McheTNbQ5N5ZOdiY43ML3sTAd8uO8M2ut+5ic/C8UbCJvPmNTv3jZjPccW8K8bCgnUw==" saltValue="ppwUF4+pMmLfRNomMfVgyw==" spinCount="100000" sheet="1" objects="1" scenarios="1"/>
  <mergeCells count="30">
    <mergeCell ref="B1:C1"/>
    <mergeCell ref="B4:C4"/>
    <mergeCell ref="B13:C14"/>
    <mergeCell ref="B16:C16"/>
    <mergeCell ref="B26:C26"/>
    <mergeCell ref="B27:C27"/>
    <mergeCell ref="B28:C28"/>
    <mergeCell ref="B15:C15"/>
    <mergeCell ref="B21:C21"/>
    <mergeCell ref="B22:C22"/>
    <mergeCell ref="B23:C23"/>
    <mergeCell ref="B24:C24"/>
    <mergeCell ref="B17:C17"/>
    <mergeCell ref="B18:C18"/>
    <mergeCell ref="B19:C19"/>
    <mergeCell ref="B20:C20"/>
    <mergeCell ref="B25:C25"/>
    <mergeCell ref="B42:C42"/>
    <mergeCell ref="B29:C29"/>
    <mergeCell ref="B30:C30"/>
    <mergeCell ref="B37:C37"/>
    <mergeCell ref="B38:C38"/>
    <mergeCell ref="B39:C39"/>
    <mergeCell ref="B40:C40"/>
    <mergeCell ref="B41:C41"/>
    <mergeCell ref="B32:C32"/>
    <mergeCell ref="B33:C33"/>
    <mergeCell ref="B34:C34"/>
    <mergeCell ref="B35:C35"/>
    <mergeCell ref="B36:C36"/>
  </mergeCells>
  <pageMargins left="0.7" right="0.7" top="0.75" bottom="0.75" header="0.3" footer="0.3"/>
  <pageSetup paperSize="9" orientation="portrait" horizontalDpi="1200" verticalDpi="1200" r:id="rId1"/>
  <headerFooter>
    <oddHeader>&amp;C&amp;"Calibri"&amp;10&amp;K000000 OFFICIAL-SENSITIVE&amp;1#_x000D_</oddHeader>
    <oddFooter>&amp;C_x000D_&amp;1#&amp;"Calibri"&amp;10&amp;K000000 OFFICIAL-SENSITIVE</oddFooter>
  </headerFooter>
  <extLst>
    <ext xmlns:x14="http://schemas.microsoft.com/office/spreadsheetml/2009/9/main" uri="{78C0D931-6437-407d-A8EE-F0AAD7539E65}">
      <x14:conditionalFormattings>
        <x14:conditionalFormatting xmlns:xm="http://schemas.microsoft.com/office/excel/2006/main">
          <x14:cfRule type="expression" priority="1" id="{027B9864-9006-4308-B6B2-2FEDA370B785}">
            <xm:f>C5=Reference!$F$106</xm:f>
            <x14:dxf>
              <fill>
                <patternFill>
                  <bgColor rgb="FF92D050"/>
                </patternFill>
              </fill>
            </x14:dxf>
          </x14:cfRule>
          <x14:cfRule type="expression" priority="2" id="{07CC4819-A547-46E1-A589-A30E2650ED81}">
            <xm:f>C5=Reference!$D$106</xm:f>
            <x14:dxf>
              <font>
                <b/>
                <i val="0"/>
                <color theme="0"/>
              </font>
              <fill>
                <patternFill>
                  <bgColor rgb="FFC00000"/>
                </patternFill>
              </fill>
            </x14:dxf>
          </x14:cfRule>
          <xm:sqref>C5</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465DD-042B-48E9-9441-62F89ECF053B}">
  <sheetPr>
    <tabColor rgb="FFEAC9FF"/>
  </sheetPr>
  <dimension ref="B1:C25"/>
  <sheetViews>
    <sheetView showGridLines="0" zoomScaleNormal="100" workbookViewId="0"/>
  </sheetViews>
  <sheetFormatPr defaultRowHeight="14.5" x14ac:dyDescent="0.35"/>
  <cols>
    <col min="1" max="1" width="4.26953125" customWidth="1"/>
    <col min="2" max="2" width="10" customWidth="1"/>
    <col min="3" max="3" width="207.1796875" customWidth="1"/>
    <col min="4" max="4" width="4.26953125" customWidth="1"/>
  </cols>
  <sheetData>
    <row r="1" spans="2:3" ht="26" x14ac:dyDescent="0.6">
      <c r="B1" s="121" t="s">
        <v>680</v>
      </c>
      <c r="C1" s="121"/>
    </row>
    <row r="2" spans="2:3" ht="15" thickBot="1" x14ac:dyDescent="0.4"/>
    <row r="3" spans="2:3" ht="18.5" x14ac:dyDescent="0.45">
      <c r="B3" s="189" t="s">
        <v>620</v>
      </c>
      <c r="C3" s="190"/>
    </row>
    <row r="4" spans="2:3" ht="29.25" customHeight="1" x14ac:dyDescent="0.35">
      <c r="B4" s="193" t="s">
        <v>675</v>
      </c>
      <c r="C4" s="194"/>
    </row>
    <row r="5" spans="2:3" ht="15.75" customHeight="1" x14ac:dyDescent="0.35">
      <c r="B5" s="197" t="s">
        <v>694</v>
      </c>
      <c r="C5" s="198"/>
    </row>
    <row r="6" spans="2:3" ht="15.75" customHeight="1" x14ac:dyDescent="0.35">
      <c r="B6" s="197" t="s">
        <v>7</v>
      </c>
      <c r="C6" s="198"/>
    </row>
    <row r="7" spans="2:3" ht="15" customHeight="1" x14ac:dyDescent="0.35">
      <c r="B7" s="195" t="s">
        <v>621</v>
      </c>
      <c r="C7" s="196"/>
    </row>
    <row r="8" spans="2:3" ht="15" customHeight="1" x14ac:dyDescent="0.35">
      <c r="B8" s="203" t="s">
        <v>622</v>
      </c>
      <c r="C8" s="204"/>
    </row>
    <row r="9" spans="2:3" x14ac:dyDescent="0.35">
      <c r="B9" s="201" t="s">
        <v>13</v>
      </c>
      <c r="C9" s="202"/>
    </row>
    <row r="10" spans="2:3" x14ac:dyDescent="0.35">
      <c r="B10" s="91"/>
      <c r="C10" s="90"/>
    </row>
    <row r="11" spans="2:3" ht="18.5" x14ac:dyDescent="0.45">
      <c r="B11" s="189" t="s">
        <v>623</v>
      </c>
      <c r="C11" s="190"/>
    </row>
    <row r="12" spans="2:3" ht="15" thickBot="1" x14ac:dyDescent="0.4">
      <c r="B12" s="191" t="s">
        <v>685</v>
      </c>
      <c r="C12" s="192"/>
    </row>
    <row r="13" spans="2:3" ht="15" customHeight="1" thickBot="1" x14ac:dyDescent="0.4">
      <c r="B13" s="199" t="s">
        <v>594</v>
      </c>
      <c r="C13" s="200"/>
    </row>
    <row r="14" spans="2:3" ht="153" customHeight="1" x14ac:dyDescent="0.35">
      <c r="B14" s="67" t="s">
        <v>624</v>
      </c>
      <c r="C14" s="66" t="s">
        <v>625</v>
      </c>
    </row>
    <row r="15" spans="2:3" ht="162" customHeight="1" x14ac:dyDescent="0.35">
      <c r="B15" s="94" t="s">
        <v>681</v>
      </c>
      <c r="C15" s="101" t="s">
        <v>650</v>
      </c>
    </row>
    <row r="16" spans="2:3" ht="15" customHeight="1" x14ac:dyDescent="0.35">
      <c r="B16" s="199" t="s">
        <v>597</v>
      </c>
      <c r="C16" s="200"/>
    </row>
    <row r="17" spans="2:3" ht="234.75" customHeight="1" thickBot="1" x14ac:dyDescent="0.4">
      <c r="B17" s="68" t="s">
        <v>681</v>
      </c>
      <c r="C17" s="65" t="s">
        <v>626</v>
      </c>
    </row>
    <row r="18" spans="2:3" ht="15" customHeight="1" thickBot="1" x14ac:dyDescent="0.4">
      <c r="B18" s="199" t="s">
        <v>627</v>
      </c>
      <c r="C18" s="200"/>
    </row>
    <row r="19" spans="2:3" ht="315" customHeight="1" thickBot="1" x14ac:dyDescent="0.4">
      <c r="B19" s="68" t="s">
        <v>681</v>
      </c>
      <c r="C19" s="65" t="s">
        <v>628</v>
      </c>
    </row>
    <row r="20" spans="2:3" ht="15" customHeight="1" thickBot="1" x14ac:dyDescent="0.4">
      <c r="B20" s="199" t="s">
        <v>602</v>
      </c>
      <c r="C20" s="200"/>
    </row>
    <row r="21" spans="2:3" ht="173.25" customHeight="1" x14ac:dyDescent="0.35">
      <c r="B21" s="67" t="s">
        <v>624</v>
      </c>
      <c r="C21" s="102" t="s">
        <v>697</v>
      </c>
    </row>
    <row r="22" spans="2:3" ht="134.25" customHeight="1" x14ac:dyDescent="0.35">
      <c r="B22" s="68" t="s">
        <v>681</v>
      </c>
      <c r="C22" s="65" t="s">
        <v>696</v>
      </c>
    </row>
    <row r="23" spans="2:3" ht="15" customHeight="1" thickBot="1" x14ac:dyDescent="0.4">
      <c r="B23" s="199" t="s">
        <v>606</v>
      </c>
      <c r="C23" s="200"/>
    </row>
    <row r="24" spans="2:3" ht="165.75" customHeight="1" x14ac:dyDescent="0.35">
      <c r="B24" s="67" t="s">
        <v>624</v>
      </c>
      <c r="C24" s="89" t="s">
        <v>695</v>
      </c>
    </row>
    <row r="25" spans="2:3" ht="29.5" thickBot="1" x14ac:dyDescent="0.4">
      <c r="B25" s="69" t="s">
        <v>681</v>
      </c>
      <c r="C25" s="114" t="s">
        <v>629</v>
      </c>
    </row>
  </sheetData>
  <mergeCells count="15">
    <mergeCell ref="B23:C23"/>
    <mergeCell ref="B20:C20"/>
    <mergeCell ref="B18:C18"/>
    <mergeCell ref="B16:C16"/>
    <mergeCell ref="B6:C6"/>
    <mergeCell ref="B9:C9"/>
    <mergeCell ref="B13:C13"/>
    <mergeCell ref="B8:C8"/>
    <mergeCell ref="B1:C1"/>
    <mergeCell ref="B11:C11"/>
    <mergeCell ref="B12:C12"/>
    <mergeCell ref="B3:C3"/>
    <mergeCell ref="B4:C4"/>
    <mergeCell ref="B7:C7"/>
    <mergeCell ref="B5:C5"/>
  </mergeCells>
  <hyperlinks>
    <hyperlink ref="B9:C9" r:id="rId1" display="Modern Slavery Assessment Tool" xr:uid="{899CD810-AE5A-4C19-94AB-C876C153A6EF}"/>
    <hyperlink ref="B7:C7" r:id="rId2" display="Addressing Modern Slavery in Solar PV Supply Chains: Guidance | Action Sustainability" xr:uid="{09E03188-1150-479C-BF73-B9457C1031AC}"/>
    <hyperlink ref="B5" r:id="rId3" display="US Department for Labour List of Foced &amp; Child Labor and Storyboards covering Aluminum,Cocoa, Lithium-Ion Batteries, Palm Oil Products. Solar Products" xr:uid="{513E34F2-F74D-4271-93F3-B6C6A5F3B79C}"/>
    <hyperlink ref="B8:C8" r:id="rId4" display="Design For Freedom by Grace Farms" xr:uid="{2A4CD04D-7E6F-4E92-8502-7199C59E3228}"/>
    <hyperlink ref="B6:C6" r:id="rId5" display="ITUC’s Global Rights Index" xr:uid="{00B21EAC-5AC2-4CA1-AD31-4AA9C7FB58A0}"/>
  </hyperlinks>
  <pageMargins left="0.7" right="0.7" top="0.75" bottom="0.75" header="0.3" footer="0.3"/>
  <headerFooter>
    <oddHeader>&amp;C&amp;"Calibri"&amp;10&amp;K000000 OFFICIAL-SENSITIVE&amp;1#_x000D_</oddHeader>
    <oddFooter>&amp;C_x000D_&amp;1#&amp;"Calibri"&amp;10&amp;K000000 OFFICIAL-SENSITIVE</oddFooter>
  </headerFooter>
  <extLst>
    <ext xmlns:x14="http://schemas.microsoft.com/office/spreadsheetml/2009/9/main" uri="{78C0D931-6437-407d-A8EE-F0AAD7539E65}">
      <x14:conditionalFormattings>
        <x14:conditionalFormatting xmlns:xm="http://schemas.microsoft.com/office/excel/2006/main">
          <x14:cfRule type="expression" priority="2" id="{27CF99A7-D659-4CC5-808C-4574425E9A2C}">
            <xm:f>SUM(Reference!$D$114:$E$114)&gt;0</xm:f>
            <x14:dxf>
              <fill>
                <patternFill>
                  <bgColor theme="9" tint="0.59996337778862885"/>
                </patternFill>
              </fill>
            </x14:dxf>
          </x14:cfRule>
          <xm:sqref>B4:B9 C15 C17 C19 C22 C25</xm:sqref>
        </x14:conditionalFormatting>
        <x14:conditionalFormatting xmlns:xm="http://schemas.microsoft.com/office/excel/2006/main">
          <x14:cfRule type="expression" priority="3" id="{FCCA937A-AC43-4E19-A245-05517F947C90}">
            <xm:f>SUM(Reference!$G$114:$H$114)=0</xm:f>
            <x14:dxf>
              <fill>
                <patternFill>
                  <bgColor theme="9" tint="0.59996337778862885"/>
                </patternFill>
              </fill>
            </x14:dxf>
          </x14:cfRule>
          <xm:sqref>B12 C14 C21 C24</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9E063-2C3C-4315-BC28-E06E77C752B9}">
  <dimension ref="A1:N198"/>
  <sheetViews>
    <sheetView zoomScaleNormal="100" workbookViewId="0">
      <selection activeCell="J15" sqref="J15"/>
    </sheetView>
  </sheetViews>
  <sheetFormatPr defaultRowHeight="14.5" x14ac:dyDescent="0.35"/>
  <cols>
    <col min="1" max="1" width="28" bestFit="1" customWidth="1"/>
    <col min="2" max="2" width="14.54296875" customWidth="1"/>
    <col min="5" max="5" width="28.26953125" bestFit="1" customWidth="1"/>
    <col min="6" max="6" width="28.26953125" customWidth="1"/>
    <col min="8" max="8" width="20.7265625" bestFit="1" customWidth="1"/>
    <col min="9" max="9" width="12.1796875" customWidth="1"/>
    <col min="11" max="11" width="9.7265625" customWidth="1"/>
    <col min="12" max="12" width="12.1796875" customWidth="1"/>
    <col min="13" max="13" width="15.7265625" customWidth="1"/>
  </cols>
  <sheetData>
    <row r="1" spans="1:14" ht="65.5" x14ac:dyDescent="0.35">
      <c r="A1" s="19" t="s">
        <v>77</v>
      </c>
      <c r="B1" s="21" t="s">
        <v>78</v>
      </c>
      <c r="E1" s="7" t="s">
        <v>630</v>
      </c>
      <c r="F1" s="7" t="s">
        <v>631</v>
      </c>
      <c r="H1" t="s">
        <v>632</v>
      </c>
      <c r="I1" t="s">
        <v>633</v>
      </c>
      <c r="K1" t="s">
        <v>77</v>
      </c>
      <c r="L1" t="s">
        <v>633</v>
      </c>
      <c r="M1" t="s">
        <v>505</v>
      </c>
      <c r="N1" t="s">
        <v>634</v>
      </c>
    </row>
    <row r="2" spans="1:14" x14ac:dyDescent="0.35">
      <c r="A2" s="20" t="s">
        <v>386</v>
      </c>
      <c r="B2" s="22">
        <v>104.6</v>
      </c>
      <c r="E2" t="s">
        <v>114</v>
      </c>
      <c r="F2" t="s">
        <v>296</v>
      </c>
      <c r="H2" t="s">
        <v>635</v>
      </c>
      <c r="I2" t="s">
        <v>141</v>
      </c>
      <c r="K2" t="s">
        <v>86</v>
      </c>
      <c r="L2" t="str">
        <f>IFERROR(VLOOKUP(Table6[[#This Row],[Country]],Table7[],2,FALSE),Table6[[#This Row],[Country]])</f>
        <v>Afghanistan</v>
      </c>
      <c r="M2">
        <f>IFERROR(VLOOKUP(Table6[[#This Row],[Country]],Table1[],2,FALSE),0)</f>
        <v>12.9599723815918</v>
      </c>
      <c r="N2">
        <f>IF(ROW(Table6[[#This Row],[ID]])=2,1,IFERROR(N1*SIGN(MATCH(Table6[[#This Row],[Country]],F:F,0)),N1+1))</f>
        <v>1</v>
      </c>
    </row>
    <row r="3" spans="1:14" x14ac:dyDescent="0.35">
      <c r="A3" s="20" t="s">
        <v>258</v>
      </c>
      <c r="B3" s="22">
        <v>90.284866333007813</v>
      </c>
      <c r="E3" t="s">
        <v>635</v>
      </c>
      <c r="F3" t="s">
        <v>454</v>
      </c>
      <c r="H3" t="s">
        <v>424</v>
      </c>
      <c r="I3" t="s">
        <v>230</v>
      </c>
      <c r="K3" t="s">
        <v>93</v>
      </c>
      <c r="L3" t="str">
        <f>IFERROR(VLOOKUP(Table6[[#This Row],[Country]],Table7[],2,FALSE),Table6[[#This Row],[Country]])</f>
        <v>Albania</v>
      </c>
      <c r="M3">
        <f>IFERROR(VLOOKUP(Table6[[#This Row],[Country]],Table1[],2,FALSE),0)</f>
        <v>11.813944816589361</v>
      </c>
      <c r="N3">
        <f>IF(ROW(Table6[[#This Row],[ID]])=2,1,IFERROR(N2*SIGN(MATCH(Table6[[#This Row],[Country]],F:F,0)),N2+1))</f>
        <v>2</v>
      </c>
    </row>
    <row r="4" spans="1:14" x14ac:dyDescent="0.35">
      <c r="A4" s="20" t="s">
        <v>354</v>
      </c>
      <c r="B4" s="22">
        <v>32.015483856201172</v>
      </c>
      <c r="E4" t="s">
        <v>155</v>
      </c>
      <c r="H4" t="s">
        <v>636</v>
      </c>
      <c r="I4" t="s">
        <v>276</v>
      </c>
      <c r="K4" t="s">
        <v>100</v>
      </c>
      <c r="L4" t="str">
        <f>IFERROR(VLOOKUP(Table6[[#This Row],[Country]],Table7[],2,FALSE),Table6[[#This Row],[Country]])</f>
        <v>Algeria</v>
      </c>
      <c r="M4">
        <f>IFERROR(VLOOKUP(Table6[[#This Row],[Country]],Table1[],2,FALSE),0)</f>
        <v>1.922730684280396</v>
      </c>
      <c r="N4">
        <f>IF(ROW(Table6[[#This Row],[ID]])=2,1,IFERROR(N3*SIGN(MATCH(Table6[[#This Row],[Country]],F:F,0)),N3+1))</f>
        <v>3</v>
      </c>
    </row>
    <row r="5" spans="1:14" x14ac:dyDescent="0.35">
      <c r="A5" s="20" t="s">
        <v>423</v>
      </c>
      <c r="B5" s="22">
        <v>21.261520559411871</v>
      </c>
      <c r="E5" t="s">
        <v>169</v>
      </c>
      <c r="H5" t="s">
        <v>637</v>
      </c>
      <c r="I5" t="s">
        <v>330</v>
      </c>
      <c r="K5" t="s">
        <v>105</v>
      </c>
      <c r="L5" t="str">
        <f>IFERROR(VLOOKUP(Table6[[#This Row],[Country]],Table7[],2,FALSE),Table6[[#This Row],[Country]])</f>
        <v>Andorra</v>
      </c>
      <c r="M5">
        <f>IFERROR(VLOOKUP(Table6[[#This Row],[Country]],Table1[],2,FALSE),0)</f>
        <v>0</v>
      </c>
      <c r="N5">
        <f>IF(ROW(Table6[[#This Row],[ID]])=2,1,IFERROR(N4*SIGN(MATCH(Table6[[#This Row],[Country]],F:F,0)),N4+1))</f>
        <v>4</v>
      </c>
    </row>
    <row r="6" spans="1:14" x14ac:dyDescent="0.35">
      <c r="A6" s="20" t="s">
        <v>509</v>
      </c>
      <c r="B6" s="22">
        <v>15.64948081970215</v>
      </c>
      <c r="E6" t="s">
        <v>195</v>
      </c>
      <c r="H6" t="s">
        <v>513</v>
      </c>
      <c r="I6" t="s">
        <v>412</v>
      </c>
      <c r="K6" t="s">
        <v>109</v>
      </c>
      <c r="L6" t="str">
        <f>IFERROR(VLOOKUP(Table6[[#This Row],[Country]],Table7[],2,FALSE),Table6[[#This Row],[Country]])</f>
        <v>Angola</v>
      </c>
      <c r="M6">
        <f>IFERROR(VLOOKUP(Table6[[#This Row],[Country]],Table1[],2,FALSE),0)</f>
        <v>4.1365485191345206</v>
      </c>
      <c r="N6">
        <f>IF(ROW(Table6[[#This Row],[ID]])=2,1,IFERROR(N5*SIGN(MATCH(Table6[[#This Row],[Country]],F:F,0)),N5+1))</f>
        <v>5</v>
      </c>
    </row>
    <row r="7" spans="1:14" x14ac:dyDescent="0.35">
      <c r="A7" s="20" t="s">
        <v>455</v>
      </c>
      <c r="B7" s="22">
        <v>13.955769538879389</v>
      </c>
      <c r="E7" t="s">
        <v>213</v>
      </c>
      <c r="H7" t="s">
        <v>509</v>
      </c>
      <c r="I7" t="s">
        <v>462</v>
      </c>
      <c r="K7" t="s">
        <v>114</v>
      </c>
      <c r="L7" t="str">
        <f>IFERROR(VLOOKUP(Table6[[#This Row],[Country]],Table7[],2,FALSE),Table6[[#This Row],[Country]])</f>
        <v>Antigua and Barbuda</v>
      </c>
      <c r="M7">
        <f>IFERROR(VLOOKUP(Table6[[#This Row],[Country]],Table1[],2,FALSE),0)</f>
        <v>0</v>
      </c>
      <c r="N7">
        <f>IF(ROW(Table6[[#This Row],[ID]])=2,1,IFERROR(N6*SIGN(MATCH(Table6[[#This Row],[Country]],F:F,0)),N6+1))</f>
        <v>6</v>
      </c>
    </row>
    <row r="8" spans="1:14" x14ac:dyDescent="0.35">
      <c r="A8" s="20" t="s">
        <v>467</v>
      </c>
      <c r="B8" s="22">
        <v>13.366727923696081</v>
      </c>
      <c r="E8" t="s">
        <v>267</v>
      </c>
      <c r="H8" t="s">
        <v>638</v>
      </c>
      <c r="I8" t="s">
        <v>475</v>
      </c>
      <c r="K8" t="s">
        <v>120</v>
      </c>
      <c r="L8" t="str">
        <f>IFERROR(VLOOKUP(Table6[[#This Row],[Country]],Table7[],2,FALSE),Table6[[#This Row],[Country]])</f>
        <v>Argentina</v>
      </c>
      <c r="M8">
        <f>IFERROR(VLOOKUP(Table6[[#This Row],[Country]],Table1[],2,FALSE),0)</f>
        <v>4.1787476539611816</v>
      </c>
      <c r="N8">
        <f>IF(ROW(Table6[[#This Row],[ID]])=2,1,IFERROR(N7*SIGN(MATCH(Table6[[#This Row],[Country]],F:F,0)),N7+1))</f>
        <v>7</v>
      </c>
    </row>
    <row r="9" spans="1:14" x14ac:dyDescent="0.35">
      <c r="A9" s="20" t="s">
        <v>414</v>
      </c>
      <c r="B9" s="22">
        <v>13.015791893005369</v>
      </c>
      <c r="E9" t="s">
        <v>300</v>
      </c>
      <c r="H9" t="s">
        <v>482</v>
      </c>
      <c r="I9" t="s">
        <v>462</v>
      </c>
      <c r="K9" t="s">
        <v>123</v>
      </c>
      <c r="L9" t="str">
        <f>IFERROR(VLOOKUP(Table6[[#This Row],[Country]],Table7[],2,FALSE),Table6[[#This Row],[Country]])</f>
        <v>Armenia</v>
      </c>
      <c r="M9">
        <f>IFERROR(VLOOKUP(Table6[[#This Row],[Country]],Table1[],2,FALSE),0)</f>
        <v>8.9382743835449219</v>
      </c>
      <c r="N9">
        <f>IF(ROW(Table6[[#This Row],[ID]])=2,1,IFERROR(N8*SIGN(MATCH(Table6[[#This Row],[Country]],F:F,0)),N8+1))</f>
        <v>8</v>
      </c>
    </row>
    <row r="10" spans="1:14" x14ac:dyDescent="0.35">
      <c r="A10" s="20" t="s">
        <v>86</v>
      </c>
      <c r="B10" s="22">
        <v>12.9599723815918</v>
      </c>
      <c r="E10" t="s">
        <v>339</v>
      </c>
      <c r="H10" t="s">
        <v>481</v>
      </c>
      <c r="I10" t="s">
        <v>329</v>
      </c>
      <c r="K10" t="s">
        <v>128</v>
      </c>
      <c r="L10" t="str">
        <f>IFERROR(VLOOKUP(Table6[[#This Row],[Country]],Table7[],2,FALSE),Table6[[#This Row],[Country]])</f>
        <v>Australia</v>
      </c>
      <c r="M10">
        <f>IFERROR(VLOOKUP(Table6[[#This Row],[Country]],Table1[],2,FALSE),0)</f>
        <v>1.6095390319824221</v>
      </c>
      <c r="N10">
        <f>IF(ROW(Table6[[#This Row],[ID]])=2,1,IFERROR(N9*SIGN(MATCH(Table6[[#This Row],[Country]],F:F,0)),N9+1))</f>
        <v>9</v>
      </c>
    </row>
    <row r="11" spans="1:14" x14ac:dyDescent="0.35">
      <c r="A11" s="20" t="s">
        <v>327</v>
      </c>
      <c r="B11" s="22">
        <v>12.959253188009185</v>
      </c>
      <c r="E11" t="s">
        <v>343</v>
      </c>
      <c r="H11" t="s">
        <v>305</v>
      </c>
      <c r="I11" t="s">
        <v>370</v>
      </c>
      <c r="K11" t="s">
        <v>133</v>
      </c>
      <c r="L11" t="str">
        <f>IFERROR(VLOOKUP(Table6[[#This Row],[Country]],Table7[],2,FALSE),Table6[[#This Row],[Country]])</f>
        <v>Austria</v>
      </c>
      <c r="M11">
        <f>IFERROR(VLOOKUP(Table6[[#This Row],[Country]],Table1[],2,FALSE),0)</f>
        <v>1.855276346206665</v>
      </c>
      <c r="N11">
        <f>IF(ROW(Table6[[#This Row],[ID]])=2,1,IFERROR(N10*SIGN(MATCH(Table6[[#This Row],[Country]],F:F,0)),N10+1))</f>
        <v>10</v>
      </c>
    </row>
    <row r="12" spans="1:14" x14ac:dyDescent="0.35">
      <c r="A12" s="20" t="s">
        <v>466</v>
      </c>
      <c r="B12" s="22">
        <v>12.793187141418461</v>
      </c>
      <c r="E12" t="s">
        <v>347</v>
      </c>
      <c r="K12" t="s">
        <v>137</v>
      </c>
      <c r="L12" t="str">
        <f>IFERROR(VLOOKUP(Table6[[#This Row],[Country]],Table7[],2,FALSE),Table6[[#This Row],[Country]])</f>
        <v>Azerbaijan</v>
      </c>
      <c r="M12">
        <f>IFERROR(VLOOKUP(Table6[[#This Row],[Country]],Table1[],2,FALSE),0)</f>
        <v>10.561789512634279</v>
      </c>
      <c r="N12">
        <f>IF(ROW(Table6[[#This Row],[ID]])=2,1,IFERROR(N11*SIGN(MATCH(Table6[[#This Row],[Country]],F:F,0)),N11+1))</f>
        <v>11</v>
      </c>
    </row>
    <row r="13" spans="1:14" x14ac:dyDescent="0.35">
      <c r="A13" s="20" t="s">
        <v>389</v>
      </c>
      <c r="B13" s="22">
        <v>12.602495193481451</v>
      </c>
      <c r="E13" t="s">
        <v>350</v>
      </c>
      <c r="K13" t="s">
        <v>147</v>
      </c>
      <c r="L13" t="str">
        <f>IFERROR(VLOOKUP(Table6[[#This Row],[Country]],Table7[],2,FALSE),Table6[[#This Row],[Country]])</f>
        <v>Bahrain</v>
      </c>
      <c r="M13">
        <f>IFERROR(VLOOKUP(Table6[[#This Row],[Country]],Table1[],2,FALSE),0)</f>
        <v>6.7363373851304793</v>
      </c>
      <c r="N13">
        <f>IF(ROW(Table6[[#This Row],[ID]])=2,1,IFERROR(N12*SIGN(MATCH(Table6[[#This Row],[Country]],F:F,0)),N12+1))</f>
        <v>12</v>
      </c>
    </row>
    <row r="14" spans="1:14" x14ac:dyDescent="0.35">
      <c r="A14" s="20" t="s">
        <v>370</v>
      </c>
      <c r="B14" s="22">
        <v>12.079667091369631</v>
      </c>
      <c r="E14" t="s">
        <v>364</v>
      </c>
      <c r="K14" t="s">
        <v>152</v>
      </c>
      <c r="L14" t="str">
        <f>IFERROR(VLOOKUP(Table6[[#This Row],[Country]],Table7[],2,FALSE),Table6[[#This Row],[Country]])</f>
        <v>Bangladesh</v>
      </c>
      <c r="M14">
        <f>IFERROR(VLOOKUP(Table6[[#This Row],[Country]],Table1[],2,FALSE),0)</f>
        <v>7.0562992095947266</v>
      </c>
      <c r="N14">
        <f>IF(ROW(Table6[[#This Row],[ID]])=2,1,IFERROR(N13*SIGN(MATCH(Table6[[#This Row],[Country]],F:F,0)),N13+1))</f>
        <v>13</v>
      </c>
    </row>
    <row r="15" spans="1:14" x14ac:dyDescent="0.35">
      <c r="A15" s="20" t="s">
        <v>463</v>
      </c>
      <c r="B15" s="22">
        <v>11.875362396240231</v>
      </c>
      <c r="E15" t="s">
        <v>399</v>
      </c>
      <c r="K15" t="s">
        <v>155</v>
      </c>
      <c r="L15" t="str">
        <f>IFERROR(VLOOKUP(Table6[[#This Row],[Country]],Table7[],2,FALSE),Table6[[#This Row],[Country]])</f>
        <v>Barbados</v>
      </c>
      <c r="M15">
        <f>IFERROR(VLOOKUP(Table6[[#This Row],[Country]],Table1[],2,FALSE),0)</f>
        <v>0</v>
      </c>
      <c r="N15">
        <f>IF(ROW(Table6[[#This Row],[ID]])=2,1,IFERROR(N14*SIGN(MATCH(Table6[[#This Row],[Country]],F:F,0)),N14+1))</f>
        <v>14</v>
      </c>
    </row>
    <row r="16" spans="1:14" x14ac:dyDescent="0.35">
      <c r="A16" s="20" t="s">
        <v>93</v>
      </c>
      <c r="B16" s="22">
        <v>11.813944816589361</v>
      </c>
      <c r="E16" t="s">
        <v>444</v>
      </c>
      <c r="K16" t="s">
        <v>161</v>
      </c>
      <c r="L16" t="str">
        <f>IFERROR(VLOOKUP(Table6[[#This Row],[Country]],Table7[],2,FALSE),Table6[[#This Row],[Country]])</f>
        <v>Belarus</v>
      </c>
      <c r="M16">
        <f>IFERROR(VLOOKUP(Table6[[#This Row],[Country]],Table1[],2,FALSE),0)</f>
        <v>11.34423828125</v>
      </c>
      <c r="N16">
        <f>IF(ROW(Table6[[#This Row],[ID]])=2,1,IFERROR(N15*SIGN(MATCH(Table6[[#This Row],[Country]],F:F,0)),N15+1))</f>
        <v>15</v>
      </c>
    </row>
    <row r="17" spans="1:14" x14ac:dyDescent="0.35">
      <c r="A17" s="20" t="s">
        <v>161</v>
      </c>
      <c r="B17" s="22">
        <v>11.34423828125</v>
      </c>
      <c r="E17" t="s">
        <v>445</v>
      </c>
      <c r="K17" t="s">
        <v>166</v>
      </c>
      <c r="L17" t="str">
        <f>IFERROR(VLOOKUP(Table6[[#This Row],[Country]],Table7[],2,FALSE),Table6[[#This Row],[Country]])</f>
        <v>Belgium</v>
      </c>
      <c r="M17">
        <f>IFERROR(VLOOKUP(Table6[[#This Row],[Country]],Table1[],2,FALSE),0)</f>
        <v>0.97103184461593628</v>
      </c>
      <c r="N17">
        <f>IF(ROW(Table6[[#This Row],[ID]])=2,1,IFERROR(N16*SIGN(MATCH(Table6[[#This Row],[Country]],F:F,0)),N16+1))</f>
        <v>16</v>
      </c>
    </row>
    <row r="18" spans="1:14" x14ac:dyDescent="0.35">
      <c r="A18" s="20" t="s">
        <v>319</v>
      </c>
      <c r="B18" s="22">
        <v>11.06179714202881</v>
      </c>
      <c r="E18" t="s">
        <v>429</v>
      </c>
      <c r="K18" t="s">
        <v>169</v>
      </c>
      <c r="L18" t="str">
        <f>IFERROR(VLOOKUP(Table6[[#This Row],[Country]],Table7[],2,FALSE),Table6[[#This Row],[Country]])</f>
        <v>Belize</v>
      </c>
      <c r="M18">
        <f>IFERROR(VLOOKUP(Table6[[#This Row],[Country]],Table1[],2,FALSE),0)</f>
        <v>0</v>
      </c>
      <c r="N18">
        <f>IF(ROW(Table6[[#This Row],[ID]])=2,1,IFERROR(N17*SIGN(MATCH(Table6[[#This Row],[Country]],F:F,0)),N17+1))</f>
        <v>17</v>
      </c>
    </row>
    <row r="19" spans="1:14" x14ac:dyDescent="0.35">
      <c r="A19" s="20" t="s">
        <v>397</v>
      </c>
      <c r="B19" s="22">
        <v>10.63333225250244</v>
      </c>
      <c r="E19" t="s">
        <v>434</v>
      </c>
      <c r="K19" t="s">
        <v>173</v>
      </c>
      <c r="L19" t="str">
        <f>IFERROR(VLOOKUP(Table6[[#This Row],[Country]],Table7[],2,FALSE),Table6[[#This Row],[Country]])</f>
        <v>Benin</v>
      </c>
      <c r="M19">
        <f>IFERROR(VLOOKUP(Table6[[#This Row],[Country]],Table1[],2,FALSE),0)</f>
        <v>3.0427854061126709</v>
      </c>
      <c r="N19">
        <f>IF(ROW(Table6[[#This Row],[ID]])=2,1,IFERROR(N18*SIGN(MATCH(Table6[[#This Row],[Country]],F:F,0)),N18+1))</f>
        <v>18</v>
      </c>
    </row>
    <row r="20" spans="1:14" x14ac:dyDescent="0.35">
      <c r="A20" s="20" t="s">
        <v>137</v>
      </c>
      <c r="B20" s="22">
        <v>10.561789512634279</v>
      </c>
      <c r="E20" t="s">
        <v>449</v>
      </c>
      <c r="K20" t="s">
        <v>176</v>
      </c>
      <c r="L20" t="str">
        <f>IFERROR(VLOOKUP(Table6[[#This Row],[Country]],Table7[],2,FALSE),Table6[[#This Row],[Country]])</f>
        <v>Bhutan</v>
      </c>
      <c r="M20">
        <f>IFERROR(VLOOKUP(Table6[[#This Row],[Country]],Table1[],2,FALSE),0)</f>
        <v>0</v>
      </c>
      <c r="N20">
        <f>IF(ROW(Table6[[#This Row],[ID]])=2,1,IFERROR(N19*SIGN(MATCH(Table6[[#This Row],[Country]],F:F,0)),N19+1))</f>
        <v>19</v>
      </c>
    </row>
    <row r="21" spans="1:14" x14ac:dyDescent="0.35">
      <c r="A21" s="20" t="s">
        <v>402</v>
      </c>
      <c r="B21" s="22">
        <v>10.346175193786619</v>
      </c>
      <c r="E21" t="s">
        <v>472</v>
      </c>
      <c r="K21" t="s">
        <v>90</v>
      </c>
      <c r="L21" t="str">
        <f>IFERROR(VLOOKUP(Table6[[#This Row],[Country]],Table7[],2,FALSE),Table6[[#This Row],[Country]])</f>
        <v>Bolivia</v>
      </c>
      <c r="M21">
        <f>IFERROR(VLOOKUP(Table6[[#This Row],[Country]],Table1[],2,FALSE),0)</f>
        <v>7.1523995399475098</v>
      </c>
      <c r="N21">
        <f>IF(ROW(Table6[[#This Row],[ID]])=2,1,IFERROR(N20*SIGN(MATCH(Table6[[#This Row],[Country]],F:F,0)),N20+1))</f>
        <v>20</v>
      </c>
    </row>
    <row r="22" spans="1:14" x14ac:dyDescent="0.35">
      <c r="A22" s="20" t="s">
        <v>438</v>
      </c>
      <c r="B22" s="22">
        <v>10.29315185546875</v>
      </c>
      <c r="E22" t="s">
        <v>105</v>
      </c>
      <c r="K22" t="s">
        <v>185</v>
      </c>
      <c r="L22" t="str">
        <f>IFERROR(VLOOKUP(Table6[[#This Row],[Country]],Table7[],2,FALSE),Table6[[#This Row],[Country]])</f>
        <v>Bosnia and Herzegovina</v>
      </c>
      <c r="M22">
        <f>IFERROR(VLOOKUP(Table6[[#This Row],[Country]],Table1[],2,FALSE),0)</f>
        <v>10.087942123413089</v>
      </c>
      <c r="N22">
        <f>IF(ROW(Table6[[#This Row],[ID]])=2,1,IFERROR(N21*SIGN(MATCH(Table6[[#This Row],[Country]],F:F,0)),N21+1))</f>
        <v>21</v>
      </c>
    </row>
    <row r="23" spans="1:14" x14ac:dyDescent="0.35">
      <c r="A23" s="20" t="s">
        <v>185</v>
      </c>
      <c r="B23" s="22">
        <v>10.087942123413089</v>
      </c>
      <c r="E23" t="s">
        <v>176</v>
      </c>
      <c r="K23" t="s">
        <v>190</v>
      </c>
      <c r="L23" t="str">
        <f>IFERROR(VLOOKUP(Table6[[#This Row],[Country]],Table7[],2,FALSE),Table6[[#This Row],[Country]])</f>
        <v>Botswana</v>
      </c>
      <c r="M23">
        <f>IFERROR(VLOOKUP(Table6[[#This Row],[Country]],Table1[],2,FALSE),0)</f>
        <v>1.8428552150726321</v>
      </c>
      <c r="N23">
        <f>IF(ROW(Table6[[#This Row],[ID]])=2,1,IFERROR(N22*SIGN(MATCH(Table6[[#This Row],[Country]],F:F,0)),N22+1))</f>
        <v>22</v>
      </c>
    </row>
    <row r="24" spans="1:14" x14ac:dyDescent="0.35">
      <c r="A24" s="20" t="s">
        <v>317</v>
      </c>
      <c r="B24" s="22">
        <v>10.005855967217204</v>
      </c>
      <c r="E24" t="s">
        <v>226</v>
      </c>
      <c r="K24" t="s">
        <v>192</v>
      </c>
      <c r="L24" t="str">
        <f>IFERROR(VLOOKUP(Table6[[#This Row],[Country]],Table7[],2,FALSE),Table6[[#This Row],[Country]])</f>
        <v>Brazil</v>
      </c>
      <c r="M24">
        <f>IFERROR(VLOOKUP(Table6[[#This Row],[Country]],Table1[],2,FALSE),0)</f>
        <v>4.954716682434082</v>
      </c>
      <c r="N24">
        <f>IF(ROW(Table6[[#This Row],[ID]])=2,1,IFERROR(N23*SIGN(MATCH(Table6[[#This Row],[Country]],F:F,0)),N23+1))</f>
        <v>23</v>
      </c>
    </row>
    <row r="25" spans="1:14" x14ac:dyDescent="0.35">
      <c r="A25" s="20" t="s">
        <v>474</v>
      </c>
      <c r="B25" s="22">
        <v>9.4823274612426758</v>
      </c>
      <c r="E25" t="s">
        <v>247</v>
      </c>
      <c r="K25" t="s">
        <v>195</v>
      </c>
      <c r="L25" t="str">
        <f>IFERROR(VLOOKUP(Table6[[#This Row],[Country]],Table7[],2,FALSE),Table6[[#This Row],[Country]])</f>
        <v>Brunei</v>
      </c>
      <c r="M25">
        <f>IFERROR(VLOOKUP(Table6[[#This Row],[Country]],Table1[],2,FALSE),0)</f>
        <v>0</v>
      </c>
      <c r="N25">
        <f>IF(ROW(Table6[[#This Row],[ID]])=2,1,IFERROR(N24*SIGN(MATCH(Table6[[#This Row],[Country]],F:F,0)),N24+1))</f>
        <v>24</v>
      </c>
    </row>
    <row r="26" spans="1:14" x14ac:dyDescent="0.35">
      <c r="A26" s="20" t="s">
        <v>358</v>
      </c>
      <c r="B26" s="22">
        <v>9.4740686416625977</v>
      </c>
      <c r="E26" t="s">
        <v>283</v>
      </c>
      <c r="K26" t="s">
        <v>198</v>
      </c>
      <c r="L26" t="str">
        <f>IFERROR(VLOOKUP(Table6[[#This Row],[Country]],Table7[],2,FALSE),Table6[[#This Row],[Country]])</f>
        <v>Bulgaria</v>
      </c>
      <c r="M26">
        <f>IFERROR(VLOOKUP(Table6[[#This Row],[Country]],Table1[],2,FALSE),0)</f>
        <v>8.4842157363891602</v>
      </c>
      <c r="N26">
        <f>IF(ROW(Table6[[#This Row],[ID]])=2,1,IFERROR(N25*SIGN(MATCH(Table6[[#This Row],[Country]],F:F,0)),N25+1))</f>
        <v>25</v>
      </c>
    </row>
    <row r="27" spans="1:14" x14ac:dyDescent="0.35">
      <c r="A27" s="20" t="s">
        <v>123</v>
      </c>
      <c r="B27" s="22">
        <v>8.9382743835449219</v>
      </c>
      <c r="E27" t="s">
        <v>324</v>
      </c>
      <c r="K27" t="s">
        <v>201</v>
      </c>
      <c r="L27" t="str">
        <f>IFERROR(VLOOKUP(Table6[[#This Row],[Country]],Table7[],2,FALSE),Table6[[#This Row],[Country]])</f>
        <v>Burkina Faso</v>
      </c>
      <c r="M27">
        <f>IFERROR(VLOOKUP(Table6[[#This Row],[Country]],Table1[],2,FALSE),0)</f>
        <v>3.7013916969299321</v>
      </c>
      <c r="N27">
        <f>IF(ROW(Table6[[#This Row],[ID]])=2,1,IFERROR(N26*SIGN(MATCH(Table6[[#This Row],[Country]],F:F,0)),N26+1))</f>
        <v>26</v>
      </c>
    </row>
    <row r="28" spans="1:14" x14ac:dyDescent="0.35">
      <c r="A28" s="20" t="s">
        <v>453</v>
      </c>
      <c r="B28" s="22">
        <v>8.7337971992333721</v>
      </c>
      <c r="E28" t="s">
        <v>352</v>
      </c>
      <c r="K28" t="s">
        <v>204</v>
      </c>
      <c r="L28" t="str">
        <f>IFERROR(VLOOKUP(Table6[[#This Row],[Country]],Table7[],2,FALSE),Table6[[#This Row],[Country]])</f>
        <v>Burundi</v>
      </c>
      <c r="M28">
        <f>IFERROR(VLOOKUP(Table6[[#This Row],[Country]],Table1[],2,FALSE),0)</f>
        <v>7.5060715675354004</v>
      </c>
      <c r="N28">
        <f>IF(ROW(Table6[[#This Row],[ID]])=2,1,IFERROR(N27*SIGN(MATCH(Table6[[#This Row],[Country]],F:F,0)),N27+1))</f>
        <v>27</v>
      </c>
    </row>
    <row r="29" spans="1:14" x14ac:dyDescent="0.35">
      <c r="A29" s="20" t="s">
        <v>329</v>
      </c>
      <c r="B29" s="22">
        <v>8.7255067825317383</v>
      </c>
      <c r="E29" t="s">
        <v>265</v>
      </c>
      <c r="K29" t="s">
        <v>207</v>
      </c>
      <c r="L29" t="str">
        <f>IFERROR(VLOOKUP(Table6[[#This Row],[Country]],Table7[],2,FALSE),Table6[[#This Row],[Country]])</f>
        <v>Cambodia</v>
      </c>
      <c r="M29">
        <f>IFERROR(VLOOKUP(Table6[[#This Row],[Country]],Table1[],2,FALSE),0)</f>
        <v>4.9826292991638184</v>
      </c>
      <c r="N29">
        <f>IF(ROW(Table6[[#This Row],[ID]])=2,1,IFERROR(N28*SIGN(MATCH(Table6[[#This Row],[Country]],F:F,0)),N28+1))</f>
        <v>28</v>
      </c>
    </row>
    <row r="30" spans="1:14" x14ac:dyDescent="0.35">
      <c r="A30" s="20" t="s">
        <v>198</v>
      </c>
      <c r="B30" s="22">
        <v>8.4842157363891602</v>
      </c>
      <c r="E30" t="s">
        <v>360</v>
      </c>
      <c r="K30" t="s">
        <v>209</v>
      </c>
      <c r="L30" t="str">
        <f>IFERROR(VLOOKUP(Table6[[#This Row],[Country]],Table7[],2,FALSE),Table6[[#This Row],[Country]])</f>
        <v>Cameroon</v>
      </c>
      <c r="M30">
        <f>IFERROR(VLOOKUP(Table6[[#This Row],[Country]],Table1[],2,FALSE),0)</f>
        <v>5.8461923599243164</v>
      </c>
      <c r="N30">
        <f>IF(ROW(Table6[[#This Row],[ID]])=2,1,IFERROR(N29*SIGN(MATCH(Table6[[#This Row],[Country]],F:F,0)),N29+1))</f>
        <v>29</v>
      </c>
    </row>
    <row r="31" spans="1:14" x14ac:dyDescent="0.35">
      <c r="A31" s="20" t="s">
        <v>292</v>
      </c>
      <c r="B31" s="22">
        <v>8.2179908752441406</v>
      </c>
      <c r="E31" t="s">
        <v>373</v>
      </c>
      <c r="K31" t="s">
        <v>210</v>
      </c>
      <c r="L31" t="str">
        <f>IFERROR(VLOOKUP(Table6[[#This Row],[Country]],Table7[],2,FALSE),Table6[[#This Row],[Country]])</f>
        <v>Canada</v>
      </c>
      <c r="M31">
        <f>IFERROR(VLOOKUP(Table6[[#This Row],[Country]],Table1[],2,FALSE),0)</f>
        <v>1.82606041431427</v>
      </c>
      <c r="N31">
        <f>IF(ROW(Table6[[#This Row],[ID]])=2,1,IFERROR(N30*SIGN(MATCH(Table6[[#This Row],[Country]],F:F,0)),N30+1))</f>
        <v>30</v>
      </c>
    </row>
    <row r="32" spans="1:14" x14ac:dyDescent="0.35">
      <c r="A32" s="20" t="s">
        <v>254</v>
      </c>
      <c r="B32" s="22">
        <v>8.0829763412475586</v>
      </c>
      <c r="E32" t="s">
        <v>443</v>
      </c>
      <c r="K32" t="s">
        <v>213</v>
      </c>
      <c r="L32" t="str">
        <f>IFERROR(VLOOKUP(Table6[[#This Row],[Country]],Table7[],2,FALSE),Table6[[#This Row],[Country]])</f>
        <v>Cape Verde</v>
      </c>
      <c r="M32">
        <f>IFERROR(VLOOKUP(Table6[[#This Row],[Country]],Table1[],2,FALSE),0)</f>
        <v>0</v>
      </c>
      <c r="N32">
        <f>IF(ROW(Table6[[#This Row],[ID]])=2,1,IFERROR(N31*SIGN(MATCH(Table6[[#This Row],[Country]],F:F,0)),N31+1))</f>
        <v>31</v>
      </c>
    </row>
    <row r="33" spans="1:14" x14ac:dyDescent="0.35">
      <c r="A33" s="20" t="s">
        <v>235</v>
      </c>
      <c r="B33" s="22">
        <v>8.0444421768188477</v>
      </c>
      <c r="E33" t="s">
        <v>418</v>
      </c>
      <c r="K33" t="s">
        <v>216</v>
      </c>
      <c r="L33" t="str">
        <f>IFERROR(VLOOKUP(Table6[[#This Row],[Country]],Table7[],2,FALSE),Table6[[#This Row],[Country]])</f>
        <v>Central African Republic</v>
      </c>
      <c r="M33">
        <f>IFERROR(VLOOKUP(Table6[[#This Row],[Country]],Table1[],2,FALSE),0)</f>
        <v>5.2473850250244141</v>
      </c>
      <c r="N33">
        <f>IF(ROW(Table6[[#This Row],[ID]])=2,1,IFERROR(N32*SIGN(MATCH(Table6[[#This Row],[Country]],F:F,0)),N32+1))</f>
        <v>32</v>
      </c>
    </row>
    <row r="34" spans="1:14" x14ac:dyDescent="0.35">
      <c r="A34" s="20" t="s">
        <v>325</v>
      </c>
      <c r="B34" s="22">
        <v>8.0219430923461914</v>
      </c>
      <c r="E34" t="s">
        <v>420</v>
      </c>
      <c r="K34" t="s">
        <v>219</v>
      </c>
      <c r="L34" t="str">
        <f>IFERROR(VLOOKUP(Table6[[#This Row],[Country]],Table7[],2,FALSE),Table6[[#This Row],[Country]])</f>
        <v>Chad</v>
      </c>
      <c r="M34">
        <f>IFERROR(VLOOKUP(Table6[[#This Row],[Country]],Table1[],2,FALSE),0)</f>
        <v>5.881432056427002</v>
      </c>
      <c r="N34">
        <f>IF(ROW(Table6[[#This Row],[ID]])=2,1,IFERROR(N33*SIGN(MATCH(Table6[[#This Row],[Country]],F:F,0)),N33+1))</f>
        <v>33</v>
      </c>
    </row>
    <row r="35" spans="1:14" x14ac:dyDescent="0.35">
      <c r="A35" s="20" t="s">
        <v>302</v>
      </c>
      <c r="B35" s="22">
        <v>8.0072460174560547</v>
      </c>
      <c r="E35" t="s">
        <v>421</v>
      </c>
      <c r="K35" t="s">
        <v>222</v>
      </c>
      <c r="L35" t="str">
        <f>IFERROR(VLOOKUP(Table6[[#This Row],[Country]],Table7[],2,FALSE),Table6[[#This Row],[Country]])</f>
        <v>Chile</v>
      </c>
      <c r="M35">
        <f>IFERROR(VLOOKUP(Table6[[#This Row],[Country]],Table1[],2,FALSE),0)</f>
        <v>3.1733758449554439</v>
      </c>
      <c r="N35">
        <f>IF(ROW(Table6[[#This Row],[ID]])=2,1,IFERROR(N34*SIGN(MATCH(Table6[[#This Row],[Country]],F:F,0)),N34+1))</f>
        <v>34</v>
      </c>
    </row>
    <row r="36" spans="1:14" x14ac:dyDescent="0.35">
      <c r="A36" s="20" t="s">
        <v>513</v>
      </c>
      <c r="B36" s="22">
        <v>7.990757942199707</v>
      </c>
      <c r="E36" t="s">
        <v>459</v>
      </c>
      <c r="K36" t="s">
        <v>97</v>
      </c>
      <c r="L36" t="str">
        <f>IFERROR(VLOOKUP(Table6[[#This Row],[Country]],Table7[],2,FALSE),Table6[[#This Row],[Country]])</f>
        <v>China</v>
      </c>
      <c r="M36">
        <f>IFERROR(VLOOKUP(Table6[[#This Row],[Country]],Table1[],2,FALSE),0)</f>
        <v>4.0098066329956046</v>
      </c>
      <c r="N36">
        <f>IF(ROW(Table6[[#This Row],[ID]])=2,1,IFERROR(N35*SIGN(MATCH(Table6[[#This Row],[Country]],F:F,0)),N35+1))</f>
        <v>35</v>
      </c>
    </row>
    <row r="37" spans="1:14" x14ac:dyDescent="0.35">
      <c r="A37" s="20" t="s">
        <v>182</v>
      </c>
      <c r="B37" s="22">
        <v>7.8424558639526367</v>
      </c>
      <c r="E37" t="s">
        <v>464</v>
      </c>
      <c r="K37" t="s">
        <v>224</v>
      </c>
      <c r="L37" t="str">
        <f>IFERROR(VLOOKUP(Table6[[#This Row],[Country]],Table7[],2,FALSE),Table6[[#This Row],[Country]])</f>
        <v>Colombia</v>
      </c>
      <c r="M37">
        <f>IFERROR(VLOOKUP(Table6[[#This Row],[Country]],Table1[],2,FALSE),0)</f>
        <v>7.8080353736877441</v>
      </c>
      <c r="N37">
        <f>IF(ROW(Table6[[#This Row],[ID]])=2,1,IFERROR(N36*SIGN(MATCH(Table6[[#This Row],[Country]],F:F,0)),N36+1))</f>
        <v>36</v>
      </c>
    </row>
    <row r="38" spans="1:14" x14ac:dyDescent="0.35">
      <c r="A38" s="20" t="s">
        <v>285</v>
      </c>
      <c r="B38" s="22">
        <v>7.8207359313964844</v>
      </c>
      <c r="E38" t="s">
        <v>473</v>
      </c>
      <c r="K38" t="s">
        <v>226</v>
      </c>
      <c r="L38" t="str">
        <f>IFERROR(VLOOKUP(Table6[[#This Row],[Country]],Table7[],2,FALSE),Table6[[#This Row],[Country]])</f>
        <v>Comoros</v>
      </c>
      <c r="M38">
        <f>IFERROR(VLOOKUP(Table6[[#This Row],[Country]],Table1[],2,FALSE),0)</f>
        <v>0</v>
      </c>
      <c r="N38">
        <f>IF(ROW(Table6[[#This Row],[ID]])=2,1,IFERROR(N37*SIGN(MATCH(Table6[[#This Row],[Country]],F:F,0)),N37+1))</f>
        <v>37</v>
      </c>
    </row>
    <row r="39" spans="1:14" x14ac:dyDescent="0.35">
      <c r="A39" s="20" t="s">
        <v>384</v>
      </c>
      <c r="B39" s="22">
        <v>7.8147635459899902</v>
      </c>
      <c r="K39" t="s">
        <v>513</v>
      </c>
      <c r="L39" t="str">
        <f>IFERROR(VLOOKUP(Table6[[#This Row],[Country]],Table7[],2,FALSE),Table6[[#This Row],[Country]])</f>
        <v>Congo</v>
      </c>
      <c r="M39">
        <f>IFERROR(VLOOKUP(Table6[[#This Row],[Country]],Table1[],2,FALSE),0)</f>
        <v>7.990757942199707</v>
      </c>
      <c r="N39">
        <f>IF(ROW(Table6[[#This Row],[ID]])=2,1,IFERROR(N38*SIGN(MATCH(Table6[[#This Row],[Country]],F:F,0)),N38+1))</f>
        <v>38</v>
      </c>
    </row>
    <row r="40" spans="1:14" x14ac:dyDescent="0.35">
      <c r="A40" s="20" t="s">
        <v>256</v>
      </c>
      <c r="B40" s="22">
        <v>7.8120379447937012</v>
      </c>
      <c r="K40" t="s">
        <v>228</v>
      </c>
      <c r="L40" t="str">
        <f>IFERROR(VLOOKUP(Table6[[#This Row],[Country]],Table7[],2,FALSE),Table6[[#This Row],[Country]])</f>
        <v>Costa Rica</v>
      </c>
      <c r="M40">
        <f>IFERROR(VLOOKUP(Table6[[#This Row],[Country]],Table1[],2,FALSE),0)</f>
        <v>3.1939973831176758</v>
      </c>
      <c r="N40">
        <f>IF(ROW(Table6[[#This Row],[ID]])=2,1,IFERROR(N39*SIGN(MATCH(Table6[[#This Row],[Country]],F:F,0)),N39+1))</f>
        <v>39</v>
      </c>
    </row>
    <row r="41" spans="1:14" x14ac:dyDescent="0.35">
      <c r="A41" s="20" t="s">
        <v>224</v>
      </c>
      <c r="B41" s="22">
        <v>7.8080353736877441</v>
      </c>
      <c r="K41" t="s">
        <v>231</v>
      </c>
      <c r="L41" t="str">
        <f>IFERROR(VLOOKUP(Table6[[#This Row],[Country]],Table7[],2,FALSE),Table6[[#This Row],[Country]])</f>
        <v>Croatia</v>
      </c>
      <c r="M41">
        <f>IFERROR(VLOOKUP(Table6[[#This Row],[Country]],Table1[],2,FALSE),0)</f>
        <v>5.2431674003601074</v>
      </c>
      <c r="N41">
        <f>IF(ROW(Table6[[#This Row],[ID]])=2,1,IFERROR(N40*SIGN(MATCH(Table6[[#This Row],[Country]],F:F,0)),N40+1))</f>
        <v>40</v>
      </c>
    </row>
    <row r="42" spans="1:14" x14ac:dyDescent="0.35">
      <c r="A42" s="20" t="s">
        <v>277</v>
      </c>
      <c r="B42" s="22">
        <v>7.7936620712280273</v>
      </c>
      <c r="K42" t="s">
        <v>233</v>
      </c>
      <c r="L42" t="str">
        <f>IFERROR(VLOOKUP(Table6[[#This Row],[Country]],Table7[],2,FALSE),Table6[[#This Row],[Country]])</f>
        <v>Cuba</v>
      </c>
      <c r="M42">
        <f>IFERROR(VLOOKUP(Table6[[#This Row],[Country]],Table1[],2,FALSE),0)</f>
        <v>5.4061322212219238</v>
      </c>
      <c r="N42">
        <f>IF(ROW(Table6[[#This Row],[ID]])=2,1,IFERROR(N41*SIGN(MATCH(Table6[[#This Row],[Country]],F:F,0)),N41+1))</f>
        <v>41</v>
      </c>
    </row>
    <row r="43" spans="1:14" x14ac:dyDescent="0.35">
      <c r="A43" s="20" t="s">
        <v>432</v>
      </c>
      <c r="B43" s="22">
        <v>7.6514058113098136</v>
      </c>
      <c r="K43" t="s">
        <v>235</v>
      </c>
      <c r="L43" t="str">
        <f>IFERROR(VLOOKUP(Table6[[#This Row],[Country]],Table7[],2,FALSE),Table6[[#This Row],[Country]])</f>
        <v>Cyprus</v>
      </c>
      <c r="M43">
        <f>IFERROR(VLOOKUP(Table6[[#This Row],[Country]],Table1[],2,FALSE),0)</f>
        <v>8.0444421768188477</v>
      </c>
      <c r="N43">
        <f>IF(ROW(Table6[[#This Row],[ID]])=2,1,IFERROR(N42*SIGN(MATCH(Table6[[#This Row],[Country]],F:F,0)),N42+1))</f>
        <v>42</v>
      </c>
    </row>
    <row r="44" spans="1:14" x14ac:dyDescent="0.35">
      <c r="A44" s="20" t="s">
        <v>249</v>
      </c>
      <c r="B44" s="22">
        <v>7.6345400810241699</v>
      </c>
      <c r="K44" t="s">
        <v>238</v>
      </c>
      <c r="L44" t="str">
        <f>IFERROR(VLOOKUP(Table6[[#This Row],[Country]],Table7[],2,FALSE),Table6[[#This Row],[Country]])</f>
        <v>Czechia</v>
      </c>
      <c r="M44">
        <f>IFERROR(VLOOKUP(Table6[[#This Row],[Country]],Table1[],2,FALSE),0)</f>
        <v>4.2401094436645508</v>
      </c>
      <c r="N44">
        <f>IF(ROW(Table6[[#This Row],[ID]])=2,1,IFERROR(N43*SIGN(MATCH(Table6[[#This Row],[Country]],F:F,0)),N43+1))</f>
        <v>43</v>
      </c>
    </row>
    <row r="45" spans="1:14" x14ac:dyDescent="0.35">
      <c r="A45" s="20" t="s">
        <v>274</v>
      </c>
      <c r="B45" s="22">
        <v>7.6091694831848136</v>
      </c>
      <c r="K45" t="s">
        <v>125</v>
      </c>
      <c r="L45" t="str">
        <f>IFERROR(VLOOKUP(Table6[[#This Row],[Country]],Table7[],2,FALSE),Table6[[#This Row],[Country]])</f>
        <v>Democratic Republic of the Congo</v>
      </c>
      <c r="M45">
        <f>IFERROR(VLOOKUP(Table6[[#This Row],[Country]],Table1[],2,FALSE),0)</f>
        <v>4.5472292900085449</v>
      </c>
      <c r="N45">
        <f>IF(ROW(Table6[[#This Row],[ID]])=2,1,IFERROR(N44*SIGN(MATCH(Table6[[#This Row],[Country]],F:F,0)),N44+1))</f>
        <v>44</v>
      </c>
    </row>
    <row r="46" spans="1:14" x14ac:dyDescent="0.35">
      <c r="A46" s="20" t="s">
        <v>333</v>
      </c>
      <c r="B46" s="22">
        <v>7.5672814297887054</v>
      </c>
      <c r="K46" t="s">
        <v>242</v>
      </c>
      <c r="L46" t="str">
        <f>IFERROR(VLOOKUP(Table6[[#This Row],[Country]],Table7[],2,FALSE),Table6[[#This Row],[Country]])</f>
        <v>Denmark</v>
      </c>
      <c r="M46">
        <f>IFERROR(VLOOKUP(Table6[[#This Row],[Country]],Table1[],2,FALSE),0)</f>
        <v>0.64204007387161255</v>
      </c>
      <c r="N46">
        <f>IF(ROW(Table6[[#This Row],[ID]])=2,1,IFERROR(N45*SIGN(MATCH(Table6[[#This Row],[Country]],F:F,0)),N45+1))</f>
        <v>45</v>
      </c>
    </row>
    <row r="47" spans="1:14" x14ac:dyDescent="0.35">
      <c r="A47" s="20" t="s">
        <v>413</v>
      </c>
      <c r="B47" s="22">
        <v>7.5499615669250488</v>
      </c>
      <c r="K47" t="s">
        <v>244</v>
      </c>
      <c r="L47" t="str">
        <f>IFERROR(VLOOKUP(Table6[[#This Row],[Country]],Table7[],2,FALSE),Table6[[#This Row],[Country]])</f>
        <v>Djibouti</v>
      </c>
      <c r="M47">
        <f>IFERROR(VLOOKUP(Table6[[#This Row],[Country]],Table1[],2,FALSE),0)</f>
        <v>7.1356101036071777</v>
      </c>
      <c r="N47">
        <f>IF(ROW(Table6[[#This Row],[ID]])=2,1,IFERROR(N46*SIGN(MATCH(Table6[[#This Row],[Country]],F:F,0)),N46+1))</f>
        <v>46</v>
      </c>
    </row>
    <row r="48" spans="1:14" x14ac:dyDescent="0.35">
      <c r="A48" s="20" t="s">
        <v>204</v>
      </c>
      <c r="B48" s="22">
        <v>7.5060715675354004</v>
      </c>
      <c r="K48" t="s">
        <v>247</v>
      </c>
      <c r="L48" t="str">
        <f>IFERROR(VLOOKUP(Table6[[#This Row],[Country]],Table7[],2,FALSE),Table6[[#This Row],[Country]])</f>
        <v>Dominica</v>
      </c>
      <c r="M48">
        <f>IFERROR(VLOOKUP(Table6[[#This Row],[Country]],Table1[],2,FALSE),0)</f>
        <v>0</v>
      </c>
      <c r="N48">
        <f>IF(ROW(Table6[[#This Row],[ID]])=2,1,IFERROR(N47*SIGN(MATCH(Table6[[#This Row],[Country]],F:F,0)),N47+1))</f>
        <v>47</v>
      </c>
    </row>
    <row r="49" spans="1:14" x14ac:dyDescent="0.35">
      <c r="A49" s="20" t="s">
        <v>471</v>
      </c>
      <c r="B49" s="22">
        <v>7.4401578903198242</v>
      </c>
      <c r="K49" t="s">
        <v>144</v>
      </c>
      <c r="L49" t="str">
        <f>IFERROR(VLOOKUP(Table6[[#This Row],[Country]],Table7[],2,FALSE),Table6[[#This Row],[Country]])</f>
        <v>Dominican Republic</v>
      </c>
      <c r="M49">
        <f>IFERROR(VLOOKUP(Table6[[#This Row],[Country]],Table1[],2,FALSE),0)</f>
        <v>6.6326408386230469</v>
      </c>
      <c r="N49">
        <f>IF(ROW(Table6[[#This Row],[ID]])=2,1,IFERROR(N48*SIGN(MATCH(Table6[[#This Row],[Country]],F:F,0)),N48+1))</f>
        <v>48</v>
      </c>
    </row>
    <row r="50" spans="1:14" x14ac:dyDescent="0.35">
      <c r="A50" s="20" t="s">
        <v>380</v>
      </c>
      <c r="B50" s="22">
        <v>7.3434171676635742</v>
      </c>
      <c r="K50" t="s">
        <v>249</v>
      </c>
      <c r="L50" t="str">
        <f>IFERROR(VLOOKUP(Table6[[#This Row],[Country]],Table7[],2,FALSE),Table6[[#This Row],[Country]])</f>
        <v>Ecuador</v>
      </c>
      <c r="M50">
        <f>IFERROR(VLOOKUP(Table6[[#This Row],[Country]],Table1[],2,FALSE),0)</f>
        <v>7.6345400810241699</v>
      </c>
      <c r="N50">
        <f>IF(ROW(Table6[[#This Row],[ID]])=2,1,IFERROR(N49*SIGN(MATCH(Table6[[#This Row],[Country]],F:F,0)),N49+1))</f>
        <v>49</v>
      </c>
    </row>
    <row r="51" spans="1:14" x14ac:dyDescent="0.35">
      <c r="A51" s="20" t="s">
        <v>424</v>
      </c>
      <c r="B51" s="22">
        <v>7.3120203018188477</v>
      </c>
      <c r="K51" t="s">
        <v>252</v>
      </c>
      <c r="L51" t="str">
        <f>IFERROR(VLOOKUP(Table6[[#This Row],[Country]],Table7[],2,FALSE),Table6[[#This Row],[Country]])</f>
        <v>Egypt</v>
      </c>
      <c r="M51">
        <f>IFERROR(VLOOKUP(Table6[[#This Row],[Country]],Table1[],2,FALSE),0)</f>
        <v>4.315521240234375</v>
      </c>
      <c r="N51">
        <f>IF(ROW(Table6[[#This Row],[ID]])=2,1,IFERROR(N50*SIGN(MATCH(Table6[[#This Row],[Country]],F:F,0)),N50+1))</f>
        <v>50</v>
      </c>
    </row>
    <row r="52" spans="1:14" x14ac:dyDescent="0.35">
      <c r="A52" s="20" t="s">
        <v>312</v>
      </c>
      <c r="B52" s="22">
        <v>7.2874741554260254</v>
      </c>
      <c r="K52" t="s">
        <v>254</v>
      </c>
      <c r="L52" t="str">
        <f>IFERROR(VLOOKUP(Table6[[#This Row],[Country]],Table7[],2,FALSE),Table6[[#This Row],[Country]])</f>
        <v>El Salvador</v>
      </c>
      <c r="M52">
        <f>IFERROR(VLOOKUP(Table6[[#This Row],[Country]],Table1[],2,FALSE),0)</f>
        <v>8.0829763412475586</v>
      </c>
      <c r="N52">
        <f>IF(ROW(Table6[[#This Row],[ID]])=2,1,IFERROR(N51*SIGN(MATCH(Table6[[#This Row],[Country]],F:F,0)),N51+1))</f>
        <v>51</v>
      </c>
    </row>
    <row r="53" spans="1:14" x14ac:dyDescent="0.35">
      <c r="A53" s="20" t="s">
        <v>90</v>
      </c>
      <c r="B53" s="22">
        <v>7.1523995399475098</v>
      </c>
      <c r="K53" t="s">
        <v>256</v>
      </c>
      <c r="L53" t="str">
        <f>IFERROR(VLOOKUP(Table6[[#This Row],[Country]],Table7[],2,FALSE),Table6[[#This Row],[Country]])</f>
        <v>Equatorial Guinea</v>
      </c>
      <c r="M53">
        <f>IFERROR(VLOOKUP(Table6[[#This Row],[Country]],Table1[],2,FALSE),0)</f>
        <v>7.8120379447937012</v>
      </c>
      <c r="N53">
        <f>IF(ROW(Table6[[#This Row],[ID]])=2,1,IFERROR(N52*SIGN(MATCH(Table6[[#This Row],[Country]],F:F,0)),N52+1))</f>
        <v>52</v>
      </c>
    </row>
    <row r="54" spans="1:14" x14ac:dyDescent="0.35">
      <c r="A54" s="20" t="s">
        <v>244</v>
      </c>
      <c r="B54" s="22">
        <v>7.1356101036071777</v>
      </c>
      <c r="K54" t="s">
        <v>258</v>
      </c>
      <c r="L54" t="str">
        <f>IFERROR(VLOOKUP(Table6[[#This Row],[Country]],Table7[],2,FALSE),Table6[[#This Row],[Country]])</f>
        <v>Eritrea</v>
      </c>
      <c r="M54">
        <f>IFERROR(VLOOKUP(Table6[[#This Row],[Country]],Table1[],2,FALSE),0)</f>
        <v>90.284866333007813</v>
      </c>
      <c r="N54">
        <f>IF(ROW(Table6[[#This Row],[ID]])=2,1,IFERROR(N53*SIGN(MATCH(Table6[[#This Row],[Country]],F:F,0)),N53+1))</f>
        <v>53</v>
      </c>
    </row>
    <row r="55" spans="1:14" x14ac:dyDescent="0.35">
      <c r="A55" s="20" t="s">
        <v>304</v>
      </c>
      <c r="B55" s="22">
        <v>7.1043071746826172</v>
      </c>
      <c r="K55" t="s">
        <v>259</v>
      </c>
      <c r="L55" t="str">
        <f>IFERROR(VLOOKUP(Table6[[#This Row],[Country]],Table7[],2,FALSE),Table6[[#This Row],[Country]])</f>
        <v>Estonia</v>
      </c>
      <c r="M55">
        <f>IFERROR(VLOOKUP(Table6[[#This Row],[Country]],Table1[],2,FALSE),0)</f>
        <v>4.1133513450622559</v>
      </c>
      <c r="N55">
        <f>IF(ROW(Table6[[#This Row],[ID]])=2,1,IFERROR(N54*SIGN(MATCH(Table6[[#This Row],[Country]],F:F,0)),N54+1))</f>
        <v>54</v>
      </c>
    </row>
    <row r="56" spans="1:14" x14ac:dyDescent="0.35">
      <c r="A56" s="20" t="s">
        <v>405</v>
      </c>
      <c r="B56" s="22">
        <v>7.0985183715820313</v>
      </c>
      <c r="K56" t="s">
        <v>261</v>
      </c>
      <c r="L56" t="str">
        <f>IFERROR(VLOOKUP(Table6[[#This Row],[Country]],Table7[],2,FALSE),Table6[[#This Row],[Country]])</f>
        <v>Eswatini</v>
      </c>
      <c r="M56">
        <f>IFERROR(VLOOKUP(Table6[[#This Row],[Country]],Table1[],2,FALSE),0)</f>
        <v>3.6043319702148442</v>
      </c>
      <c r="N56">
        <f>IF(ROW(Table6[[#This Row],[ID]])=2,1,IFERROR(N55*SIGN(MATCH(Table6[[#This Row],[Country]],F:F,0)),N55+1))</f>
        <v>55</v>
      </c>
    </row>
    <row r="57" spans="1:14" x14ac:dyDescent="0.35">
      <c r="A57" s="20" t="s">
        <v>152</v>
      </c>
      <c r="B57" s="22">
        <v>7.0562992095947266</v>
      </c>
      <c r="K57" t="s">
        <v>263</v>
      </c>
      <c r="L57" t="str">
        <f>IFERROR(VLOOKUP(Table6[[#This Row],[Country]],Table7[],2,FALSE),Table6[[#This Row],[Country]])</f>
        <v>Ethiopia</v>
      </c>
      <c r="M57">
        <f>IFERROR(VLOOKUP(Table6[[#This Row],[Country]],Table1[],2,FALSE),0)</f>
        <v>6.3195614814758301</v>
      </c>
      <c r="N57">
        <f>IF(ROW(Table6[[#This Row],[ID]])=2,1,IFERROR(N56*SIGN(MATCH(Table6[[#This Row],[Country]],F:F,0)),N56+1))</f>
        <v>56</v>
      </c>
    </row>
    <row r="58" spans="1:14" x14ac:dyDescent="0.35">
      <c r="A58" s="20" t="s">
        <v>427</v>
      </c>
      <c r="B58" s="22">
        <v>7.0155296325683594</v>
      </c>
      <c r="K58" t="s">
        <v>265</v>
      </c>
      <c r="L58" t="str">
        <f>IFERROR(VLOOKUP(Table6[[#This Row],[Country]],Table7[],2,FALSE),Table6[[#This Row],[Country]])</f>
        <v>Federated States of Micronesia</v>
      </c>
      <c r="M58">
        <f>IFERROR(VLOOKUP(Table6[[#This Row],[Country]],Table1[],2,FALSE),0)</f>
        <v>0</v>
      </c>
      <c r="N58">
        <f>IF(ROW(Table6[[#This Row],[ID]])=2,1,IFERROR(N57*SIGN(MATCH(Table6[[#This Row],[Country]],F:F,0)),N57+1))</f>
        <v>57</v>
      </c>
    </row>
    <row r="59" spans="1:14" x14ac:dyDescent="0.35">
      <c r="A59" s="20" t="s">
        <v>294</v>
      </c>
      <c r="B59" s="22">
        <v>6.95623779296875</v>
      </c>
      <c r="K59" t="s">
        <v>267</v>
      </c>
      <c r="L59" t="str">
        <f>IFERROR(VLOOKUP(Table6[[#This Row],[Country]],Table7[],2,FALSE),Table6[[#This Row],[Country]])</f>
        <v>Fiji</v>
      </c>
      <c r="M59">
        <f>IFERROR(VLOOKUP(Table6[[#This Row],[Country]],Table1[],2,FALSE),0)</f>
        <v>0</v>
      </c>
      <c r="N59">
        <f>IF(ROW(Table6[[#This Row],[ID]])=2,1,IFERROR(N58*SIGN(MATCH(Table6[[#This Row],[Country]],F:F,0)),N58+1))</f>
        <v>58</v>
      </c>
    </row>
    <row r="60" spans="1:14" x14ac:dyDescent="0.35">
      <c r="A60" s="20" t="s">
        <v>337</v>
      </c>
      <c r="B60" s="22">
        <v>6.8216671943664551</v>
      </c>
      <c r="K60" t="s">
        <v>270</v>
      </c>
      <c r="L60" t="str">
        <f>IFERROR(VLOOKUP(Table6[[#This Row],[Country]],Table7[],2,FALSE),Table6[[#This Row],[Country]])</f>
        <v>Finland</v>
      </c>
      <c r="M60">
        <f>IFERROR(VLOOKUP(Table6[[#This Row],[Country]],Table1[],2,FALSE),0)</f>
        <v>1.4125709533691411</v>
      </c>
      <c r="N60">
        <f>IF(ROW(Table6[[#This Row],[ID]])=2,1,IFERROR(N59*SIGN(MATCH(Table6[[#This Row],[Country]],F:F,0)),N59+1))</f>
        <v>59</v>
      </c>
    </row>
    <row r="61" spans="1:14" x14ac:dyDescent="0.35">
      <c r="A61" s="20" t="s">
        <v>410</v>
      </c>
      <c r="B61" s="22">
        <v>6.8045035628270476</v>
      </c>
      <c r="K61" t="s">
        <v>271</v>
      </c>
      <c r="L61" t="str">
        <f>IFERROR(VLOOKUP(Table6[[#This Row],[Country]],Table7[],2,FALSE),Table6[[#This Row],[Country]])</f>
        <v>France</v>
      </c>
      <c r="M61">
        <f>IFERROR(VLOOKUP(Table6[[#This Row],[Country]],Table1[],2,FALSE),0)</f>
        <v>2.0612716674804692</v>
      </c>
      <c r="N61">
        <f>IF(ROW(Table6[[#This Row],[ID]])=2,1,IFERROR(N60*SIGN(MATCH(Table6[[#This Row],[Country]],F:F,0)),N60+1))</f>
        <v>60</v>
      </c>
    </row>
    <row r="62" spans="1:14" x14ac:dyDescent="0.35">
      <c r="A62" s="20" t="s">
        <v>147</v>
      </c>
      <c r="B62" s="22">
        <v>6.7363373851304793</v>
      </c>
      <c r="K62" t="s">
        <v>274</v>
      </c>
      <c r="L62" t="str">
        <f>IFERROR(VLOOKUP(Table6[[#This Row],[Country]],Table7[],2,FALSE),Table6[[#This Row],[Country]])</f>
        <v>Gabon</v>
      </c>
      <c r="M62">
        <f>IFERROR(VLOOKUP(Table6[[#This Row],[Country]],Table1[],2,FALSE),0)</f>
        <v>7.6091694831848136</v>
      </c>
      <c r="N62">
        <f>IF(ROW(Table6[[#This Row],[ID]])=2,1,IFERROR(N61*SIGN(MATCH(Table6[[#This Row],[Country]],F:F,0)),N61+1))</f>
        <v>61</v>
      </c>
    </row>
    <row r="63" spans="1:14" x14ac:dyDescent="0.35">
      <c r="A63" s="20" t="s">
        <v>158</v>
      </c>
      <c r="B63" s="22">
        <v>6.7028322219848633</v>
      </c>
      <c r="K63" t="s">
        <v>277</v>
      </c>
      <c r="L63" t="str">
        <f>IFERROR(VLOOKUP(Table6[[#This Row],[Country]],Table7[],2,FALSE),Table6[[#This Row],[Country]])</f>
        <v>Georgia</v>
      </c>
      <c r="M63">
        <f>IFERROR(VLOOKUP(Table6[[#This Row],[Country]],Table1[],2,FALSE),0)</f>
        <v>7.7936620712280273</v>
      </c>
      <c r="N63">
        <f>IF(ROW(Table6[[#This Row],[ID]])=2,1,IFERROR(N62*SIGN(MATCH(Table6[[#This Row],[Country]],F:F,0)),N62+1))</f>
        <v>62</v>
      </c>
    </row>
    <row r="64" spans="1:14" x14ac:dyDescent="0.35">
      <c r="A64" s="20" t="s">
        <v>144</v>
      </c>
      <c r="B64" s="22">
        <v>6.6326408386230469</v>
      </c>
      <c r="K64" t="s">
        <v>279</v>
      </c>
      <c r="L64" t="str">
        <f>IFERROR(VLOOKUP(Table6[[#This Row],[Country]],Table7[],2,FALSE),Table6[[#This Row],[Country]])</f>
        <v>Germany</v>
      </c>
      <c r="M64">
        <f>IFERROR(VLOOKUP(Table6[[#This Row],[Country]],Table1[],2,FALSE),0)</f>
        <v>0.56499791145324707</v>
      </c>
      <c r="N64">
        <f>IF(ROW(Table6[[#This Row],[ID]])=2,1,IFERROR(N63*SIGN(MATCH(Table6[[#This Row],[Country]],F:F,0)),N63+1))</f>
        <v>63</v>
      </c>
    </row>
    <row r="65" spans="1:14" x14ac:dyDescent="0.35">
      <c r="A65" s="20" t="s">
        <v>356</v>
      </c>
      <c r="B65" s="22">
        <v>6.5893306732177734</v>
      </c>
      <c r="K65" t="s">
        <v>150</v>
      </c>
      <c r="L65" t="str">
        <f>IFERROR(VLOOKUP(Table6[[#This Row],[Country]],Table7[],2,FALSE),Table6[[#This Row],[Country]])</f>
        <v>Ghana</v>
      </c>
      <c r="M65">
        <f>IFERROR(VLOOKUP(Table6[[#This Row],[Country]],Table1[],2,FALSE),0)</f>
        <v>2.9325580596923828</v>
      </c>
      <c r="N65">
        <f>IF(ROW(Table6[[#This Row],[ID]])=2,1,IFERROR(N64*SIGN(MATCH(Table6[[#This Row],[Country]],F:F,0)),N64+1))</f>
        <v>64</v>
      </c>
    </row>
    <row r="66" spans="1:14" x14ac:dyDescent="0.35">
      <c r="A66" s="20" t="s">
        <v>299</v>
      </c>
      <c r="B66" s="22">
        <v>6.5651717185974121</v>
      </c>
      <c r="K66" t="s">
        <v>282</v>
      </c>
      <c r="L66" t="str">
        <f>IFERROR(VLOOKUP(Table6[[#This Row],[Country]],Table7[],2,FALSE),Table6[[#This Row],[Country]])</f>
        <v>Greece</v>
      </c>
      <c r="M66">
        <f>IFERROR(VLOOKUP(Table6[[#This Row],[Country]],Table1[],2,FALSE),0)</f>
        <v>6.3680648803710938</v>
      </c>
      <c r="N66">
        <f>IF(ROW(Table6[[#This Row],[ID]])=2,1,IFERROR(N65*SIGN(MATCH(Table6[[#This Row],[Country]],F:F,0)),N65+1))</f>
        <v>65</v>
      </c>
    </row>
    <row r="67" spans="1:14" x14ac:dyDescent="0.35">
      <c r="A67" s="20" t="s">
        <v>636</v>
      </c>
      <c r="B67" s="22">
        <v>6.5460033416748047</v>
      </c>
      <c r="K67" t="s">
        <v>283</v>
      </c>
      <c r="L67" t="str">
        <f>IFERROR(VLOOKUP(Table6[[#This Row],[Country]],Table7[],2,FALSE),Table6[[#This Row],[Country]])</f>
        <v xml:space="preserve">Grenada </v>
      </c>
      <c r="M67">
        <f>IFERROR(VLOOKUP(Table6[[#This Row],[Country]],Table1[],2,FALSE),0)</f>
        <v>0</v>
      </c>
      <c r="N67">
        <f>IF(ROW(Table6[[#This Row],[ID]])=2,1,IFERROR(N66*SIGN(MATCH(Table6[[#This Row],[Country]],F:F,0)),N66+1))</f>
        <v>66</v>
      </c>
    </row>
    <row r="68" spans="1:14" x14ac:dyDescent="0.35">
      <c r="A68" s="20" t="s">
        <v>394</v>
      </c>
      <c r="B68" s="22">
        <v>6.5004955358003986</v>
      </c>
      <c r="K68" t="s">
        <v>285</v>
      </c>
      <c r="L68" t="str">
        <f>IFERROR(VLOOKUP(Table6[[#This Row],[Country]],Table7[],2,FALSE),Table6[[#This Row],[Country]])</f>
        <v>Guatemala</v>
      </c>
      <c r="M68">
        <f>IFERROR(VLOOKUP(Table6[[#This Row],[Country]],Table1[],2,FALSE),0)</f>
        <v>7.8207359313964844</v>
      </c>
      <c r="N68">
        <f>IF(ROW(Table6[[#This Row],[ID]])=2,1,IFERROR(N67*SIGN(MATCH(Table6[[#This Row],[Country]],F:F,0)),N67+1))</f>
        <v>67</v>
      </c>
    </row>
    <row r="69" spans="1:14" x14ac:dyDescent="0.35">
      <c r="A69" s="20" t="s">
        <v>441</v>
      </c>
      <c r="B69" s="22">
        <v>6.4705958366394043</v>
      </c>
      <c r="K69" t="s">
        <v>286</v>
      </c>
      <c r="L69" t="str">
        <f>IFERROR(VLOOKUP(Table6[[#This Row],[Country]],Table7[],2,FALSE),Table6[[#This Row],[Country]])</f>
        <v>Guinea</v>
      </c>
      <c r="M69">
        <f>IFERROR(VLOOKUP(Table6[[#This Row],[Country]],Table1[],2,FALSE),0)</f>
        <v>4.0234532356262207</v>
      </c>
      <c r="N69">
        <f>IF(ROW(Table6[[#This Row],[ID]])=2,1,IFERROR(N68*SIGN(MATCH(Table6[[#This Row],[Country]],F:F,0)),N68+1))</f>
        <v>68</v>
      </c>
    </row>
    <row r="70" spans="1:14" x14ac:dyDescent="0.35">
      <c r="A70" s="20" t="s">
        <v>403</v>
      </c>
      <c r="B70" s="22">
        <v>6.4171395301818848</v>
      </c>
      <c r="K70" t="s">
        <v>288</v>
      </c>
      <c r="L70" t="str">
        <f>IFERROR(VLOOKUP(Table6[[#This Row],[Country]],Table7[],2,FALSE),Table6[[#This Row],[Country]])</f>
        <v>Guinea-Bissau</v>
      </c>
      <c r="M70">
        <f>IFERROR(VLOOKUP(Table6[[#This Row],[Country]],Table1[],2,FALSE),0)</f>
        <v>4.4955711364746094</v>
      </c>
      <c r="N70">
        <f>IF(ROW(Table6[[#This Row],[ID]])=2,1,IFERROR(N69*SIGN(MATCH(Table6[[#This Row],[Country]],F:F,0)),N69+1))</f>
        <v>69</v>
      </c>
    </row>
    <row r="71" spans="1:14" x14ac:dyDescent="0.35">
      <c r="A71" s="20" t="s">
        <v>282</v>
      </c>
      <c r="B71" s="22">
        <v>6.3680648803710938</v>
      </c>
      <c r="K71" t="s">
        <v>290</v>
      </c>
      <c r="L71" t="str">
        <f>IFERROR(VLOOKUP(Table6[[#This Row],[Country]],Table7[],2,FALSE),Table6[[#This Row],[Country]])</f>
        <v>Guyana</v>
      </c>
      <c r="M71">
        <f>IFERROR(VLOOKUP(Table6[[#This Row],[Country]],Table1[],2,FALSE),0)</f>
        <v>4.188868522644043</v>
      </c>
      <c r="N71">
        <f>IF(ROW(Table6[[#This Row],[ID]])=2,1,IFERROR(N70*SIGN(MATCH(Table6[[#This Row],[Country]],F:F,0)),N70+1))</f>
        <v>70</v>
      </c>
    </row>
    <row r="72" spans="1:14" x14ac:dyDescent="0.35">
      <c r="A72" s="20" t="s">
        <v>263</v>
      </c>
      <c r="B72" s="22">
        <v>6.3195614814758301</v>
      </c>
      <c r="K72" t="s">
        <v>292</v>
      </c>
      <c r="L72" t="str">
        <f>IFERROR(VLOOKUP(Table6[[#This Row],[Country]],Table7[],2,FALSE),Table6[[#This Row],[Country]])</f>
        <v>Haiti</v>
      </c>
      <c r="M72">
        <f>IFERROR(VLOOKUP(Table6[[#This Row],[Country]],Table1[],2,FALSE),0)</f>
        <v>8.2179908752441406</v>
      </c>
      <c r="N72">
        <f>IF(ROW(Table6[[#This Row],[ID]])=2,1,IFERROR(N71*SIGN(MATCH(Table6[[#This Row],[Country]],F:F,0)),N71+1))</f>
        <v>71</v>
      </c>
    </row>
    <row r="73" spans="1:14" x14ac:dyDescent="0.35">
      <c r="A73" s="20" t="s">
        <v>72</v>
      </c>
      <c r="B73" s="22">
        <v>6.2550435066223136</v>
      </c>
      <c r="K73" t="s">
        <v>294</v>
      </c>
      <c r="L73" t="str">
        <f>IFERROR(VLOOKUP(Table6[[#This Row],[Country]],Table7[],2,FALSE),Table6[[#This Row],[Country]])</f>
        <v>Honduras</v>
      </c>
      <c r="M73">
        <f>IFERROR(VLOOKUP(Table6[[#This Row],[Country]],Table1[],2,FALSE),0)</f>
        <v>6.95623779296875</v>
      </c>
      <c r="N73">
        <f>IF(ROW(Table6[[#This Row],[ID]])=2,1,IFERROR(N72*SIGN(MATCH(Table6[[#This Row],[Country]],F:F,0)),N72+1))</f>
        <v>72</v>
      </c>
    </row>
    <row r="74" spans="1:14" x14ac:dyDescent="0.35">
      <c r="A74" s="20" t="s">
        <v>435</v>
      </c>
      <c r="B74" s="22">
        <v>6.1732912063598633</v>
      </c>
      <c r="K74" t="s">
        <v>296</v>
      </c>
      <c r="L74" t="str">
        <f>IFERROR(VLOOKUP(Table6[[#This Row],[Country]],Table7[],2,FALSE),Table6[[#This Row],[Country]])</f>
        <v>Hong Kong</v>
      </c>
      <c r="M74">
        <f>IFERROR(VLOOKUP(Table6[[#This Row],[Country]],Table1[],2,FALSE),0)</f>
        <v>2.762860774993896</v>
      </c>
      <c r="N74">
        <f>IF(ROW(Table6[[#This Row],[ID]])=2,1,IFERROR(N73*SIGN(MATCH(Table6[[#This Row],[Country]],F:F,0)),N73+1))</f>
        <v>72</v>
      </c>
    </row>
    <row r="75" spans="1:14" x14ac:dyDescent="0.35">
      <c r="A75" s="20" t="s">
        <v>341</v>
      </c>
      <c r="B75" s="22">
        <v>6.0859842300415039</v>
      </c>
      <c r="K75" t="s">
        <v>299</v>
      </c>
      <c r="L75" t="str">
        <f>IFERROR(VLOOKUP(Table6[[#This Row],[Country]],Table7[],2,FALSE),Table6[[#This Row],[Country]])</f>
        <v>Hungary</v>
      </c>
      <c r="M75">
        <f>IFERROR(VLOOKUP(Table6[[#This Row],[Country]],Table1[],2,FALSE),0)</f>
        <v>6.5651717185974121</v>
      </c>
      <c r="N75">
        <f>IF(ROW(Table6[[#This Row],[ID]])=2,1,IFERROR(N74*SIGN(MATCH(Table6[[#This Row],[Country]],F:F,0)),N74+1))</f>
        <v>73</v>
      </c>
    </row>
    <row r="76" spans="1:14" x14ac:dyDescent="0.35">
      <c r="A76" s="20" t="s">
        <v>457</v>
      </c>
      <c r="B76" s="22">
        <v>6.0507779121398926</v>
      </c>
      <c r="K76" t="s">
        <v>300</v>
      </c>
      <c r="L76" t="str">
        <f>IFERROR(VLOOKUP(Table6[[#This Row],[Country]],Table7[],2,FALSE),Table6[[#This Row],[Country]])</f>
        <v>Iceland</v>
      </c>
      <c r="M76">
        <f>IFERROR(VLOOKUP(Table6[[#This Row],[Country]],Table1[],2,FALSE),0)</f>
        <v>0</v>
      </c>
      <c r="N76">
        <f>IF(ROW(Table6[[#This Row],[ID]])=2,1,IFERROR(N75*SIGN(MATCH(Table6[[#This Row],[Country]],F:F,0)),N75+1))</f>
        <v>74</v>
      </c>
    </row>
    <row r="77" spans="1:14" x14ac:dyDescent="0.35">
      <c r="A77" s="20" t="s">
        <v>476</v>
      </c>
      <c r="B77" s="22">
        <v>6.0494505964133269</v>
      </c>
      <c r="K77" t="s">
        <v>302</v>
      </c>
      <c r="L77" t="str">
        <f>IFERROR(VLOOKUP(Table6[[#This Row],[Country]],Table7[],2,FALSE),Table6[[#This Row],[Country]])</f>
        <v>India</v>
      </c>
      <c r="M77">
        <f>IFERROR(VLOOKUP(Table6[[#This Row],[Country]],Table1[],2,FALSE),0)</f>
        <v>8.0072460174560547</v>
      </c>
      <c r="N77">
        <f>IF(ROW(Table6[[#This Row],[ID]])=2,1,IFERROR(N76*SIGN(MATCH(Table6[[#This Row],[Country]],F:F,0)),N76+1))</f>
        <v>75</v>
      </c>
    </row>
    <row r="78" spans="1:14" x14ac:dyDescent="0.35">
      <c r="A78" s="20" t="s">
        <v>219</v>
      </c>
      <c r="B78" s="22">
        <v>5.881432056427002</v>
      </c>
      <c r="K78" t="s">
        <v>158</v>
      </c>
      <c r="L78" t="str">
        <f>IFERROR(VLOOKUP(Table6[[#This Row],[Country]],Table7[],2,FALSE),Table6[[#This Row],[Country]])</f>
        <v>Indonesia</v>
      </c>
      <c r="M78">
        <f>IFERROR(VLOOKUP(Table6[[#This Row],[Country]],Table1[],2,FALSE),0)</f>
        <v>6.7028322219848633</v>
      </c>
      <c r="N78">
        <f>IF(ROW(Table6[[#This Row],[ID]])=2,1,IFERROR(N77*SIGN(MATCH(Table6[[#This Row],[Country]],F:F,0)),N77+1))</f>
        <v>76</v>
      </c>
    </row>
    <row r="79" spans="1:14" x14ac:dyDescent="0.35">
      <c r="A79" s="20" t="s">
        <v>209</v>
      </c>
      <c r="B79" s="22">
        <v>5.8461923599243164</v>
      </c>
      <c r="K79" t="s">
        <v>304</v>
      </c>
      <c r="L79" t="str">
        <f>IFERROR(VLOOKUP(Table6[[#This Row],[Country]],Table7[],2,FALSE),Table6[[#This Row],[Country]])</f>
        <v>Iran</v>
      </c>
      <c r="M79">
        <f>IFERROR(VLOOKUP(Table6[[#This Row],[Country]],Table1[],2,FALSE),0)</f>
        <v>7.1043071746826172</v>
      </c>
      <c r="N79">
        <f>IF(ROW(Table6[[#This Row],[ID]])=2,1,IFERROR(N78*SIGN(MATCH(Table6[[#This Row],[Country]],F:F,0)),N78+1))</f>
        <v>77</v>
      </c>
    </row>
    <row r="80" spans="1:14" x14ac:dyDescent="0.35">
      <c r="A80" s="20" t="s">
        <v>188</v>
      </c>
      <c r="B80" s="22">
        <v>5.7416377067565918</v>
      </c>
      <c r="K80" t="s">
        <v>307</v>
      </c>
      <c r="L80" t="str">
        <f>IFERROR(VLOOKUP(Table6[[#This Row],[Country]],Table7[],2,FALSE),Table6[[#This Row],[Country]])</f>
        <v>Iraq</v>
      </c>
      <c r="M80">
        <f>IFERROR(VLOOKUP(Table6[[#This Row],[Country]],Table1[],2,FALSE),0)</f>
        <v>5.4922622673397301</v>
      </c>
      <c r="N80">
        <f>IF(ROW(Table6[[#This Row],[ID]])=2,1,IFERROR(N79*SIGN(MATCH(Table6[[#This Row],[Country]],F:F,0)),N79+1))</f>
        <v>78</v>
      </c>
    </row>
    <row r="81" spans="1:14" x14ac:dyDescent="0.35">
      <c r="A81" s="20" t="s">
        <v>407</v>
      </c>
      <c r="B81" s="22">
        <v>5.5102720260620117</v>
      </c>
      <c r="K81" t="s">
        <v>308</v>
      </c>
      <c r="L81" t="str">
        <f>IFERROR(VLOOKUP(Table6[[#This Row],[Country]],Table7[],2,FALSE),Table6[[#This Row],[Country]])</f>
        <v>Ireland</v>
      </c>
      <c r="M81">
        <f>IFERROR(VLOOKUP(Table6[[#This Row],[Country]],Table1[],2,FALSE),0)</f>
        <v>1.1019912958145139</v>
      </c>
      <c r="N81">
        <f>IF(ROW(Table6[[#This Row],[ID]])=2,1,IFERROR(N80*SIGN(MATCH(Table6[[#This Row],[Country]],F:F,0)),N80+1))</f>
        <v>79</v>
      </c>
    </row>
    <row r="82" spans="1:14" x14ac:dyDescent="0.35">
      <c r="A82" s="20" t="s">
        <v>307</v>
      </c>
      <c r="B82" s="22">
        <v>5.4922622673397301</v>
      </c>
      <c r="K82" t="s">
        <v>310</v>
      </c>
      <c r="L82" t="str">
        <f>IFERROR(VLOOKUP(Table6[[#This Row],[Country]],Table7[],2,FALSE),Table6[[#This Row],[Country]])</f>
        <v>Israel</v>
      </c>
      <c r="M82">
        <f>IFERROR(VLOOKUP(Table6[[#This Row],[Country]],Table1[],2,FALSE),0)</f>
        <v>3.792859554290771</v>
      </c>
      <c r="N82">
        <f>IF(ROW(Table6[[#This Row],[ID]])=2,1,IFERROR(N81*SIGN(MATCH(Table6[[#This Row],[Country]],F:F,0)),N81+1))</f>
        <v>80</v>
      </c>
    </row>
    <row r="83" spans="1:14" x14ac:dyDescent="0.35">
      <c r="A83" s="20" t="s">
        <v>233</v>
      </c>
      <c r="B83" s="22">
        <v>5.4061322212219238</v>
      </c>
      <c r="K83" t="s">
        <v>311</v>
      </c>
      <c r="L83" t="str">
        <f>IFERROR(VLOOKUP(Table6[[#This Row],[Country]],Table7[],2,FALSE),Table6[[#This Row],[Country]])</f>
        <v>Italy</v>
      </c>
      <c r="M83">
        <f>IFERROR(VLOOKUP(Table6[[#This Row],[Country]],Table1[],2,FALSE),0)</f>
        <v>3.26297926902771</v>
      </c>
      <c r="N83">
        <f>IF(ROW(Table6[[#This Row],[ID]])=2,1,IFERROR(N82*SIGN(MATCH(Table6[[#This Row],[Country]],F:F,0)),N82+1))</f>
        <v>81</v>
      </c>
    </row>
    <row r="84" spans="1:14" x14ac:dyDescent="0.35">
      <c r="A84" s="20" t="s">
        <v>216</v>
      </c>
      <c r="B84" s="22">
        <v>5.2473850250244141</v>
      </c>
      <c r="K84" t="s">
        <v>424</v>
      </c>
      <c r="L84" t="str">
        <f>IFERROR(VLOOKUP(Table6[[#This Row],[Country]],Table7[],2,FALSE),Table6[[#This Row],[Country]])</f>
        <v>Ivory Coast</v>
      </c>
      <c r="M84">
        <f>IFERROR(VLOOKUP(Table6[[#This Row],[Country]],Table1[],2,FALSE),0)</f>
        <v>7.3120203018188477</v>
      </c>
      <c r="N84">
        <f>IF(ROW(Table6[[#This Row],[ID]])=2,1,IFERROR(N83*SIGN(MATCH(Table6[[#This Row],[Country]],F:F,0)),N83+1))</f>
        <v>82</v>
      </c>
    </row>
    <row r="85" spans="1:14" x14ac:dyDescent="0.35">
      <c r="A85" s="20" t="s">
        <v>231</v>
      </c>
      <c r="B85" s="22">
        <v>5.2431674003601074</v>
      </c>
      <c r="K85" t="s">
        <v>312</v>
      </c>
      <c r="L85" t="str">
        <f>IFERROR(VLOOKUP(Table6[[#This Row],[Country]],Table7[],2,FALSE),Table6[[#This Row],[Country]])</f>
        <v>Jamaica</v>
      </c>
      <c r="M85">
        <f>IFERROR(VLOOKUP(Table6[[#This Row],[Country]],Table1[],2,FALSE),0)</f>
        <v>7.2874741554260254</v>
      </c>
      <c r="N85">
        <f>IF(ROW(Table6[[#This Row],[ID]])=2,1,IFERROR(N84*SIGN(MATCH(Table6[[#This Row],[Country]],F:F,0)),N84+1))</f>
        <v>83</v>
      </c>
    </row>
    <row r="86" spans="1:14" x14ac:dyDescent="0.35">
      <c r="A86" s="20" t="s">
        <v>349</v>
      </c>
      <c r="B86" s="22">
        <v>5.2330904006958008</v>
      </c>
      <c r="K86" t="s">
        <v>314</v>
      </c>
      <c r="L86" t="str">
        <f>IFERROR(VLOOKUP(Table6[[#This Row],[Country]],Table7[],2,FALSE),Table6[[#This Row],[Country]])</f>
        <v>Japan</v>
      </c>
      <c r="M86">
        <f>IFERROR(VLOOKUP(Table6[[#This Row],[Country]],Table1[],2,FALSE),0)</f>
        <v>1.1408095359802251</v>
      </c>
      <c r="N86">
        <f>IF(ROW(Table6[[#This Row],[ID]])=2,1,IFERROR(N85*SIGN(MATCH(Table6[[#This Row],[Country]],F:F,0)),N85+1))</f>
        <v>84</v>
      </c>
    </row>
    <row r="87" spans="1:14" x14ac:dyDescent="0.35">
      <c r="A87" s="20" t="s">
        <v>637</v>
      </c>
      <c r="B87" s="22">
        <v>5.1618075370788574</v>
      </c>
      <c r="K87" t="s">
        <v>317</v>
      </c>
      <c r="L87" t="str">
        <f>IFERROR(VLOOKUP(Table6[[#This Row],[Country]],Table7[],2,FALSE),Table6[[#This Row],[Country]])</f>
        <v>Jordan</v>
      </c>
      <c r="M87">
        <f>IFERROR(VLOOKUP(Table6[[#This Row],[Country]],Table1[],2,FALSE),0)</f>
        <v>10.005855967217204</v>
      </c>
      <c r="N87">
        <f>IF(ROW(Table6[[#This Row],[ID]])=2,1,IFERROR(N86*SIGN(MATCH(Table6[[#This Row],[Country]],F:F,0)),N86+1))</f>
        <v>85</v>
      </c>
    </row>
    <row r="88" spans="1:14" x14ac:dyDescent="0.35">
      <c r="A88" s="20" t="s">
        <v>477</v>
      </c>
      <c r="B88" s="22">
        <v>5.0929903984069824</v>
      </c>
      <c r="K88" t="s">
        <v>319</v>
      </c>
      <c r="L88" t="str">
        <f>IFERROR(VLOOKUP(Table6[[#This Row],[Country]],Table7[],2,FALSE),Table6[[#This Row],[Country]])</f>
        <v>Kazakhstan</v>
      </c>
      <c r="M88">
        <f>IFERROR(VLOOKUP(Table6[[#This Row],[Country]],Table1[],2,FALSE),0)</f>
        <v>11.06179714202881</v>
      </c>
      <c r="N88">
        <f>IF(ROW(Table6[[#This Row],[ID]])=2,1,IFERROR(N87*SIGN(MATCH(Table6[[#This Row],[Country]],F:F,0)),N87+1))</f>
        <v>86</v>
      </c>
    </row>
    <row r="89" spans="1:14" x14ac:dyDescent="0.35">
      <c r="A89" s="20" t="s">
        <v>321</v>
      </c>
      <c r="B89" s="22">
        <v>5.0034627914428711</v>
      </c>
      <c r="K89" t="s">
        <v>321</v>
      </c>
      <c r="L89" t="str">
        <f>IFERROR(VLOOKUP(Table6[[#This Row],[Country]],Table7[],2,FALSE),Table6[[#This Row],[Country]])</f>
        <v>Kenya</v>
      </c>
      <c r="M89">
        <f>IFERROR(VLOOKUP(Table6[[#This Row],[Country]],Table1[],2,FALSE),0)</f>
        <v>5.0034627914428711</v>
      </c>
      <c r="N89">
        <f>IF(ROW(Table6[[#This Row],[ID]])=2,1,IFERROR(N88*SIGN(MATCH(Table6[[#This Row],[Country]],F:F,0)),N88+1))</f>
        <v>87</v>
      </c>
    </row>
    <row r="90" spans="1:14" x14ac:dyDescent="0.35">
      <c r="A90" s="20" t="s">
        <v>207</v>
      </c>
      <c r="B90" s="22">
        <v>4.9826292991638184</v>
      </c>
      <c r="K90" t="s">
        <v>324</v>
      </c>
      <c r="L90" t="str">
        <f>IFERROR(VLOOKUP(Table6[[#This Row],[Country]],Table7[],2,FALSE),Table6[[#This Row],[Country]])</f>
        <v>Kiribati</v>
      </c>
      <c r="M90">
        <f>IFERROR(VLOOKUP(Table6[[#This Row],[Country]],Table1[],2,FALSE),0)</f>
        <v>0</v>
      </c>
      <c r="N90">
        <f>IF(ROW(Table6[[#This Row],[ID]])=2,1,IFERROR(N89*SIGN(MATCH(Table6[[#This Row],[Country]],F:F,0)),N89+1))</f>
        <v>88</v>
      </c>
    </row>
    <row r="91" spans="1:14" x14ac:dyDescent="0.35">
      <c r="A91" s="20" t="s">
        <v>478</v>
      </c>
      <c r="B91" s="22">
        <v>4.9811038970947266</v>
      </c>
      <c r="K91" t="s">
        <v>325</v>
      </c>
      <c r="L91" t="str">
        <f>IFERROR(VLOOKUP(Table6[[#This Row],[Country]],Table7[],2,FALSE),Table6[[#This Row],[Country]])</f>
        <v>Kosovo</v>
      </c>
      <c r="M91">
        <f>IFERROR(VLOOKUP(Table6[[#This Row],[Country]],Table1[],2,FALSE),0)</f>
        <v>8.0219430923461914</v>
      </c>
      <c r="N91">
        <f>IF(ROW(Table6[[#This Row],[ID]])=2,1,IFERROR(N90*SIGN(MATCH(Table6[[#This Row],[Country]],F:F,0)),N90+1))</f>
        <v>89</v>
      </c>
    </row>
    <row r="92" spans="1:14" x14ac:dyDescent="0.35">
      <c r="A92" s="20" t="s">
        <v>192</v>
      </c>
      <c r="B92" s="22">
        <v>4.954716682434082</v>
      </c>
      <c r="K92" t="s">
        <v>327</v>
      </c>
      <c r="L92" t="str">
        <f>IFERROR(VLOOKUP(Table6[[#This Row],[Country]],Table7[],2,FALSE),Table6[[#This Row],[Country]])</f>
        <v>Kuwait</v>
      </c>
      <c r="M92">
        <f>IFERROR(VLOOKUP(Table6[[#This Row],[Country]],Table1[],2,FALSE),0)</f>
        <v>12.959253188009185</v>
      </c>
      <c r="N92">
        <f>IF(ROW(Table6[[#This Row],[ID]])=2,1,IFERROR(N91*SIGN(MATCH(Table6[[#This Row],[Country]],F:F,0)),N91+1))</f>
        <v>90</v>
      </c>
    </row>
    <row r="93" spans="1:14" x14ac:dyDescent="0.35">
      <c r="A93" s="20" t="s">
        <v>164</v>
      </c>
      <c r="B93" s="22">
        <v>4.8654842376708984</v>
      </c>
      <c r="K93" t="s">
        <v>329</v>
      </c>
      <c r="L93" t="str">
        <f>IFERROR(VLOOKUP(Table6[[#This Row],[Country]],Table7[],2,FALSE),Table6[[#This Row],[Country]])</f>
        <v>Kyrgyzstan</v>
      </c>
      <c r="M93">
        <f>IFERROR(VLOOKUP(Table6[[#This Row],[Country]],Table1[],2,FALSE),0)</f>
        <v>8.7255067825317383</v>
      </c>
      <c r="N93">
        <f>IF(ROW(Table6[[#This Row],[ID]])=2,1,IFERROR(N92*SIGN(MATCH(Table6[[#This Row],[Country]],F:F,0)),N92+1))</f>
        <v>91</v>
      </c>
    </row>
    <row r="94" spans="1:14" x14ac:dyDescent="0.35">
      <c r="A94" s="20" t="s">
        <v>460</v>
      </c>
      <c r="B94" s="22">
        <v>4.7318248748779297</v>
      </c>
      <c r="K94" t="s">
        <v>637</v>
      </c>
      <c r="L94" t="str">
        <f>IFERROR(VLOOKUP(Table6[[#This Row],[Country]],Table7[],2,FALSE),Table6[[#This Row],[Country]])</f>
        <v>Laos</v>
      </c>
      <c r="M94">
        <f>IFERROR(VLOOKUP(Table6[[#This Row],[Country]],Table1[],2,FALSE),0)</f>
        <v>5.1618075370788574</v>
      </c>
      <c r="N94">
        <f>IF(ROW(Table6[[#This Row],[ID]])=2,1,IFERROR(N93*SIGN(MATCH(Table6[[#This Row],[Country]],F:F,0)),N93+1))</f>
        <v>92</v>
      </c>
    </row>
    <row r="95" spans="1:14" x14ac:dyDescent="0.35">
      <c r="A95" s="20" t="s">
        <v>400</v>
      </c>
      <c r="B95" s="22">
        <v>4.6619625091552734</v>
      </c>
      <c r="K95" t="s">
        <v>331</v>
      </c>
      <c r="L95" t="str">
        <f>IFERROR(VLOOKUP(Table6[[#This Row],[Country]],Table7[],2,FALSE),Table6[[#This Row],[Country]])</f>
        <v>Latvia</v>
      </c>
      <c r="M95">
        <f>IFERROR(VLOOKUP(Table6[[#This Row],[Country]],Table1[],2,FALSE),0)</f>
        <v>3.378555059432983</v>
      </c>
      <c r="N95">
        <f>IF(ROW(Table6[[#This Row],[ID]])=2,1,IFERROR(N94*SIGN(MATCH(Table6[[#This Row],[Country]],F:F,0)),N94+1))</f>
        <v>93</v>
      </c>
    </row>
    <row r="96" spans="1:14" x14ac:dyDescent="0.35">
      <c r="A96" s="20" t="s">
        <v>382</v>
      </c>
      <c r="B96" s="22">
        <v>4.6451253890991211</v>
      </c>
      <c r="K96" t="s">
        <v>333</v>
      </c>
      <c r="L96" t="str">
        <f>IFERROR(VLOOKUP(Table6[[#This Row],[Country]],Table7[],2,FALSE),Table6[[#This Row],[Country]])</f>
        <v>Lebanon</v>
      </c>
      <c r="M96">
        <f>IFERROR(VLOOKUP(Table6[[#This Row],[Country]],Table1[],2,FALSE),0)</f>
        <v>7.5672814297887054</v>
      </c>
      <c r="N96">
        <f>IF(ROW(Table6[[#This Row],[ID]])=2,1,IFERROR(N95*SIGN(MATCH(Table6[[#This Row],[Country]],F:F,0)),N95+1))</f>
        <v>94</v>
      </c>
    </row>
    <row r="97" spans="1:14" x14ac:dyDescent="0.35">
      <c r="A97" s="20" t="s">
        <v>344</v>
      </c>
      <c r="B97" s="22">
        <v>4.5727553367614746</v>
      </c>
      <c r="K97" t="s">
        <v>334</v>
      </c>
      <c r="L97" t="str">
        <f>IFERROR(VLOOKUP(Table6[[#This Row],[Country]],Table7[],2,FALSE),Table6[[#This Row],[Country]])</f>
        <v>Lesotho</v>
      </c>
      <c r="M97">
        <f>IFERROR(VLOOKUP(Table6[[#This Row],[Country]],Table1[],2,FALSE),0)</f>
        <v>1.6469483375549321</v>
      </c>
      <c r="N97">
        <f>IF(ROW(Table6[[#This Row],[ID]])=2,1,IFERROR(N96*SIGN(MATCH(Table6[[#This Row],[Country]],F:F,0)),N96+1))</f>
        <v>95</v>
      </c>
    </row>
    <row r="98" spans="1:14" x14ac:dyDescent="0.35">
      <c r="A98" s="20" t="s">
        <v>125</v>
      </c>
      <c r="B98" s="22">
        <v>4.5472292900085449</v>
      </c>
      <c r="K98" t="s">
        <v>335</v>
      </c>
      <c r="L98" t="str">
        <f>IFERROR(VLOOKUP(Table6[[#This Row],[Country]],Table7[],2,FALSE),Table6[[#This Row],[Country]])</f>
        <v>Liberia</v>
      </c>
      <c r="M98">
        <f>IFERROR(VLOOKUP(Table6[[#This Row],[Country]],Table1[],2,FALSE),0)</f>
        <v>3.14580249786377</v>
      </c>
      <c r="N98">
        <f>IF(ROW(Table6[[#This Row],[ID]])=2,1,IFERROR(N97*SIGN(MATCH(Table6[[#This Row],[Country]],F:F,0)),N97+1))</f>
        <v>96</v>
      </c>
    </row>
    <row r="99" spans="1:14" x14ac:dyDescent="0.35">
      <c r="A99" s="20" t="s">
        <v>288</v>
      </c>
      <c r="B99" s="22">
        <v>4.4955711364746094</v>
      </c>
      <c r="K99" t="s">
        <v>337</v>
      </c>
      <c r="L99" t="str">
        <f>IFERROR(VLOOKUP(Table6[[#This Row],[Country]],Table7[],2,FALSE),Table6[[#This Row],[Country]])</f>
        <v>Libya</v>
      </c>
      <c r="M99">
        <f>IFERROR(VLOOKUP(Table6[[#This Row],[Country]],Table1[],2,FALSE),0)</f>
        <v>6.8216671943664551</v>
      </c>
      <c r="N99">
        <f>IF(ROW(Table6[[#This Row],[ID]])=2,1,IFERROR(N98*SIGN(MATCH(Table6[[#This Row],[Country]],F:F,0)),N98+1))</f>
        <v>97</v>
      </c>
    </row>
    <row r="100" spans="1:14" x14ac:dyDescent="0.35">
      <c r="A100" s="20" t="s">
        <v>433</v>
      </c>
      <c r="B100" s="22">
        <v>4.448514461517334</v>
      </c>
      <c r="K100" t="s">
        <v>339</v>
      </c>
      <c r="L100" t="str">
        <f>IFERROR(VLOOKUP(Table6[[#This Row],[Country]],Table7[],2,FALSE),Table6[[#This Row],[Country]])</f>
        <v>Liechtenstein</v>
      </c>
      <c r="M100">
        <f>IFERROR(VLOOKUP(Table6[[#This Row],[Country]],Table1[],2,FALSE),0)</f>
        <v>0</v>
      </c>
      <c r="N100">
        <f>IF(ROW(Table6[[#This Row],[ID]])=2,1,IFERROR(N99*SIGN(MATCH(Table6[[#This Row],[Country]],F:F,0)),N99+1))</f>
        <v>98</v>
      </c>
    </row>
    <row r="101" spans="1:14" x14ac:dyDescent="0.35">
      <c r="A101" s="20" t="s">
        <v>252</v>
      </c>
      <c r="B101" s="22">
        <v>4.315521240234375</v>
      </c>
      <c r="K101" t="s">
        <v>341</v>
      </c>
      <c r="L101" t="str">
        <f>IFERROR(VLOOKUP(Table6[[#This Row],[Country]],Table7[],2,FALSE),Table6[[#This Row],[Country]])</f>
        <v>Lithuania</v>
      </c>
      <c r="M101">
        <f>IFERROR(VLOOKUP(Table6[[#This Row],[Country]],Table1[],2,FALSE),0)</f>
        <v>6.0859842300415039</v>
      </c>
      <c r="N101">
        <f>IF(ROW(Table6[[#This Row],[ID]])=2,1,IFERROR(N100*SIGN(MATCH(Table6[[#This Row],[Country]],F:F,0)),N100+1))</f>
        <v>99</v>
      </c>
    </row>
    <row r="102" spans="1:14" x14ac:dyDescent="0.35">
      <c r="A102" s="20" t="s">
        <v>416</v>
      </c>
      <c r="B102" s="22">
        <v>4.2523036003112793</v>
      </c>
      <c r="K102" t="s">
        <v>343</v>
      </c>
      <c r="L102" t="str">
        <f>IFERROR(VLOOKUP(Table6[[#This Row],[Country]],Table7[],2,FALSE),Table6[[#This Row],[Country]])</f>
        <v>Luxembourg</v>
      </c>
      <c r="M102">
        <f>IFERROR(VLOOKUP(Table6[[#This Row],[Country]],Table1[],2,FALSE),0)</f>
        <v>0</v>
      </c>
      <c r="N102">
        <f>IF(ROW(Table6[[#This Row],[ID]])=2,1,IFERROR(N101*SIGN(MATCH(Table6[[#This Row],[Country]],F:F,0)),N101+1))</f>
        <v>100</v>
      </c>
    </row>
    <row r="103" spans="1:14" x14ac:dyDescent="0.35">
      <c r="A103" s="20" t="s">
        <v>238</v>
      </c>
      <c r="B103" s="22">
        <v>4.2401094436645508</v>
      </c>
      <c r="K103" t="s">
        <v>344</v>
      </c>
      <c r="L103" t="str">
        <f>IFERROR(VLOOKUP(Table6[[#This Row],[Country]],Table7[],2,FALSE),Table6[[#This Row],[Country]])</f>
        <v>Madagascar</v>
      </c>
      <c r="M103">
        <f>IFERROR(VLOOKUP(Table6[[#This Row],[Country]],Table1[],2,FALSE),0)</f>
        <v>4.5727553367614746</v>
      </c>
      <c r="N103">
        <f>IF(ROW(Table6[[#This Row],[ID]])=2,1,IFERROR(N102*SIGN(MATCH(Table6[[#This Row],[Country]],F:F,0)),N102+1))</f>
        <v>101</v>
      </c>
    </row>
    <row r="104" spans="1:14" x14ac:dyDescent="0.35">
      <c r="A104" s="20" t="s">
        <v>290</v>
      </c>
      <c r="B104" s="22">
        <v>4.188868522644043</v>
      </c>
      <c r="K104" t="s">
        <v>164</v>
      </c>
      <c r="L104" t="str">
        <f>IFERROR(VLOOKUP(Table6[[#This Row],[Country]],Table7[],2,FALSE),Table6[[#This Row],[Country]])</f>
        <v>Malawi</v>
      </c>
      <c r="M104">
        <f>IFERROR(VLOOKUP(Table6[[#This Row],[Country]],Table1[],2,FALSE),0)</f>
        <v>4.8654842376708984</v>
      </c>
      <c r="N104">
        <f>IF(ROW(Table6[[#This Row],[ID]])=2,1,IFERROR(N103*SIGN(MATCH(Table6[[#This Row],[Country]],F:F,0)),N103+1))</f>
        <v>102</v>
      </c>
    </row>
    <row r="105" spans="1:14" x14ac:dyDescent="0.35">
      <c r="A105" s="20" t="s">
        <v>120</v>
      </c>
      <c r="B105" s="22">
        <v>4.1787476539611816</v>
      </c>
      <c r="K105" t="s">
        <v>72</v>
      </c>
      <c r="L105" t="str">
        <f>IFERROR(VLOOKUP(Table6[[#This Row],[Country]],Table7[],2,FALSE),Table6[[#This Row],[Country]])</f>
        <v>Malaysia</v>
      </c>
      <c r="M105">
        <f>IFERROR(VLOOKUP(Table6[[#This Row],[Country]],Table1[],2,FALSE),0)</f>
        <v>6.2550435066223136</v>
      </c>
      <c r="N105">
        <f>IF(ROW(Table6[[#This Row],[ID]])=2,1,IFERROR(N104*SIGN(MATCH(Table6[[#This Row],[Country]],F:F,0)),N104+1))</f>
        <v>103</v>
      </c>
    </row>
    <row r="106" spans="1:14" x14ac:dyDescent="0.35">
      <c r="A106" s="20" t="s">
        <v>465</v>
      </c>
      <c r="B106" s="22">
        <v>4.1515140533447266</v>
      </c>
      <c r="K106" t="s">
        <v>347</v>
      </c>
      <c r="L106" t="str">
        <f>IFERROR(VLOOKUP(Table6[[#This Row],[Country]],Table7[],2,FALSE),Table6[[#This Row],[Country]])</f>
        <v>Maldives</v>
      </c>
      <c r="M106">
        <f>IFERROR(VLOOKUP(Table6[[#This Row],[Country]],Table1[],2,FALSE),0)</f>
        <v>0</v>
      </c>
      <c r="N106">
        <f>IF(ROW(Table6[[#This Row],[ID]])=2,1,IFERROR(N105*SIGN(MATCH(Table6[[#This Row],[Country]],F:F,0)),N105+1))</f>
        <v>104</v>
      </c>
    </row>
    <row r="107" spans="1:14" x14ac:dyDescent="0.35">
      <c r="A107" s="20" t="s">
        <v>109</v>
      </c>
      <c r="B107" s="22">
        <v>4.1365485191345206</v>
      </c>
      <c r="K107" t="s">
        <v>349</v>
      </c>
      <c r="L107" t="str">
        <f>IFERROR(VLOOKUP(Table6[[#This Row],[Country]],Table7[],2,FALSE),Table6[[#This Row],[Country]])</f>
        <v>Mali</v>
      </c>
      <c r="M107">
        <f>IFERROR(VLOOKUP(Table6[[#This Row],[Country]],Table1[],2,FALSE),0)</f>
        <v>5.2330904006958008</v>
      </c>
      <c r="N107">
        <f>IF(ROW(Table6[[#This Row],[ID]])=2,1,IFERROR(N106*SIGN(MATCH(Table6[[#This Row],[Country]],F:F,0)),N106+1))</f>
        <v>105</v>
      </c>
    </row>
    <row r="108" spans="1:14" x14ac:dyDescent="0.35">
      <c r="A108" s="20" t="s">
        <v>259</v>
      </c>
      <c r="B108" s="22">
        <v>4.1133513450622559</v>
      </c>
      <c r="K108" t="s">
        <v>350</v>
      </c>
      <c r="L108" t="str">
        <f>IFERROR(VLOOKUP(Table6[[#This Row],[Country]],Table7[],2,FALSE),Table6[[#This Row],[Country]])</f>
        <v>Malta</v>
      </c>
      <c r="M108">
        <f>IFERROR(VLOOKUP(Table6[[#This Row],[Country]],Table1[],2,FALSE),0)</f>
        <v>0</v>
      </c>
      <c r="N108">
        <f>IF(ROW(Table6[[#This Row],[ID]])=2,1,IFERROR(N107*SIGN(MATCH(Table6[[#This Row],[Country]],F:F,0)),N107+1))</f>
        <v>106</v>
      </c>
    </row>
    <row r="109" spans="1:14" x14ac:dyDescent="0.35">
      <c r="A109" s="20" t="s">
        <v>638</v>
      </c>
      <c r="B109" s="22">
        <v>4.0675201416015634</v>
      </c>
      <c r="K109" t="s">
        <v>352</v>
      </c>
      <c r="L109" t="str">
        <f>IFERROR(VLOOKUP(Table6[[#This Row],[Country]],Table7[],2,FALSE),Table6[[#This Row],[Country]])</f>
        <v>Marshall Islands</v>
      </c>
      <c r="M109">
        <f>IFERROR(VLOOKUP(Table6[[#This Row],[Country]],Table1[],2,FALSE),0)</f>
        <v>0</v>
      </c>
      <c r="N109">
        <f>IF(ROW(Table6[[#This Row],[ID]])=2,1,IFERROR(N108*SIGN(MATCH(Table6[[#This Row],[Country]],F:F,0)),N108+1))</f>
        <v>107</v>
      </c>
    </row>
    <row r="110" spans="1:14" x14ac:dyDescent="0.35">
      <c r="A110" s="20" t="s">
        <v>362</v>
      </c>
      <c r="B110" s="22">
        <v>4.044466495513916</v>
      </c>
      <c r="K110" t="s">
        <v>354</v>
      </c>
      <c r="L110" t="str">
        <f>IFERROR(VLOOKUP(Table6[[#This Row],[Country]],Table7[],2,FALSE),Table6[[#This Row],[Country]])</f>
        <v>Mauritania</v>
      </c>
      <c r="M110">
        <f>IFERROR(VLOOKUP(Table6[[#This Row],[Country]],Table1[],2,FALSE),0)</f>
        <v>32.015483856201172</v>
      </c>
      <c r="N110">
        <f>IF(ROW(Table6[[#This Row],[ID]])=2,1,IFERROR(N109*SIGN(MATCH(Table6[[#This Row],[Country]],F:F,0)),N109+1))</f>
        <v>108</v>
      </c>
    </row>
    <row r="111" spans="1:14" x14ac:dyDescent="0.35">
      <c r="A111" s="20" t="s">
        <v>286</v>
      </c>
      <c r="B111" s="22">
        <v>4.0234532356262207</v>
      </c>
      <c r="K111" t="s">
        <v>355</v>
      </c>
      <c r="L111" t="str">
        <f>IFERROR(VLOOKUP(Table6[[#This Row],[Country]],Table7[],2,FALSE),Table6[[#This Row],[Country]])</f>
        <v>Mauritius</v>
      </c>
      <c r="M111">
        <f>IFERROR(VLOOKUP(Table6[[#This Row],[Country]],Table1[],2,FALSE),0)</f>
        <v>1.5071233510971069</v>
      </c>
      <c r="N111">
        <f>IF(ROW(Table6[[#This Row],[ID]])=2,1,IFERROR(N110*SIGN(MATCH(Table6[[#This Row],[Country]],F:F,0)),N110+1))</f>
        <v>109</v>
      </c>
    </row>
    <row r="112" spans="1:14" x14ac:dyDescent="0.35">
      <c r="A112" s="20" t="s">
        <v>97</v>
      </c>
      <c r="B112" s="22">
        <v>4.0098066329956046</v>
      </c>
      <c r="K112" t="s">
        <v>356</v>
      </c>
      <c r="L112" t="str">
        <f>IFERROR(VLOOKUP(Table6[[#This Row],[Country]],Table7[],2,FALSE),Table6[[#This Row],[Country]])</f>
        <v>Mexico</v>
      </c>
      <c r="M112">
        <f>IFERROR(VLOOKUP(Table6[[#This Row],[Country]],Table1[],2,FALSE),0)</f>
        <v>6.5893306732177734</v>
      </c>
      <c r="N112">
        <f>IF(ROW(Table6[[#This Row],[ID]])=2,1,IFERROR(N111*SIGN(MATCH(Table6[[#This Row],[Country]],F:F,0)),N111+1))</f>
        <v>110</v>
      </c>
    </row>
    <row r="113" spans="1:14" x14ac:dyDescent="0.35">
      <c r="A113" s="20" t="s">
        <v>447</v>
      </c>
      <c r="B113" s="22">
        <v>3.9744329452514648</v>
      </c>
      <c r="K113" t="s">
        <v>358</v>
      </c>
      <c r="L113" t="str">
        <f>IFERROR(VLOOKUP(Table6[[#This Row],[Country]],Table7[],2,FALSE),Table6[[#This Row],[Country]])</f>
        <v>Moldova</v>
      </c>
      <c r="M113">
        <f>IFERROR(VLOOKUP(Table6[[#This Row],[Country]],Table1[],2,FALSE),0)</f>
        <v>9.4740686416625977</v>
      </c>
      <c r="N113">
        <f>IF(ROW(Table6[[#This Row],[ID]])=2,1,IFERROR(N112*SIGN(MATCH(Table6[[#This Row],[Country]],F:F,0)),N112+1))</f>
        <v>111</v>
      </c>
    </row>
    <row r="114" spans="1:14" x14ac:dyDescent="0.35">
      <c r="A114" s="20" t="s">
        <v>408</v>
      </c>
      <c r="B114" s="22">
        <v>3.8138153553009029</v>
      </c>
      <c r="K114" t="s">
        <v>360</v>
      </c>
      <c r="L114" t="str">
        <f>IFERROR(VLOOKUP(Table6[[#This Row],[Country]],Table7[],2,FALSE),Table6[[#This Row],[Country]])</f>
        <v>Monaco</v>
      </c>
      <c r="M114">
        <f>IFERROR(VLOOKUP(Table6[[#This Row],[Country]],Table1[],2,FALSE),0)</f>
        <v>0</v>
      </c>
      <c r="N114">
        <f>IF(ROW(Table6[[#This Row],[ID]])=2,1,IFERROR(N113*SIGN(MATCH(Table6[[#This Row],[Country]],F:F,0)),N113+1))</f>
        <v>112</v>
      </c>
    </row>
    <row r="115" spans="1:14" x14ac:dyDescent="0.35">
      <c r="A115" s="20" t="s">
        <v>310</v>
      </c>
      <c r="B115" s="22">
        <v>3.792859554290771</v>
      </c>
      <c r="K115" t="s">
        <v>362</v>
      </c>
      <c r="L115" t="str">
        <f>IFERROR(VLOOKUP(Table6[[#This Row],[Country]],Table7[],2,FALSE),Table6[[#This Row],[Country]])</f>
        <v>Mongolia</v>
      </c>
      <c r="M115">
        <f>IFERROR(VLOOKUP(Table6[[#This Row],[Country]],Table1[],2,FALSE),0)</f>
        <v>4.044466495513916</v>
      </c>
      <c r="N115">
        <f>IF(ROW(Table6[[#This Row],[ID]])=2,1,IFERROR(N114*SIGN(MATCH(Table6[[#This Row],[Country]],F:F,0)),N114+1))</f>
        <v>113</v>
      </c>
    </row>
    <row r="116" spans="1:14" x14ac:dyDescent="0.35">
      <c r="A116" s="20" t="s">
        <v>201</v>
      </c>
      <c r="B116" s="22">
        <v>3.7013916969299321</v>
      </c>
      <c r="K116" t="s">
        <v>364</v>
      </c>
      <c r="L116" t="str">
        <f>IFERROR(VLOOKUP(Table6[[#This Row],[Country]],Table7[],2,FALSE),Table6[[#This Row],[Country]])</f>
        <v>Montenegro</v>
      </c>
      <c r="M116">
        <f>IFERROR(VLOOKUP(Table6[[#This Row],[Country]],Table1[],2,FALSE),0)</f>
        <v>0</v>
      </c>
      <c r="N116">
        <f>IF(ROW(Table6[[#This Row],[ID]])=2,1,IFERROR(N115*SIGN(MATCH(Table6[[#This Row],[Country]],F:F,0)),N115+1))</f>
        <v>114</v>
      </c>
    </row>
    <row r="117" spans="1:14" x14ac:dyDescent="0.35">
      <c r="A117" s="20" t="s">
        <v>261</v>
      </c>
      <c r="B117" s="22">
        <v>3.6043319702148442</v>
      </c>
      <c r="K117" t="s">
        <v>367</v>
      </c>
      <c r="L117" t="str">
        <f>IFERROR(VLOOKUP(Table6[[#This Row],[Country]],Table7[],2,FALSE),Table6[[#This Row],[Country]])</f>
        <v>Morocco</v>
      </c>
      <c r="M117">
        <f>IFERROR(VLOOKUP(Table6[[#This Row],[Country]],Table1[],2,FALSE),0)</f>
        <v>2.2922830581665039</v>
      </c>
      <c r="N117">
        <f>IF(ROW(Table6[[#This Row],[ID]])=2,1,IFERROR(N116*SIGN(MATCH(Table6[[#This Row],[Country]],F:F,0)),N116+1))</f>
        <v>115</v>
      </c>
    </row>
    <row r="118" spans="1:14" x14ac:dyDescent="0.35">
      <c r="A118" s="20" t="s">
        <v>437</v>
      </c>
      <c r="B118" s="22">
        <v>3.502935409545898</v>
      </c>
      <c r="K118" t="s">
        <v>369</v>
      </c>
      <c r="L118" t="str">
        <f>IFERROR(VLOOKUP(Table6[[#This Row],[Country]],Table7[],2,FALSE),Table6[[#This Row],[Country]])</f>
        <v>Mozambique</v>
      </c>
      <c r="M118">
        <f>IFERROR(VLOOKUP(Table6[[#This Row],[Country]],Table1[],2,FALSE),0)</f>
        <v>2.974953413009644</v>
      </c>
      <c r="N118">
        <f>IF(ROW(Table6[[#This Row],[ID]])=2,1,IFERROR(N117*SIGN(MATCH(Table6[[#This Row],[Country]],F:F,0)),N117+1))</f>
        <v>116</v>
      </c>
    </row>
    <row r="119" spans="1:14" x14ac:dyDescent="0.35">
      <c r="A119" s="20" t="s">
        <v>430</v>
      </c>
      <c r="B119" s="22">
        <v>3.4022395610809331</v>
      </c>
      <c r="K119" t="s">
        <v>370</v>
      </c>
      <c r="L119" t="str">
        <f>IFERROR(VLOOKUP(Table6[[#This Row],[Country]],Table7[],2,FALSE),Table6[[#This Row],[Country]])</f>
        <v>Myanmar</v>
      </c>
      <c r="M119">
        <f>IFERROR(VLOOKUP(Table6[[#This Row],[Country]],Table1[],2,FALSE),0)</f>
        <v>12.079667091369631</v>
      </c>
      <c r="N119">
        <f>IF(ROW(Table6[[#This Row],[ID]])=2,1,IFERROR(N118*SIGN(MATCH(Table6[[#This Row],[Country]],F:F,0)),N118+1))</f>
        <v>117</v>
      </c>
    </row>
    <row r="120" spans="1:14" x14ac:dyDescent="0.35">
      <c r="A120" s="20" t="s">
        <v>331</v>
      </c>
      <c r="B120" s="22">
        <v>3.378555059432983</v>
      </c>
      <c r="K120" t="s">
        <v>371</v>
      </c>
      <c r="L120" t="str">
        <f>IFERROR(VLOOKUP(Table6[[#This Row],[Country]],Table7[],2,FALSE),Table6[[#This Row],[Country]])</f>
        <v>Namibia</v>
      </c>
      <c r="M120">
        <f>IFERROR(VLOOKUP(Table6[[#This Row],[Country]],Table1[],2,FALSE),0)</f>
        <v>2.3513214588165279</v>
      </c>
      <c r="N120">
        <f>IF(ROW(Table6[[#This Row],[ID]])=2,1,IFERROR(N119*SIGN(MATCH(Table6[[#This Row],[Country]],F:F,0)),N119+1))</f>
        <v>118</v>
      </c>
    </row>
    <row r="121" spans="1:14" x14ac:dyDescent="0.35">
      <c r="A121" s="20" t="s">
        <v>458</v>
      </c>
      <c r="B121" s="22">
        <v>3.3498597145080571</v>
      </c>
      <c r="K121" t="s">
        <v>373</v>
      </c>
      <c r="L121" t="str">
        <f>IFERROR(VLOOKUP(Table6[[#This Row],[Country]],Table7[],2,FALSE),Table6[[#This Row],[Country]])</f>
        <v>Nauru</v>
      </c>
      <c r="M121">
        <f>IFERROR(VLOOKUP(Table6[[#This Row],[Country]],Table1[],2,FALSE),0)</f>
        <v>0</v>
      </c>
      <c r="N121">
        <f>IF(ROW(Table6[[#This Row],[ID]])=2,1,IFERROR(N120*SIGN(MATCH(Table6[[#This Row],[Country]],F:F,0)),N120+1))</f>
        <v>119</v>
      </c>
    </row>
    <row r="122" spans="1:14" x14ac:dyDescent="0.35">
      <c r="A122" s="20" t="s">
        <v>375</v>
      </c>
      <c r="B122" s="22">
        <v>3.3220434188842769</v>
      </c>
      <c r="K122" t="s">
        <v>375</v>
      </c>
      <c r="L122" t="str">
        <f>IFERROR(VLOOKUP(Table6[[#This Row],[Country]],Table7[],2,FALSE),Table6[[#This Row],[Country]])</f>
        <v>Nepal</v>
      </c>
      <c r="M122">
        <f>IFERROR(VLOOKUP(Table6[[#This Row],[Country]],Table1[],2,FALSE),0)</f>
        <v>3.3220434188842769</v>
      </c>
      <c r="N122">
        <f>IF(ROW(Table6[[#This Row],[ID]])=2,1,IFERROR(N121*SIGN(MATCH(Table6[[#This Row],[Country]],F:F,0)),N121+1))</f>
        <v>120</v>
      </c>
    </row>
    <row r="123" spans="1:14" x14ac:dyDescent="0.35">
      <c r="A123" s="20" t="s">
        <v>469</v>
      </c>
      <c r="B123" s="22">
        <v>3.29526686668396</v>
      </c>
      <c r="K123" t="s">
        <v>376</v>
      </c>
      <c r="L123" t="str">
        <f>IFERROR(VLOOKUP(Table6[[#This Row],[Country]],Table7[],2,FALSE),Table6[[#This Row],[Country]])</f>
        <v>Netherlands</v>
      </c>
      <c r="M123">
        <f>IFERROR(VLOOKUP(Table6[[#This Row],[Country]],Table1[],2,FALSE),0)</f>
        <v>0.56841355562210083</v>
      </c>
      <c r="N123">
        <f>IF(ROW(Table6[[#This Row],[ID]])=2,1,IFERROR(N122*SIGN(MATCH(Table6[[#This Row],[Country]],F:F,0)),N122+1))</f>
        <v>121</v>
      </c>
    </row>
    <row r="124" spans="1:14" x14ac:dyDescent="0.35">
      <c r="A124" s="20" t="s">
        <v>311</v>
      </c>
      <c r="B124" s="22">
        <v>3.26297926902771</v>
      </c>
      <c r="K124" t="s">
        <v>378</v>
      </c>
      <c r="L124" t="str">
        <f>IFERROR(VLOOKUP(Table6[[#This Row],[Country]],Table7[],2,FALSE),Table6[[#This Row],[Country]])</f>
        <v>New Zealand</v>
      </c>
      <c r="M124">
        <f>IFERROR(VLOOKUP(Table6[[#This Row],[Country]],Table1[],2,FALSE),0)</f>
        <v>1.611743211746216</v>
      </c>
      <c r="N124">
        <f>IF(ROW(Table6[[#This Row],[ID]])=2,1,IFERROR(N123*SIGN(MATCH(Table6[[#This Row],[Country]],F:F,0)),N123+1))</f>
        <v>122</v>
      </c>
    </row>
    <row r="125" spans="1:14" x14ac:dyDescent="0.35">
      <c r="A125" s="20" t="s">
        <v>228</v>
      </c>
      <c r="B125" s="22">
        <v>3.1939973831176758</v>
      </c>
      <c r="K125" t="s">
        <v>380</v>
      </c>
      <c r="L125" t="str">
        <f>IFERROR(VLOOKUP(Table6[[#This Row],[Country]],Table7[],2,FALSE),Table6[[#This Row],[Country]])</f>
        <v>Nicaragua</v>
      </c>
      <c r="M125">
        <f>IFERROR(VLOOKUP(Table6[[#This Row],[Country]],Table1[],2,FALSE),0)</f>
        <v>7.3434171676635742</v>
      </c>
      <c r="N125">
        <f>IF(ROW(Table6[[#This Row],[ID]])=2,1,IFERROR(N124*SIGN(MATCH(Table6[[#This Row],[Country]],F:F,0)),N124+1))</f>
        <v>123</v>
      </c>
    </row>
    <row r="126" spans="1:14" x14ac:dyDescent="0.35">
      <c r="A126" s="20" t="s">
        <v>222</v>
      </c>
      <c r="B126" s="22">
        <v>3.1733758449554439</v>
      </c>
      <c r="K126" t="s">
        <v>382</v>
      </c>
      <c r="L126" t="str">
        <f>IFERROR(VLOOKUP(Table6[[#This Row],[Country]],Table7[],2,FALSE),Table6[[#This Row],[Country]])</f>
        <v>Niger</v>
      </c>
      <c r="M126">
        <f>IFERROR(VLOOKUP(Table6[[#This Row],[Country]],Table1[],2,FALSE),0)</f>
        <v>4.6451253890991211</v>
      </c>
      <c r="N126">
        <f>IF(ROW(Table6[[#This Row],[ID]])=2,1,IFERROR(N125*SIGN(MATCH(Table6[[#This Row],[Country]],F:F,0)),N125+1))</f>
        <v>124</v>
      </c>
    </row>
    <row r="127" spans="1:14" x14ac:dyDescent="0.35">
      <c r="A127" s="20" t="s">
        <v>335</v>
      </c>
      <c r="B127" s="22">
        <v>3.14580249786377</v>
      </c>
      <c r="K127" t="s">
        <v>384</v>
      </c>
      <c r="L127" t="str">
        <f>IFERROR(VLOOKUP(Table6[[#This Row],[Country]],Table7[],2,FALSE),Table6[[#This Row],[Country]])</f>
        <v>Nigeria</v>
      </c>
      <c r="M127">
        <f>IFERROR(VLOOKUP(Table6[[#This Row],[Country]],Table1[],2,FALSE),0)</f>
        <v>7.8147635459899902</v>
      </c>
      <c r="N127">
        <f>IF(ROW(Table6[[#This Row],[ID]])=2,1,IFERROR(N126*SIGN(MATCH(Table6[[#This Row],[Country]],F:F,0)),N126+1))</f>
        <v>125</v>
      </c>
    </row>
    <row r="128" spans="1:14" x14ac:dyDescent="0.35">
      <c r="A128" s="20" t="s">
        <v>173</v>
      </c>
      <c r="B128" s="22">
        <v>3.0427854061126709</v>
      </c>
      <c r="K128" t="s">
        <v>386</v>
      </c>
      <c r="L128" t="str">
        <f>IFERROR(VLOOKUP(Table6[[#This Row],[Country]],Table7[],2,FALSE),Table6[[#This Row],[Country]])</f>
        <v>North Korea</v>
      </c>
      <c r="M128">
        <f>IFERROR(VLOOKUP(Table6[[#This Row],[Country]],Table1[],2,FALSE),0)</f>
        <v>104.6</v>
      </c>
      <c r="N128">
        <f>IF(ROW(Table6[[#This Row],[ID]])=2,1,IFERROR(N127*SIGN(MATCH(Table6[[#This Row],[Country]],F:F,0)),N127+1))</f>
        <v>126</v>
      </c>
    </row>
    <row r="129" spans="1:14" x14ac:dyDescent="0.35">
      <c r="A129" s="20" t="s">
        <v>369</v>
      </c>
      <c r="B129" s="22">
        <v>2.974953413009644</v>
      </c>
      <c r="K129" t="s">
        <v>389</v>
      </c>
      <c r="L129" t="str">
        <f>IFERROR(VLOOKUP(Table6[[#This Row],[Country]],Table7[],2,FALSE),Table6[[#This Row],[Country]])</f>
        <v>North Macedonia</v>
      </c>
      <c r="M129">
        <f>IFERROR(VLOOKUP(Table6[[#This Row],[Country]],Table1[],2,FALSE),0)</f>
        <v>12.602495193481451</v>
      </c>
      <c r="N129">
        <f>IF(ROW(Table6[[#This Row],[ID]])=2,1,IFERROR(N128*SIGN(MATCH(Table6[[#This Row],[Country]],F:F,0)),N128+1))</f>
        <v>127</v>
      </c>
    </row>
    <row r="130" spans="1:14" x14ac:dyDescent="0.35">
      <c r="A130" s="20" t="s">
        <v>425</v>
      </c>
      <c r="B130" s="22">
        <v>2.9419021606445308</v>
      </c>
      <c r="K130" t="s">
        <v>392</v>
      </c>
      <c r="L130" t="str">
        <f>IFERROR(VLOOKUP(Table6[[#This Row],[Country]],Table7[],2,FALSE),Table6[[#This Row],[Country]])</f>
        <v>Norway</v>
      </c>
      <c r="M130">
        <f>IFERROR(VLOOKUP(Table6[[#This Row],[Country]],Table1[],2,FALSE),0)</f>
        <v>0.51513570547103882</v>
      </c>
      <c r="N130">
        <f>IF(ROW(Table6[[#This Row],[ID]])=2,1,IFERROR(N129*SIGN(MATCH(Table6[[#This Row],[Country]],F:F,0)),N129+1))</f>
        <v>128</v>
      </c>
    </row>
    <row r="131" spans="1:14" x14ac:dyDescent="0.35">
      <c r="A131" s="20" t="s">
        <v>150</v>
      </c>
      <c r="B131" s="22">
        <v>2.9325580596923828</v>
      </c>
      <c r="K131" t="s">
        <v>394</v>
      </c>
      <c r="L131" t="str">
        <f>IFERROR(VLOOKUP(Table6[[#This Row],[Country]],Table7[],2,FALSE),Table6[[#This Row],[Country]])</f>
        <v>Oman</v>
      </c>
      <c r="M131">
        <f>IFERROR(VLOOKUP(Table6[[#This Row],[Country]],Table1[],2,FALSE),0)</f>
        <v>6.5004955358003986</v>
      </c>
      <c r="N131">
        <f>IF(ROW(Table6[[#This Row],[ID]])=2,1,IFERROR(N130*SIGN(MATCH(Table6[[#This Row],[Country]],F:F,0)),N130+1))</f>
        <v>129</v>
      </c>
    </row>
    <row r="132" spans="1:14" x14ac:dyDescent="0.35">
      <c r="A132" s="20" t="s">
        <v>456</v>
      </c>
      <c r="B132" s="22">
        <v>2.85969066619873</v>
      </c>
      <c r="K132" t="s">
        <v>397</v>
      </c>
      <c r="L132" t="str">
        <f>IFERROR(VLOOKUP(Table6[[#This Row],[Country]],Table7[],2,FALSE),Table6[[#This Row],[Country]])</f>
        <v>Pakistan</v>
      </c>
      <c r="M132">
        <f>IFERROR(VLOOKUP(Table6[[#This Row],[Country]],Table1[],2,FALSE),0)</f>
        <v>10.63333225250244</v>
      </c>
      <c r="N132">
        <f>IF(ROW(Table6[[#This Row],[ID]])=2,1,IFERROR(N131*SIGN(MATCH(Table6[[#This Row],[Country]],F:F,0)),N131+1))</f>
        <v>130</v>
      </c>
    </row>
    <row r="133" spans="1:14" x14ac:dyDescent="0.35">
      <c r="A133" s="20" t="s">
        <v>296</v>
      </c>
      <c r="B133" s="22">
        <v>2.762860774993896</v>
      </c>
      <c r="K133" t="s">
        <v>399</v>
      </c>
      <c r="L133" t="str">
        <f>IFERROR(VLOOKUP(Table6[[#This Row],[Country]],Table7[],2,FALSE),Table6[[#This Row],[Country]])</f>
        <v>Palau</v>
      </c>
      <c r="M133">
        <f>IFERROR(VLOOKUP(Table6[[#This Row],[Country]],Table1[],2,FALSE),0)</f>
        <v>0</v>
      </c>
      <c r="N133">
        <f>IF(ROW(Table6[[#This Row],[ID]])=2,1,IFERROR(N132*SIGN(MATCH(Table6[[#This Row],[Country]],F:F,0)),N132+1))</f>
        <v>131</v>
      </c>
    </row>
    <row r="134" spans="1:14" x14ac:dyDescent="0.35">
      <c r="A134" s="20" t="s">
        <v>436</v>
      </c>
      <c r="B134" s="22">
        <v>2.6624982357025151</v>
      </c>
      <c r="K134" t="s">
        <v>400</v>
      </c>
      <c r="L134" t="str">
        <f>IFERROR(VLOOKUP(Table6[[#This Row],[Country]],Table7[],2,FALSE),Table6[[#This Row],[Country]])</f>
        <v>Panama</v>
      </c>
      <c r="M134">
        <f>IFERROR(VLOOKUP(Table6[[#This Row],[Country]],Table1[],2,FALSE),0)</f>
        <v>4.6619625091552734</v>
      </c>
      <c r="N134">
        <f>IF(ROW(Table6[[#This Row],[ID]])=2,1,IFERROR(N133*SIGN(MATCH(Table6[[#This Row],[Country]],F:F,0)),N133+1))</f>
        <v>132</v>
      </c>
    </row>
    <row r="135" spans="1:14" x14ac:dyDescent="0.35">
      <c r="A135" s="20" t="s">
        <v>371</v>
      </c>
      <c r="B135" s="22">
        <v>2.3513214588165279</v>
      </c>
      <c r="K135" t="s">
        <v>402</v>
      </c>
      <c r="L135" t="str">
        <f>IFERROR(VLOOKUP(Table6[[#This Row],[Country]],Table7[],2,FALSE),Table6[[#This Row],[Country]])</f>
        <v>Papua New Guinea</v>
      </c>
      <c r="M135">
        <f>IFERROR(VLOOKUP(Table6[[#This Row],[Country]],Table1[],2,FALSE),0)</f>
        <v>10.346175193786619</v>
      </c>
      <c r="N135">
        <f>IF(ROW(Table6[[#This Row],[ID]])=2,1,IFERROR(N134*SIGN(MATCH(Table6[[#This Row],[Country]],F:F,0)),N134+1))</f>
        <v>133</v>
      </c>
    </row>
    <row r="136" spans="1:14" x14ac:dyDescent="0.35">
      <c r="A136" s="20" t="s">
        <v>461</v>
      </c>
      <c r="B136" s="22">
        <v>2.3166627883911128</v>
      </c>
      <c r="K136" t="s">
        <v>403</v>
      </c>
      <c r="L136" t="str">
        <f>IFERROR(VLOOKUP(Table6[[#This Row],[Country]],Table7[],2,FALSE),Table6[[#This Row],[Country]])</f>
        <v>Paraguay</v>
      </c>
      <c r="M136">
        <f>IFERROR(VLOOKUP(Table6[[#This Row],[Country]],Table1[],2,FALSE),0)</f>
        <v>6.4171395301818848</v>
      </c>
      <c r="N136">
        <f>IF(ROW(Table6[[#This Row],[ID]])=2,1,IFERROR(N135*SIGN(MATCH(Table6[[#This Row],[Country]],F:F,0)),N135+1))</f>
        <v>134</v>
      </c>
    </row>
    <row r="137" spans="1:14" x14ac:dyDescent="0.35">
      <c r="A137" s="20" t="s">
        <v>439</v>
      </c>
      <c r="B137" s="22">
        <v>2.312372207641602</v>
      </c>
      <c r="K137" t="s">
        <v>405</v>
      </c>
      <c r="L137" t="str">
        <f>IFERROR(VLOOKUP(Table6[[#This Row],[Country]],Table7[],2,FALSE),Table6[[#This Row],[Country]])</f>
        <v>Peru</v>
      </c>
      <c r="M137">
        <f>IFERROR(VLOOKUP(Table6[[#This Row],[Country]],Table1[],2,FALSE),0)</f>
        <v>7.0985183715820313</v>
      </c>
      <c r="N137">
        <f>IF(ROW(Table6[[#This Row],[ID]])=2,1,IFERROR(N136*SIGN(MATCH(Table6[[#This Row],[Country]],F:F,0)),N136+1))</f>
        <v>135</v>
      </c>
    </row>
    <row r="138" spans="1:14" x14ac:dyDescent="0.35">
      <c r="A138" s="20" t="s">
        <v>367</v>
      </c>
      <c r="B138" s="22">
        <v>2.2922830581665039</v>
      </c>
      <c r="K138" t="s">
        <v>182</v>
      </c>
      <c r="L138" t="str">
        <f>IFERROR(VLOOKUP(Table6[[#This Row],[Country]],Table7[],2,FALSE),Table6[[#This Row],[Country]])</f>
        <v>Philippines</v>
      </c>
      <c r="M138">
        <f>IFERROR(VLOOKUP(Table6[[#This Row],[Country]],Table1[],2,FALSE),0)</f>
        <v>7.8424558639526367</v>
      </c>
      <c r="N138">
        <f>IF(ROW(Table6[[#This Row],[ID]])=2,1,IFERROR(N137*SIGN(MATCH(Table6[[#This Row],[Country]],F:F,0)),N137+1))</f>
        <v>136</v>
      </c>
    </row>
    <row r="139" spans="1:14" x14ac:dyDescent="0.35">
      <c r="A139" s="20" t="s">
        <v>431</v>
      </c>
      <c r="B139" s="22">
        <v>2.1335029602050781</v>
      </c>
      <c r="K139" t="s">
        <v>407</v>
      </c>
      <c r="L139" t="str">
        <f>IFERROR(VLOOKUP(Table6[[#This Row],[Country]],Table7[],2,FALSE),Table6[[#This Row],[Country]])</f>
        <v>Poland</v>
      </c>
      <c r="M139">
        <f>IFERROR(VLOOKUP(Table6[[#This Row],[Country]],Table1[],2,FALSE),0)</f>
        <v>5.5102720260620117</v>
      </c>
      <c r="N139">
        <f>IF(ROW(Table6[[#This Row],[ID]])=2,1,IFERROR(N138*SIGN(MATCH(Table6[[#This Row],[Country]],F:F,0)),N138+1))</f>
        <v>137</v>
      </c>
    </row>
    <row r="140" spans="1:14" x14ac:dyDescent="0.35">
      <c r="A140" s="20" t="s">
        <v>271</v>
      </c>
      <c r="B140" s="22">
        <v>2.0612716674804692</v>
      </c>
      <c r="K140" t="s">
        <v>408</v>
      </c>
      <c r="L140" t="str">
        <f>IFERROR(VLOOKUP(Table6[[#This Row],[Country]],Table7[],2,FALSE),Table6[[#This Row],[Country]])</f>
        <v>Portugal</v>
      </c>
      <c r="M140">
        <f>IFERROR(VLOOKUP(Table6[[#This Row],[Country]],Table1[],2,FALSE),0)</f>
        <v>3.8138153553009029</v>
      </c>
      <c r="N140">
        <f>IF(ROW(Table6[[#This Row],[ID]])=2,1,IFERROR(N139*SIGN(MATCH(Table6[[#This Row],[Country]],F:F,0)),N139+1))</f>
        <v>138</v>
      </c>
    </row>
    <row r="141" spans="1:14" x14ac:dyDescent="0.35">
      <c r="A141" s="20" t="s">
        <v>100</v>
      </c>
      <c r="B141" s="22">
        <v>1.922730684280396</v>
      </c>
      <c r="K141" t="s">
        <v>410</v>
      </c>
      <c r="L141" t="str">
        <f>IFERROR(VLOOKUP(Table6[[#This Row],[Country]],Table7[],2,FALSE),Table6[[#This Row],[Country]])</f>
        <v>Qatar</v>
      </c>
      <c r="M141">
        <f>IFERROR(VLOOKUP(Table6[[#This Row],[Country]],Table1[],2,FALSE),0)</f>
        <v>6.8045035628270476</v>
      </c>
      <c r="N141">
        <f>IF(ROW(Table6[[#This Row],[ID]])=2,1,IFERROR(N140*SIGN(MATCH(Table6[[#This Row],[Country]],F:F,0)),N140+1))</f>
        <v>139</v>
      </c>
    </row>
    <row r="142" spans="1:14" x14ac:dyDescent="0.35">
      <c r="A142" s="20" t="s">
        <v>470</v>
      </c>
      <c r="B142" s="22">
        <v>1.888077855110168</v>
      </c>
      <c r="K142" t="s">
        <v>413</v>
      </c>
      <c r="L142" t="str">
        <f>IFERROR(VLOOKUP(Table6[[#This Row],[Country]],Table7[],2,FALSE),Table6[[#This Row],[Country]])</f>
        <v>Romania</v>
      </c>
      <c r="M142">
        <f>IFERROR(VLOOKUP(Table6[[#This Row],[Country]],Table1[],2,FALSE),0)</f>
        <v>7.5499615669250488</v>
      </c>
      <c r="N142">
        <f>IF(ROW(Table6[[#This Row],[ID]])=2,1,IFERROR(N141*SIGN(MATCH(Table6[[#This Row],[Country]],F:F,0)),N141+1))</f>
        <v>140</v>
      </c>
    </row>
    <row r="143" spans="1:14" x14ac:dyDescent="0.35">
      <c r="A143" s="20" t="s">
        <v>133</v>
      </c>
      <c r="B143" s="22">
        <v>1.855276346206665</v>
      </c>
      <c r="K143" t="s">
        <v>414</v>
      </c>
      <c r="L143" t="str">
        <f>IFERROR(VLOOKUP(Table6[[#This Row],[Country]],Table7[],2,FALSE),Table6[[#This Row],[Country]])</f>
        <v>Russia</v>
      </c>
      <c r="M143">
        <f>IFERROR(VLOOKUP(Table6[[#This Row],[Country]],Table1[],2,FALSE),0)</f>
        <v>13.015791893005369</v>
      </c>
      <c r="N143">
        <f>IF(ROW(Table6[[#This Row],[ID]])=2,1,IFERROR(N142*SIGN(MATCH(Table6[[#This Row],[Country]],F:F,0)),N142+1))</f>
        <v>141</v>
      </c>
    </row>
    <row r="144" spans="1:14" x14ac:dyDescent="0.35">
      <c r="A144" s="20" t="s">
        <v>190</v>
      </c>
      <c r="B144" s="22">
        <v>1.8428552150726321</v>
      </c>
      <c r="K144" t="s">
        <v>416</v>
      </c>
      <c r="L144" t="str">
        <f>IFERROR(VLOOKUP(Table6[[#This Row],[Country]],Table7[],2,FALSE),Table6[[#This Row],[Country]])</f>
        <v>Rwanda</v>
      </c>
      <c r="M144">
        <f>IFERROR(VLOOKUP(Table6[[#This Row],[Country]],Table1[],2,FALSE),0)</f>
        <v>4.2523036003112793</v>
      </c>
      <c r="N144">
        <f>IF(ROW(Table6[[#This Row],[ID]])=2,1,IFERROR(N143*SIGN(MATCH(Table6[[#This Row],[Country]],F:F,0)),N143+1))</f>
        <v>142</v>
      </c>
    </row>
    <row r="145" spans="1:14" x14ac:dyDescent="0.35">
      <c r="A145" s="20" t="s">
        <v>210</v>
      </c>
      <c r="B145" s="22">
        <v>1.82606041431427</v>
      </c>
      <c r="K145" t="s">
        <v>418</v>
      </c>
      <c r="L145" t="str">
        <f>IFERROR(VLOOKUP(Table6[[#This Row],[Country]],Table7[],2,FALSE),Table6[[#This Row],[Country]])</f>
        <v>Samoa</v>
      </c>
      <c r="M145">
        <f>IFERROR(VLOOKUP(Table6[[#This Row],[Country]],Table1[],2,FALSE),0)</f>
        <v>0</v>
      </c>
      <c r="N145">
        <f>IF(ROW(Table6[[#This Row],[ID]])=2,1,IFERROR(N144*SIGN(MATCH(Table6[[#This Row],[Country]],F:F,0)),N144+1))</f>
        <v>143</v>
      </c>
    </row>
    <row r="146" spans="1:14" x14ac:dyDescent="0.35">
      <c r="A146" s="20" t="s">
        <v>468</v>
      </c>
      <c r="B146" s="22">
        <v>1.803719639778137</v>
      </c>
      <c r="K146" t="s">
        <v>420</v>
      </c>
      <c r="L146" t="str">
        <f>IFERROR(VLOOKUP(Table6[[#This Row],[Country]],Table7[],2,FALSE),Table6[[#This Row],[Country]])</f>
        <v>San Marino</v>
      </c>
      <c r="M146">
        <f>IFERROR(VLOOKUP(Table6[[#This Row],[Country]],Table1[],2,FALSE),0)</f>
        <v>0</v>
      </c>
      <c r="N146">
        <f>IF(ROW(Table6[[#This Row],[ID]])=2,1,IFERROR(N145*SIGN(MATCH(Table6[[#This Row],[Country]],F:F,0)),N145+1))</f>
        <v>144</v>
      </c>
    </row>
    <row r="147" spans="1:14" x14ac:dyDescent="0.35">
      <c r="A147" s="20" t="s">
        <v>454</v>
      </c>
      <c r="B147" s="22">
        <v>1.6852709054946899</v>
      </c>
      <c r="K147" t="s">
        <v>421</v>
      </c>
      <c r="L147" t="str">
        <f>IFERROR(VLOOKUP(Table6[[#This Row],[Country]],Table7[],2,FALSE),Table6[[#This Row],[Country]])</f>
        <v>Sao Tome and Principe</v>
      </c>
      <c r="M147">
        <f>IFERROR(VLOOKUP(Table6[[#This Row],[Country]],Table1[],2,FALSE),0)</f>
        <v>0</v>
      </c>
      <c r="N147">
        <f>IF(ROW(Table6[[#This Row],[ID]])=2,1,IFERROR(N146*SIGN(MATCH(Table6[[#This Row],[Country]],F:F,0)),N146+1))</f>
        <v>145</v>
      </c>
    </row>
    <row r="148" spans="1:14" x14ac:dyDescent="0.35">
      <c r="A148" s="20" t="s">
        <v>334</v>
      </c>
      <c r="B148" s="22">
        <v>1.6469483375549321</v>
      </c>
      <c r="K148" t="s">
        <v>423</v>
      </c>
      <c r="L148" t="str">
        <f>IFERROR(VLOOKUP(Table6[[#This Row],[Country]],Table7[],2,FALSE),Table6[[#This Row],[Country]])</f>
        <v>Saudi Arabia</v>
      </c>
      <c r="M148">
        <f>IFERROR(VLOOKUP(Table6[[#This Row],[Country]],Table1[],2,FALSE),0)</f>
        <v>21.261520559411871</v>
      </c>
      <c r="N148">
        <f>IF(ROW(Table6[[#This Row],[ID]])=2,1,IFERROR(N147*SIGN(MATCH(Table6[[#This Row],[Country]],F:F,0)),N147+1))</f>
        <v>146</v>
      </c>
    </row>
    <row r="149" spans="1:14" x14ac:dyDescent="0.35">
      <c r="A149" s="20" t="s">
        <v>378</v>
      </c>
      <c r="B149" s="22">
        <v>1.611743211746216</v>
      </c>
      <c r="K149" t="s">
        <v>425</v>
      </c>
      <c r="L149" t="str">
        <f>IFERROR(VLOOKUP(Table6[[#This Row],[Country]],Table7[],2,FALSE),Table6[[#This Row],[Country]])</f>
        <v>Senegal</v>
      </c>
      <c r="M149">
        <f>IFERROR(VLOOKUP(Table6[[#This Row],[Country]],Table1[],2,FALSE),0)</f>
        <v>2.9419021606445308</v>
      </c>
      <c r="N149">
        <f>IF(ROW(Table6[[#This Row],[ID]])=2,1,IFERROR(N148*SIGN(MATCH(Table6[[#This Row],[Country]],F:F,0)),N148+1))</f>
        <v>147</v>
      </c>
    </row>
    <row r="150" spans="1:14" x14ac:dyDescent="0.35">
      <c r="A150" s="20" t="s">
        <v>128</v>
      </c>
      <c r="B150" s="22">
        <v>1.6095390319824221</v>
      </c>
      <c r="K150" t="s">
        <v>427</v>
      </c>
      <c r="L150" t="str">
        <f>IFERROR(VLOOKUP(Table6[[#This Row],[Country]],Table7[],2,FALSE),Table6[[#This Row],[Country]])</f>
        <v>Serbia</v>
      </c>
      <c r="M150">
        <f>IFERROR(VLOOKUP(Table6[[#This Row],[Country]],Table1[],2,FALSE),0)</f>
        <v>7.0155296325683594</v>
      </c>
      <c r="N150">
        <f>IF(ROW(Table6[[#This Row],[ID]])=2,1,IFERROR(N149*SIGN(MATCH(Table6[[#This Row],[Country]],F:F,0)),N149+1))</f>
        <v>148</v>
      </c>
    </row>
    <row r="151" spans="1:14" x14ac:dyDescent="0.35">
      <c r="A151" s="20" t="s">
        <v>355</v>
      </c>
      <c r="B151" s="22">
        <v>1.5071233510971069</v>
      </c>
      <c r="K151" t="s">
        <v>429</v>
      </c>
      <c r="L151" t="str">
        <f>IFERROR(VLOOKUP(Table6[[#This Row],[Country]],Table7[],2,FALSE),Table6[[#This Row],[Country]])</f>
        <v>Seychelles</v>
      </c>
      <c r="M151">
        <f>IFERROR(VLOOKUP(Table6[[#This Row],[Country]],Table1[],2,FALSE),0)</f>
        <v>0</v>
      </c>
      <c r="N151">
        <f>IF(ROW(Table6[[#This Row],[ID]])=2,1,IFERROR(N150*SIGN(MATCH(Table6[[#This Row],[Country]],F:F,0)),N150+1))</f>
        <v>149</v>
      </c>
    </row>
    <row r="152" spans="1:14" x14ac:dyDescent="0.35">
      <c r="A152" s="20" t="s">
        <v>270</v>
      </c>
      <c r="B152" s="22">
        <v>1.4125709533691411</v>
      </c>
      <c r="K152" t="s">
        <v>430</v>
      </c>
      <c r="L152" t="str">
        <f>IFERROR(VLOOKUP(Table6[[#This Row],[Country]],Table7[],2,FALSE),Table6[[#This Row],[Country]])</f>
        <v>Sierra Leone</v>
      </c>
      <c r="M152">
        <f>IFERROR(VLOOKUP(Table6[[#This Row],[Country]],Table1[],2,FALSE),0)</f>
        <v>3.4022395610809331</v>
      </c>
      <c r="N152">
        <f>IF(ROW(Table6[[#This Row],[ID]])=2,1,IFERROR(N151*SIGN(MATCH(Table6[[#This Row],[Country]],F:F,0)),N151+1))</f>
        <v>150</v>
      </c>
    </row>
    <row r="153" spans="1:14" x14ac:dyDescent="0.35">
      <c r="A153" s="20" t="s">
        <v>314</v>
      </c>
      <c r="B153" s="22">
        <v>1.1408095359802251</v>
      </c>
      <c r="K153" t="s">
        <v>431</v>
      </c>
      <c r="L153" t="str">
        <f>IFERROR(VLOOKUP(Table6[[#This Row],[Country]],Table7[],2,FALSE),Table6[[#This Row],[Country]])</f>
        <v>Singapore</v>
      </c>
      <c r="M153">
        <f>IFERROR(VLOOKUP(Table6[[#This Row],[Country]],Table1[],2,FALSE),0)</f>
        <v>2.1335029602050781</v>
      </c>
      <c r="N153">
        <f>IF(ROW(Table6[[#This Row],[ID]])=2,1,IFERROR(N152*SIGN(MATCH(Table6[[#This Row],[Country]],F:F,0)),N152+1))</f>
        <v>151</v>
      </c>
    </row>
    <row r="154" spans="1:14" x14ac:dyDescent="0.35">
      <c r="A154" s="20" t="s">
        <v>308</v>
      </c>
      <c r="B154" s="22">
        <v>1.1019912958145139</v>
      </c>
      <c r="K154" t="s">
        <v>432</v>
      </c>
      <c r="L154" t="str">
        <f>IFERROR(VLOOKUP(Table6[[#This Row],[Country]],Table7[],2,FALSE),Table6[[#This Row],[Country]])</f>
        <v>Slovakia</v>
      </c>
      <c r="M154">
        <f>IFERROR(VLOOKUP(Table6[[#This Row],[Country]],Table1[],2,FALSE),0)</f>
        <v>7.6514058113098136</v>
      </c>
      <c r="N154">
        <f>IF(ROW(Table6[[#This Row],[ID]])=2,1,IFERROR(N153*SIGN(MATCH(Table6[[#This Row],[Country]],F:F,0)),N153+1))</f>
        <v>152</v>
      </c>
    </row>
    <row r="155" spans="1:14" x14ac:dyDescent="0.35">
      <c r="A155" s="20" t="s">
        <v>166</v>
      </c>
      <c r="B155" s="22">
        <v>0.97103184461593628</v>
      </c>
      <c r="K155" t="s">
        <v>433</v>
      </c>
      <c r="L155" t="str">
        <f>IFERROR(VLOOKUP(Table6[[#This Row],[Country]],Table7[],2,FALSE),Table6[[#This Row],[Country]])</f>
        <v>Slovenia</v>
      </c>
      <c r="M155">
        <f>IFERROR(VLOOKUP(Table6[[#This Row],[Country]],Table1[],2,FALSE),0)</f>
        <v>4.448514461517334</v>
      </c>
      <c r="N155">
        <f>IF(ROW(Table6[[#This Row],[ID]])=2,1,IFERROR(N154*SIGN(MATCH(Table6[[#This Row],[Country]],F:F,0)),N154+1))</f>
        <v>153</v>
      </c>
    </row>
    <row r="156" spans="1:14" x14ac:dyDescent="0.35">
      <c r="A156" s="20" t="s">
        <v>242</v>
      </c>
      <c r="B156" s="22">
        <v>0.64204007387161255</v>
      </c>
      <c r="K156" t="s">
        <v>434</v>
      </c>
      <c r="L156" t="str">
        <f>IFERROR(VLOOKUP(Table6[[#This Row],[Country]],Table7[],2,FALSE),Table6[[#This Row],[Country]])</f>
        <v>Solomon Islands</v>
      </c>
      <c r="M156">
        <f>IFERROR(VLOOKUP(Table6[[#This Row],[Country]],Table1[],2,FALSE),0)</f>
        <v>0</v>
      </c>
      <c r="N156">
        <f>IF(ROW(Table6[[#This Row],[ID]])=2,1,IFERROR(N155*SIGN(MATCH(Table6[[#This Row],[Country]],F:F,0)),N155+1))</f>
        <v>154</v>
      </c>
    </row>
    <row r="157" spans="1:14" x14ac:dyDescent="0.35">
      <c r="A157" s="20" t="s">
        <v>451</v>
      </c>
      <c r="B157" s="22">
        <v>0.56934875249862671</v>
      </c>
      <c r="K157" t="s">
        <v>435</v>
      </c>
      <c r="L157" t="str">
        <f>IFERROR(VLOOKUP(Table6[[#This Row],[Country]],Table7[],2,FALSE),Table6[[#This Row],[Country]])</f>
        <v>Somalia</v>
      </c>
      <c r="M157">
        <f>IFERROR(VLOOKUP(Table6[[#This Row],[Country]],Table1[],2,FALSE),0)</f>
        <v>6.1732912063598633</v>
      </c>
      <c r="N157">
        <f>IF(ROW(Table6[[#This Row],[ID]])=2,1,IFERROR(N156*SIGN(MATCH(Table6[[#This Row],[Country]],F:F,0)),N156+1))</f>
        <v>155</v>
      </c>
    </row>
    <row r="158" spans="1:14" x14ac:dyDescent="0.35">
      <c r="A158" s="20" t="s">
        <v>376</v>
      </c>
      <c r="B158" s="22">
        <v>0.56841355562210083</v>
      </c>
      <c r="K158" t="s">
        <v>436</v>
      </c>
      <c r="L158" t="str">
        <f>IFERROR(VLOOKUP(Table6[[#This Row],[Country]],Table7[],2,FALSE),Table6[[#This Row],[Country]])</f>
        <v>South Africa</v>
      </c>
      <c r="M158">
        <f>IFERROR(VLOOKUP(Table6[[#This Row],[Country]],Table1[],2,FALSE),0)</f>
        <v>2.6624982357025151</v>
      </c>
      <c r="N158">
        <f>IF(ROW(Table6[[#This Row],[ID]])=2,1,IFERROR(N157*SIGN(MATCH(Table6[[#This Row],[Country]],F:F,0)),N157+1))</f>
        <v>156</v>
      </c>
    </row>
    <row r="159" spans="1:14" x14ac:dyDescent="0.35">
      <c r="A159" s="20" t="s">
        <v>279</v>
      </c>
      <c r="B159" s="22">
        <v>0.56499791145324707</v>
      </c>
      <c r="K159" t="s">
        <v>437</v>
      </c>
      <c r="L159" t="str">
        <f>IFERROR(VLOOKUP(Table6[[#This Row],[Country]],Table7[],2,FALSE),Table6[[#This Row],[Country]])</f>
        <v>South Korea</v>
      </c>
      <c r="M159">
        <f>IFERROR(VLOOKUP(Table6[[#This Row],[Country]],Table1[],2,FALSE),0)</f>
        <v>3.502935409545898</v>
      </c>
      <c r="N159">
        <f>IF(ROW(Table6[[#This Row],[ID]])=2,1,IFERROR(N158*SIGN(MATCH(Table6[[#This Row],[Country]],F:F,0)),N158+1))</f>
        <v>157</v>
      </c>
    </row>
    <row r="160" spans="1:14" x14ac:dyDescent="0.35">
      <c r="A160" s="20" t="s">
        <v>392</v>
      </c>
      <c r="B160" s="22">
        <v>0.51513570547103882</v>
      </c>
      <c r="K160" t="s">
        <v>438</v>
      </c>
      <c r="L160" t="str">
        <f>IFERROR(VLOOKUP(Table6[[#This Row],[Country]],Table7[],2,FALSE),Table6[[#This Row],[Country]])</f>
        <v>South Sudan</v>
      </c>
      <c r="M160">
        <f>IFERROR(VLOOKUP(Table6[[#This Row],[Country]],Table1[],2,FALSE),0)</f>
        <v>10.29315185546875</v>
      </c>
      <c r="N160">
        <f>IF(ROW(Table6[[#This Row],[ID]])=2,1,IFERROR(N159*SIGN(MATCH(Table6[[#This Row],[Country]],F:F,0)),N159+1))</f>
        <v>158</v>
      </c>
    </row>
    <row r="161" spans="1:14" x14ac:dyDescent="0.35">
      <c r="A161" s="20" t="s">
        <v>452</v>
      </c>
      <c r="B161" s="22">
        <v>0.49812814593315119</v>
      </c>
      <c r="K161" t="s">
        <v>439</v>
      </c>
      <c r="L161" t="str">
        <f>IFERROR(VLOOKUP(Table6[[#This Row],[Country]],Table7[],2,FALSE),Table6[[#This Row],[Country]])</f>
        <v>Spain</v>
      </c>
      <c r="M161">
        <f>IFERROR(VLOOKUP(Table6[[#This Row],[Country]],Table1[],2,FALSE),0)</f>
        <v>2.312372207641602</v>
      </c>
      <c r="N161">
        <f>IF(ROW(Table6[[#This Row],[ID]])=2,1,IFERROR(N160*SIGN(MATCH(Table6[[#This Row],[Country]],F:F,0)),N160+1))</f>
        <v>159</v>
      </c>
    </row>
    <row r="162" spans="1:14" x14ac:dyDescent="0.35">
      <c r="A162" s="20" t="s">
        <v>114</v>
      </c>
      <c r="B162" s="22"/>
      <c r="K162" t="s">
        <v>441</v>
      </c>
      <c r="L162" t="str">
        <f>IFERROR(VLOOKUP(Table6[[#This Row],[Country]],Table7[],2,FALSE),Table6[[#This Row],[Country]])</f>
        <v>Sri Lanka</v>
      </c>
      <c r="M162">
        <f>IFERROR(VLOOKUP(Table6[[#This Row],[Country]],Table1[],2,FALSE),0)</f>
        <v>6.4705958366394043</v>
      </c>
      <c r="N162">
        <f>IF(ROW(Table6[[#This Row],[ID]])=2,1,IFERROR(N161*SIGN(MATCH(Table6[[#This Row],[Country]],F:F,0)),N161+1))</f>
        <v>160</v>
      </c>
    </row>
    <row r="163" spans="1:14" x14ac:dyDescent="0.35">
      <c r="A163" s="20" t="s">
        <v>635</v>
      </c>
      <c r="B163" s="22"/>
      <c r="K163" t="s">
        <v>443</v>
      </c>
      <c r="L163" t="str">
        <f>IFERROR(VLOOKUP(Table6[[#This Row],[Country]],Table7[],2,FALSE),Table6[[#This Row],[Country]])</f>
        <v>St Kitts and Nevis</v>
      </c>
      <c r="M163">
        <f>IFERROR(VLOOKUP(Table6[[#This Row],[Country]],Table1[],2,FALSE),0)</f>
        <v>0</v>
      </c>
      <c r="N163">
        <f>IF(ROW(Table6[[#This Row],[ID]])=2,1,IFERROR(N162*SIGN(MATCH(Table6[[#This Row],[Country]],F:F,0)),N162+1))</f>
        <v>161</v>
      </c>
    </row>
    <row r="164" spans="1:14" x14ac:dyDescent="0.35">
      <c r="A164" s="20" t="s">
        <v>155</v>
      </c>
      <c r="B164" s="22"/>
      <c r="K164" t="s">
        <v>444</v>
      </c>
      <c r="L164" t="str">
        <f>IFERROR(VLOOKUP(Table6[[#This Row],[Country]],Table7[],2,FALSE),Table6[[#This Row],[Country]])</f>
        <v>St Lucia</v>
      </c>
      <c r="M164">
        <f>IFERROR(VLOOKUP(Table6[[#This Row],[Country]],Table1[],2,FALSE),0)</f>
        <v>0</v>
      </c>
      <c r="N164">
        <f>IF(ROW(Table6[[#This Row],[ID]])=2,1,IFERROR(N163*SIGN(MATCH(Table6[[#This Row],[Country]],F:F,0)),N163+1))</f>
        <v>162</v>
      </c>
    </row>
    <row r="165" spans="1:14" x14ac:dyDescent="0.35">
      <c r="A165" s="20" t="s">
        <v>169</v>
      </c>
      <c r="B165" s="22"/>
      <c r="K165" t="s">
        <v>445</v>
      </c>
      <c r="L165" t="str">
        <f>IFERROR(VLOOKUP(Table6[[#This Row],[Country]],Table7[],2,FALSE),Table6[[#This Row],[Country]])</f>
        <v>St Vincent and the Grenadines</v>
      </c>
      <c r="M165">
        <f>IFERROR(VLOOKUP(Table6[[#This Row],[Country]],Table1[],2,FALSE),0)</f>
        <v>0</v>
      </c>
      <c r="N165">
        <f>IF(ROW(Table6[[#This Row],[ID]])=2,1,IFERROR(N164*SIGN(MATCH(Table6[[#This Row],[Country]],F:F,0)),N164+1))</f>
        <v>163</v>
      </c>
    </row>
    <row r="166" spans="1:14" x14ac:dyDescent="0.35">
      <c r="A166" s="20" t="s">
        <v>639</v>
      </c>
      <c r="B166" s="22"/>
      <c r="K166" t="s">
        <v>447</v>
      </c>
      <c r="L166" t="str">
        <f>IFERROR(VLOOKUP(Table6[[#This Row],[Country]],Table7[],2,FALSE),Table6[[#This Row],[Country]])</f>
        <v>Sudan</v>
      </c>
      <c r="M166">
        <f>IFERROR(VLOOKUP(Table6[[#This Row],[Country]],Table1[],2,FALSE),0)</f>
        <v>3.9744329452514648</v>
      </c>
      <c r="N166">
        <f>IF(ROW(Table6[[#This Row],[ID]])=2,1,IFERROR(N165*SIGN(MATCH(Table6[[#This Row],[Country]],F:F,0)),N165+1))</f>
        <v>164</v>
      </c>
    </row>
    <row r="167" spans="1:14" x14ac:dyDescent="0.35">
      <c r="A167" s="20" t="s">
        <v>213</v>
      </c>
      <c r="B167" s="22"/>
      <c r="K167" t="s">
        <v>449</v>
      </c>
      <c r="L167" t="str">
        <f>IFERROR(VLOOKUP(Table6[[#This Row],[Country]],Table7[],2,FALSE),Table6[[#This Row],[Country]])</f>
        <v>Suriname</v>
      </c>
      <c r="M167">
        <f>IFERROR(VLOOKUP(Table6[[#This Row],[Country]],Table1[],2,FALSE),0)</f>
        <v>0</v>
      </c>
      <c r="N167">
        <f>IF(ROW(Table6[[#This Row],[ID]])=2,1,IFERROR(N166*SIGN(MATCH(Table6[[#This Row],[Country]],F:F,0)),N166+1))</f>
        <v>165</v>
      </c>
    </row>
    <row r="168" spans="1:14" x14ac:dyDescent="0.35">
      <c r="A168" s="20" t="s">
        <v>267</v>
      </c>
      <c r="B168" s="22"/>
      <c r="K168" t="s">
        <v>451</v>
      </c>
      <c r="L168" t="str">
        <f>IFERROR(VLOOKUP(Table6[[#This Row],[Country]],Table7[],2,FALSE),Table6[[#This Row],[Country]])</f>
        <v>Sweden</v>
      </c>
      <c r="M168">
        <f>IFERROR(VLOOKUP(Table6[[#This Row],[Country]],Table1[],2,FALSE),0)</f>
        <v>0.56934875249862671</v>
      </c>
      <c r="N168">
        <f>IF(ROW(Table6[[#This Row],[ID]])=2,1,IFERROR(N167*SIGN(MATCH(Table6[[#This Row],[Country]],F:F,0)),N167+1))</f>
        <v>166</v>
      </c>
    </row>
    <row r="169" spans="1:14" x14ac:dyDescent="0.35">
      <c r="A169" s="20" t="s">
        <v>300</v>
      </c>
      <c r="B169" s="22"/>
      <c r="K169" t="s">
        <v>452</v>
      </c>
      <c r="L169" t="str">
        <f>IFERROR(VLOOKUP(Table6[[#This Row],[Country]],Table7[],2,FALSE),Table6[[#This Row],[Country]])</f>
        <v>Switzerland</v>
      </c>
      <c r="M169">
        <f>IFERROR(VLOOKUP(Table6[[#This Row],[Country]],Table1[],2,FALSE),0)</f>
        <v>0.49812814593315119</v>
      </c>
      <c r="N169">
        <f>IF(ROW(Table6[[#This Row],[ID]])=2,1,IFERROR(N168*SIGN(MATCH(Table6[[#This Row],[Country]],F:F,0)),N168+1))</f>
        <v>167</v>
      </c>
    </row>
    <row r="170" spans="1:14" x14ac:dyDescent="0.35">
      <c r="A170" s="20" t="s">
        <v>339</v>
      </c>
      <c r="B170" s="22"/>
      <c r="K170" t="s">
        <v>453</v>
      </c>
      <c r="L170" t="str">
        <f>IFERROR(VLOOKUP(Table6[[#This Row],[Country]],Table7[],2,FALSE),Table6[[#This Row],[Country]])</f>
        <v>Syria</v>
      </c>
      <c r="M170">
        <f>IFERROR(VLOOKUP(Table6[[#This Row],[Country]],Table1[],2,FALSE),0)</f>
        <v>8.7337971992333721</v>
      </c>
      <c r="N170">
        <f>IF(ROW(Table6[[#This Row],[ID]])=2,1,IFERROR(N169*SIGN(MATCH(Table6[[#This Row],[Country]],F:F,0)),N169+1))</f>
        <v>168</v>
      </c>
    </row>
    <row r="171" spans="1:14" x14ac:dyDescent="0.35">
      <c r="A171" s="20" t="s">
        <v>343</v>
      </c>
      <c r="B171" s="22"/>
      <c r="K171" t="s">
        <v>454</v>
      </c>
      <c r="L171" t="str">
        <f>IFERROR(VLOOKUP(Table6[[#This Row],[Country]],Table7[],2,FALSE),Table6[[#This Row],[Country]])</f>
        <v>Taiwan</v>
      </c>
      <c r="M171">
        <f>IFERROR(VLOOKUP(Table6[[#This Row],[Country]],Table1[],2,FALSE),0)</f>
        <v>1.6852709054946899</v>
      </c>
      <c r="N171">
        <f>IF(ROW(Table6[[#This Row],[ID]])=2,1,IFERROR(N170*SIGN(MATCH(Table6[[#This Row],[Country]],F:F,0)),N170+1))</f>
        <v>168</v>
      </c>
    </row>
    <row r="172" spans="1:14" x14ac:dyDescent="0.35">
      <c r="A172" s="20" t="s">
        <v>347</v>
      </c>
      <c r="B172" s="22"/>
      <c r="K172" t="s">
        <v>455</v>
      </c>
      <c r="L172" t="str">
        <f>IFERROR(VLOOKUP(Table6[[#This Row],[Country]],Table7[],2,FALSE),Table6[[#This Row],[Country]])</f>
        <v>Tajikistan</v>
      </c>
      <c r="M172">
        <f>IFERROR(VLOOKUP(Table6[[#This Row],[Country]],Table1[],2,FALSE),0)</f>
        <v>13.955769538879389</v>
      </c>
      <c r="N172">
        <f>IF(ROW(Table6[[#This Row],[ID]])=2,1,IFERROR(N171*SIGN(MATCH(Table6[[#This Row],[Country]],F:F,0)),N171+1))</f>
        <v>169</v>
      </c>
    </row>
    <row r="173" spans="1:14" x14ac:dyDescent="0.35">
      <c r="A173" s="20" t="s">
        <v>350</v>
      </c>
      <c r="B173" s="22"/>
      <c r="K173" t="s">
        <v>456</v>
      </c>
      <c r="L173" t="str">
        <f>IFERROR(VLOOKUP(Table6[[#This Row],[Country]],Table7[],2,FALSE),Table6[[#This Row],[Country]])</f>
        <v>Tanzania</v>
      </c>
      <c r="M173">
        <f>IFERROR(VLOOKUP(Table6[[#This Row],[Country]],Table1[],2,FALSE),0)</f>
        <v>2.85969066619873</v>
      </c>
      <c r="N173">
        <f>IF(ROW(Table6[[#This Row],[ID]])=2,1,IFERROR(N172*SIGN(MATCH(Table6[[#This Row],[Country]],F:F,0)),N172+1))</f>
        <v>170</v>
      </c>
    </row>
    <row r="174" spans="1:14" x14ac:dyDescent="0.35">
      <c r="A174" s="20" t="s">
        <v>364</v>
      </c>
      <c r="B174" s="22"/>
      <c r="K174" t="s">
        <v>188</v>
      </c>
      <c r="L174" t="str">
        <f>IFERROR(VLOOKUP(Table6[[#This Row],[Country]],Table7[],2,FALSE),Table6[[#This Row],[Country]])</f>
        <v>Thailand</v>
      </c>
      <c r="M174">
        <f>IFERROR(VLOOKUP(Table6[[#This Row],[Country]],Table1[],2,FALSE),0)</f>
        <v>5.7416377067565918</v>
      </c>
      <c r="N174">
        <f>IF(ROW(Table6[[#This Row],[ID]])=2,1,IFERROR(N173*SIGN(MATCH(Table6[[#This Row],[Country]],F:F,0)),N173+1))</f>
        <v>171</v>
      </c>
    </row>
    <row r="175" spans="1:14" x14ac:dyDescent="0.35">
      <c r="A175" s="20" t="s">
        <v>399</v>
      </c>
      <c r="B175" s="22"/>
      <c r="K175" t="s">
        <v>635</v>
      </c>
      <c r="L175" t="str">
        <f>IFERROR(VLOOKUP(Table6[[#This Row],[Country]],Table7[],2,FALSE),Table6[[#This Row],[Country]])</f>
        <v>The Bahamas</v>
      </c>
      <c r="M175">
        <f>IFERROR(VLOOKUP(Table6[[#This Row],[Country]],Table1[],2,FALSE),0)</f>
        <v>0</v>
      </c>
      <c r="N175">
        <f>IF(ROW(Table6[[#This Row],[ID]])=2,1,IFERROR(N174*SIGN(MATCH(Table6[[#This Row],[Country]],F:F,0)),N174+1))</f>
        <v>172</v>
      </c>
    </row>
    <row r="176" spans="1:14" x14ac:dyDescent="0.35">
      <c r="A176" s="20" t="s">
        <v>640</v>
      </c>
      <c r="B176" s="22"/>
      <c r="K176" t="s">
        <v>636</v>
      </c>
      <c r="L176" t="str">
        <f>IFERROR(VLOOKUP(Table6[[#This Row],[Country]],Table7[],2,FALSE),Table6[[#This Row],[Country]])</f>
        <v>The Gambia</v>
      </c>
      <c r="M176">
        <f>IFERROR(VLOOKUP(Table6[[#This Row],[Country]],Table1[],2,FALSE),0)</f>
        <v>6.5460033416748047</v>
      </c>
      <c r="N176">
        <f>IF(ROW(Table6[[#This Row],[ID]])=2,1,IFERROR(N175*SIGN(MATCH(Table6[[#This Row],[Country]],F:F,0)),N175+1))</f>
        <v>173</v>
      </c>
    </row>
    <row r="177" spans="1:14" x14ac:dyDescent="0.35">
      <c r="A177" s="20" t="s">
        <v>641</v>
      </c>
      <c r="B177" s="22"/>
      <c r="K177" t="s">
        <v>457</v>
      </c>
      <c r="L177" t="str">
        <f>IFERROR(VLOOKUP(Table6[[#This Row],[Country]],Table7[],2,FALSE),Table6[[#This Row],[Country]])</f>
        <v>Timor-Leste</v>
      </c>
      <c r="M177">
        <f>IFERROR(VLOOKUP(Table6[[#This Row],[Country]],Table1[],2,FALSE),0)</f>
        <v>6.0507779121398926</v>
      </c>
      <c r="N177">
        <f>IF(ROW(Table6[[#This Row],[ID]])=2,1,IFERROR(N176*SIGN(MATCH(Table6[[#This Row],[Country]],F:F,0)),N176+1))</f>
        <v>174</v>
      </c>
    </row>
    <row r="178" spans="1:14" x14ac:dyDescent="0.35">
      <c r="A178" s="20" t="s">
        <v>429</v>
      </c>
      <c r="B178" s="22"/>
      <c r="K178" t="s">
        <v>458</v>
      </c>
      <c r="L178" t="str">
        <f>IFERROR(VLOOKUP(Table6[[#This Row],[Country]],Table7[],2,FALSE),Table6[[#This Row],[Country]])</f>
        <v>Togo</v>
      </c>
      <c r="M178">
        <f>IFERROR(VLOOKUP(Table6[[#This Row],[Country]],Table1[],2,FALSE),0)</f>
        <v>3.3498597145080571</v>
      </c>
      <c r="N178">
        <f>IF(ROW(Table6[[#This Row],[ID]])=2,1,IFERROR(N177*SIGN(MATCH(Table6[[#This Row],[Country]],F:F,0)),N177+1))</f>
        <v>175</v>
      </c>
    </row>
    <row r="179" spans="1:14" x14ac:dyDescent="0.35">
      <c r="A179" s="20" t="s">
        <v>434</v>
      </c>
      <c r="B179" s="22"/>
      <c r="K179" t="s">
        <v>459</v>
      </c>
      <c r="L179" t="str">
        <f>IFERROR(VLOOKUP(Table6[[#This Row],[Country]],Table7[],2,FALSE),Table6[[#This Row],[Country]])</f>
        <v>Tonga</v>
      </c>
      <c r="M179">
        <f>IFERROR(VLOOKUP(Table6[[#This Row],[Country]],Table1[],2,FALSE),0)</f>
        <v>0</v>
      </c>
      <c r="N179">
        <f>IF(ROW(Table6[[#This Row],[ID]])=2,1,IFERROR(N178*SIGN(MATCH(Table6[[#This Row],[Country]],F:F,0)),N178+1))</f>
        <v>176</v>
      </c>
    </row>
    <row r="180" spans="1:14" x14ac:dyDescent="0.35">
      <c r="A180" s="20" t="s">
        <v>449</v>
      </c>
      <c r="B180" s="22"/>
      <c r="K180" t="s">
        <v>460</v>
      </c>
      <c r="L180" t="str">
        <f>IFERROR(VLOOKUP(Table6[[#This Row],[Country]],Table7[],2,FALSE),Table6[[#This Row],[Country]])</f>
        <v>Trinidad and Tobago</v>
      </c>
      <c r="M180">
        <f>IFERROR(VLOOKUP(Table6[[#This Row],[Country]],Table1[],2,FALSE),0)</f>
        <v>4.7318248748779297</v>
      </c>
      <c r="N180">
        <f>IF(ROW(Table6[[#This Row],[ID]])=2,1,IFERROR(N179*SIGN(MATCH(Table6[[#This Row],[Country]],F:F,0)),N179+1))</f>
        <v>177</v>
      </c>
    </row>
    <row r="181" spans="1:14" x14ac:dyDescent="0.35">
      <c r="A181" s="20" t="s">
        <v>472</v>
      </c>
      <c r="B181" s="22"/>
      <c r="K181" t="s">
        <v>461</v>
      </c>
      <c r="L181" t="str">
        <f>IFERROR(VLOOKUP(Table6[[#This Row],[Country]],Table7[],2,FALSE),Table6[[#This Row],[Country]])</f>
        <v>Tunisia</v>
      </c>
      <c r="M181">
        <f>IFERROR(VLOOKUP(Table6[[#This Row],[Country]],Table1[],2,FALSE),0)</f>
        <v>2.3166627883911128</v>
      </c>
      <c r="N181">
        <f>IF(ROW(Table6[[#This Row],[ID]])=2,1,IFERROR(N180*SIGN(MATCH(Table6[[#This Row],[Country]],F:F,0)),N180+1))</f>
        <v>178</v>
      </c>
    </row>
    <row r="182" spans="1:14" x14ac:dyDescent="0.35">
      <c r="K182" t="s">
        <v>509</v>
      </c>
      <c r="L182" t="str">
        <f>IFERROR(VLOOKUP(Table6[[#This Row],[Country]],Table7[],2,FALSE),Table6[[#This Row],[Country]])</f>
        <v>Turkey</v>
      </c>
      <c r="M182">
        <f>IFERROR(VLOOKUP(Table6[[#This Row],[Country]],Table1[],2,FALSE),0)</f>
        <v>15.64948081970215</v>
      </c>
      <c r="N182">
        <f>IF(ROW(Table6[[#This Row],[ID]])=2,1,IFERROR(N181*SIGN(MATCH(Table6[[#This Row],[Country]],F:F,0)),N181+1))</f>
        <v>179</v>
      </c>
    </row>
    <row r="183" spans="1:14" x14ac:dyDescent="0.35">
      <c r="K183" t="s">
        <v>463</v>
      </c>
      <c r="L183" t="str">
        <f>IFERROR(VLOOKUP(Table6[[#This Row],[Country]],Table7[],2,FALSE),Table6[[#This Row],[Country]])</f>
        <v>Turkmenistan</v>
      </c>
      <c r="M183">
        <f>IFERROR(VLOOKUP(Table6[[#This Row],[Country]],Table1[],2,FALSE),0)</f>
        <v>11.875362396240231</v>
      </c>
      <c r="N183">
        <f>IF(ROW(Table6[[#This Row],[ID]])=2,1,IFERROR(N182*SIGN(MATCH(Table6[[#This Row],[Country]],F:F,0)),N182+1))</f>
        <v>180</v>
      </c>
    </row>
    <row r="184" spans="1:14" x14ac:dyDescent="0.35">
      <c r="K184" t="s">
        <v>464</v>
      </c>
      <c r="L184" t="str">
        <f>IFERROR(VLOOKUP(Table6[[#This Row],[Country]],Table7[],2,FALSE),Table6[[#This Row],[Country]])</f>
        <v>Tuvalu</v>
      </c>
      <c r="M184">
        <f>IFERROR(VLOOKUP(Table6[[#This Row],[Country]],Table1[],2,FALSE),0)</f>
        <v>0</v>
      </c>
      <c r="N184">
        <f>IF(ROW(Table6[[#This Row],[ID]])=2,1,IFERROR(N183*SIGN(MATCH(Table6[[#This Row],[Country]],F:F,0)),N183+1))</f>
        <v>181</v>
      </c>
    </row>
    <row r="185" spans="1:14" x14ac:dyDescent="0.35">
      <c r="K185" t="s">
        <v>465</v>
      </c>
      <c r="L185" t="str">
        <f>IFERROR(VLOOKUP(Table6[[#This Row],[Country]],Table7[],2,FALSE),Table6[[#This Row],[Country]])</f>
        <v>Uganda</v>
      </c>
      <c r="M185">
        <f>IFERROR(VLOOKUP(Table6[[#This Row],[Country]],Table1[],2,FALSE),0)</f>
        <v>4.1515140533447266</v>
      </c>
      <c r="N185">
        <f>IF(ROW(Table6[[#This Row],[ID]])=2,1,IFERROR(N184*SIGN(MATCH(Table6[[#This Row],[Country]],F:F,0)),N184+1))</f>
        <v>182</v>
      </c>
    </row>
    <row r="186" spans="1:14" x14ac:dyDescent="0.35">
      <c r="K186" t="s">
        <v>466</v>
      </c>
      <c r="L186" t="str">
        <f>IFERROR(VLOOKUP(Table6[[#This Row],[Country]],Table7[],2,FALSE),Table6[[#This Row],[Country]])</f>
        <v>Ukraine</v>
      </c>
      <c r="M186">
        <f>IFERROR(VLOOKUP(Table6[[#This Row],[Country]],Table1[],2,FALSE),0)</f>
        <v>12.793187141418461</v>
      </c>
      <c r="N186">
        <f>IF(ROW(Table6[[#This Row],[ID]])=2,1,IFERROR(N185*SIGN(MATCH(Table6[[#This Row],[Country]],F:F,0)),N185+1))</f>
        <v>183</v>
      </c>
    </row>
    <row r="187" spans="1:14" x14ac:dyDescent="0.35">
      <c r="K187" t="s">
        <v>467</v>
      </c>
      <c r="L187" t="str">
        <f>IFERROR(VLOOKUP(Table6[[#This Row],[Country]],Table7[],2,FALSE),Table6[[#This Row],[Country]])</f>
        <v>United Arab Emirates</v>
      </c>
      <c r="M187">
        <f>IFERROR(VLOOKUP(Table6[[#This Row],[Country]],Table1[],2,FALSE),0)</f>
        <v>13.366727923696081</v>
      </c>
      <c r="N187">
        <f>IF(ROW(Table6[[#This Row],[ID]])=2,1,IFERROR(N186*SIGN(MATCH(Table6[[#This Row],[Country]],F:F,0)),N186+1))</f>
        <v>184</v>
      </c>
    </row>
    <row r="188" spans="1:14" x14ac:dyDescent="0.35">
      <c r="K188" t="s">
        <v>468</v>
      </c>
      <c r="L188" t="str">
        <f>IFERROR(VLOOKUP(Table6[[#This Row],[Country]],Table7[],2,FALSE),Table6[[#This Row],[Country]])</f>
        <v>United Kingdom</v>
      </c>
      <c r="M188">
        <f>IFERROR(VLOOKUP(Table6[[#This Row],[Country]],Table1[],2,FALSE),0)</f>
        <v>1.803719639778137</v>
      </c>
      <c r="N188">
        <f>IF(ROW(Table6[[#This Row],[ID]])=2,1,IFERROR(N187*SIGN(MATCH(Table6[[#This Row],[Country]],F:F,0)),N187+1))</f>
        <v>185</v>
      </c>
    </row>
    <row r="189" spans="1:14" x14ac:dyDescent="0.35">
      <c r="K189" t="s">
        <v>469</v>
      </c>
      <c r="L189" t="str">
        <f>IFERROR(VLOOKUP(Table6[[#This Row],[Country]],Table7[],2,FALSE),Table6[[#This Row],[Country]])</f>
        <v>United States of America</v>
      </c>
      <c r="M189">
        <f>IFERROR(VLOOKUP(Table6[[#This Row],[Country]],Table1[],2,FALSE),0)</f>
        <v>3.29526686668396</v>
      </c>
      <c r="N189">
        <f>IF(ROW(Table6[[#This Row],[ID]])=2,1,IFERROR(N188*SIGN(MATCH(Table6[[#This Row],[Country]],F:F,0)),N188+1))</f>
        <v>186</v>
      </c>
    </row>
    <row r="190" spans="1:14" x14ac:dyDescent="0.35">
      <c r="K190" t="s">
        <v>470</v>
      </c>
      <c r="L190" t="str">
        <f>IFERROR(VLOOKUP(Table6[[#This Row],[Country]],Table7[],2,FALSE),Table6[[#This Row],[Country]])</f>
        <v>Uruguay</v>
      </c>
      <c r="M190">
        <f>IFERROR(VLOOKUP(Table6[[#This Row],[Country]],Table1[],2,FALSE),0)</f>
        <v>1.888077855110168</v>
      </c>
      <c r="N190">
        <f>IF(ROW(Table6[[#This Row],[ID]])=2,1,IFERROR(N189*SIGN(MATCH(Table6[[#This Row],[Country]],F:F,0)),N189+1))</f>
        <v>187</v>
      </c>
    </row>
    <row r="191" spans="1:14" x14ac:dyDescent="0.35">
      <c r="K191" t="s">
        <v>471</v>
      </c>
      <c r="L191" t="str">
        <f>IFERROR(VLOOKUP(Table6[[#This Row],[Country]],Table7[],2,FALSE),Table6[[#This Row],[Country]])</f>
        <v>Uzbekistan</v>
      </c>
      <c r="M191">
        <f>IFERROR(VLOOKUP(Table6[[#This Row],[Country]],Table1[],2,FALSE),0)</f>
        <v>7.4401578903198242</v>
      </c>
      <c r="N191">
        <f>IF(ROW(Table6[[#This Row],[ID]])=2,1,IFERROR(N190*SIGN(MATCH(Table6[[#This Row],[Country]],F:F,0)),N190+1))</f>
        <v>188</v>
      </c>
    </row>
    <row r="192" spans="1:14" x14ac:dyDescent="0.35">
      <c r="K192" t="s">
        <v>472</v>
      </c>
      <c r="L192" t="str">
        <f>IFERROR(VLOOKUP(Table6[[#This Row],[Country]],Table7[],2,FALSE),Table6[[#This Row],[Country]])</f>
        <v>Vanuatu</v>
      </c>
      <c r="M192">
        <f>IFERROR(VLOOKUP(Table6[[#This Row],[Country]],Table1[],2,FALSE),0)</f>
        <v>0</v>
      </c>
      <c r="N192">
        <f>IF(ROW(Table6[[#This Row],[ID]])=2,1,IFERROR(N191*SIGN(MATCH(Table6[[#This Row],[Country]],F:F,0)),N191+1))</f>
        <v>189</v>
      </c>
    </row>
    <row r="193" spans="11:14" x14ac:dyDescent="0.35">
      <c r="K193" t="s">
        <v>473</v>
      </c>
      <c r="L193" t="str">
        <f>IFERROR(VLOOKUP(Table6[[#This Row],[Country]],Table7[],2,FALSE),Table6[[#This Row],[Country]])</f>
        <v>Vatican City</v>
      </c>
      <c r="M193">
        <f>IFERROR(VLOOKUP(Table6[[#This Row],[Country]],Table1[],2,FALSE),0)</f>
        <v>0</v>
      </c>
      <c r="N193">
        <f>IF(ROW(Table6[[#This Row],[ID]])=2,1,IFERROR(N192*SIGN(MATCH(Table6[[#This Row],[Country]],F:F,0)),N192+1))</f>
        <v>190</v>
      </c>
    </row>
    <row r="194" spans="11:14" x14ac:dyDescent="0.35">
      <c r="K194" t="s">
        <v>474</v>
      </c>
      <c r="L194" t="str">
        <f>IFERROR(VLOOKUP(Table6[[#This Row],[Country]],Table7[],2,FALSE),Table6[[#This Row],[Country]])</f>
        <v>Venezuela</v>
      </c>
      <c r="M194">
        <f>IFERROR(VLOOKUP(Table6[[#This Row],[Country]],Table1[],2,FALSE),0)</f>
        <v>9.4823274612426758</v>
      </c>
      <c r="N194">
        <f>IF(ROW(Table6[[#This Row],[ID]])=2,1,IFERROR(N193*SIGN(MATCH(Table6[[#This Row],[Country]],F:F,0)),N193+1))</f>
        <v>191</v>
      </c>
    </row>
    <row r="195" spans="11:14" x14ac:dyDescent="0.35">
      <c r="K195" t="s">
        <v>638</v>
      </c>
      <c r="L195" t="str">
        <f>IFERROR(VLOOKUP(Table6[[#This Row],[Country]],Table7[],2,FALSE),Table6[[#This Row],[Country]])</f>
        <v>Vietnam</v>
      </c>
      <c r="M195">
        <f>IFERROR(VLOOKUP(Table6[[#This Row],[Country]],Table1[],2,FALSE),0)</f>
        <v>4.0675201416015634</v>
      </c>
      <c r="N195">
        <f>IF(ROW(Table6[[#This Row],[ID]])=2,1,IFERROR(N194*SIGN(MATCH(Table6[[#This Row],[Country]],F:F,0)),N194+1))</f>
        <v>192</v>
      </c>
    </row>
    <row r="196" spans="11:14" x14ac:dyDescent="0.35">
      <c r="K196" t="s">
        <v>476</v>
      </c>
      <c r="L196" t="str">
        <f>IFERROR(VLOOKUP(Table6[[#This Row],[Country]],Table7[],2,FALSE),Table6[[#This Row],[Country]])</f>
        <v>Yemen</v>
      </c>
      <c r="M196">
        <f>IFERROR(VLOOKUP(Table6[[#This Row],[Country]],Table1[],2,FALSE),0)</f>
        <v>6.0494505964133269</v>
      </c>
      <c r="N196">
        <f>IF(ROW(Table6[[#This Row],[ID]])=2,1,IFERROR(N195*SIGN(MATCH(Table6[[#This Row],[Country]],F:F,0)),N195+1))</f>
        <v>193</v>
      </c>
    </row>
    <row r="197" spans="11:14" x14ac:dyDescent="0.35">
      <c r="K197" t="s">
        <v>477</v>
      </c>
      <c r="L197" t="str">
        <f>IFERROR(VLOOKUP(Table6[[#This Row],[Country]],Table7[],2,FALSE),Table6[[#This Row],[Country]])</f>
        <v>Zambia</v>
      </c>
      <c r="M197">
        <f>IFERROR(VLOOKUP(Table6[[#This Row],[Country]],Table1[],2,FALSE),0)</f>
        <v>5.0929903984069824</v>
      </c>
      <c r="N197">
        <f>IF(ROW(Table6[[#This Row],[ID]])=2,1,IFERROR(N196*SIGN(MATCH(Table6[[#This Row],[Country]],F:F,0)),N196+1))</f>
        <v>194</v>
      </c>
    </row>
    <row r="198" spans="11:14" x14ac:dyDescent="0.35">
      <c r="K198" t="s">
        <v>478</v>
      </c>
      <c r="L198" t="str">
        <f>IFERROR(VLOOKUP(Table6[[#This Row],[Country]],Table7[],2,FALSE),Table6[[#This Row],[Country]])</f>
        <v>Zimbabwe</v>
      </c>
      <c r="M198">
        <f>IFERROR(VLOOKUP(Table6[[#This Row],[Country]],Table1[],2,FALSE),0)</f>
        <v>4.9811038970947266</v>
      </c>
      <c r="N198">
        <f>IF(ROW(Table6[[#This Row],[ID]])=2,1,IFERROR(N197*SIGN(MATCH(Table6[[#This Row],[Country]],F:F,0)),N197+1))</f>
        <v>195</v>
      </c>
    </row>
  </sheetData>
  <phoneticPr fontId="15" type="noConversion"/>
  <pageMargins left="0.7" right="0.7" top="0.75" bottom="0.75" header="0.3" footer="0.3"/>
  <headerFooter>
    <oddHeader>&amp;C&amp;"Calibri"&amp;10&amp;K000000 OFFICIAL-SENSITIVE&amp;1#_x000D_</oddHeader>
    <oddFooter>&amp;C_x000D_&amp;1#&amp;"Calibri"&amp;10&amp;K000000 OFFICIAL-SENSITIVE</oddFooter>
  </headerFooter>
  <tableParts count="3">
    <tablePart r:id="rId1"/>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600776d-0a3c-44b4-bff2-0ceaafb13046">
      <Value>7</Value>
    </TaxCatchAll>
    <lcf76f155ced4ddcb4097134ff3c332f xmlns="9a5cedf3-f350-49f5-b8d1-d7faff403c37">
      <Terms xmlns="http://schemas.microsoft.com/office/infopath/2007/PartnerControls"/>
    </lcf76f155ced4ddcb4097134ff3c332f>
    <SharedWithUsers xmlns="e7b8f3c9-9aa5-41cf-b6f0-d6e42deee2ac">
      <UserInfo>
        <DisplayName>SANSOM, Roger</DisplayName>
        <AccountId>736</AccountId>
        <AccountType/>
      </UserInfo>
      <UserInfo>
        <DisplayName>SLATER, Robert</DisplayName>
        <AccountId>737</AccountId>
        <AccountType/>
      </UserInfo>
      <UserInfo>
        <DisplayName>SIPI, Charlotte</DisplayName>
        <AccountId>782</AccountId>
        <AccountType/>
      </UserInfo>
      <UserInfo>
        <DisplayName>JONES, Tally</DisplayName>
        <AccountId>841</AccountId>
        <AccountType/>
      </UserInfo>
      <UserInfo>
        <DisplayName>SCHOOF, Joyce</DisplayName>
        <AccountId>1334</AccountId>
        <AccountType/>
      </UserInfo>
      <UserInfo>
        <DisplayName>SAPHERSON, Hana</DisplayName>
        <AccountId>1335</AccountId>
        <AccountType/>
      </UserInfo>
      <UserInfo>
        <DisplayName>SHEARER, Lucy</DisplayName>
        <AccountId>1015</AccountId>
        <AccountType/>
      </UserInfo>
    </SharedWithUsers>
    <RecordNumber xmlns="4600776d-0a3c-44b4-bff2-0ceaafb13046" xsi:nil="true"/>
    <g3ef09377e3444258679b6035a1ff93a xmlns="4600776d-0a3c-44b4-bff2-0ceaafb13046">
      <Terms xmlns="http://schemas.microsoft.com/office/infopath/2007/PartnerControls"/>
    </g3ef09377e3444258679b6035a1ff93a>
    <k5b153ee974a4a57a7568e533217f2cb xmlns="4600776d-0a3c-44b4-bff2-0ceaafb13046">
      <Terms xmlns="http://schemas.microsoft.com/office/infopath/2007/PartnerControls"/>
    </k5b153ee974a4a57a7568e533217f2cb>
    <_Flow_SignoffStatus xmlns="9a5cedf3-f350-49f5-b8d1-d7faff403c37" xsi:nil="true"/>
    <j6c5b17cd04246da82e5604daf08bc68 xmlns="4600776d-0a3c-44b4-bff2-0ceaafb13046">
      <Terms xmlns="http://schemas.microsoft.com/office/infopath/2007/PartnerControls">
        <TermInfo xmlns="http://schemas.microsoft.com/office/infopath/2007/PartnerControls">
          <TermName xmlns="http://schemas.microsoft.com/office/infopath/2007/PartnerControls">Policy Making</TermName>
          <TermId xmlns="http://schemas.microsoft.com/office/infopath/2007/PartnerControls">72acc014-9881-4fb1-aaba-57e1c5dbd017</TermId>
        </TermInfo>
      </Terms>
    </j6c5b17cd04246da82e5604daf08bc68>
    <TransfertoArchives xmlns="4600776d-0a3c-44b4-bff2-0ceaafb13046">false</TransfertoArchives>
    <cd0fc526a5c840319a97fd94028e9904 xmlns="4600776d-0a3c-44b4-bff2-0ceaafb13046">
      <Terms xmlns="http://schemas.microsoft.com/office/infopath/2007/PartnerControls"/>
    </cd0fc526a5c840319a97fd94028e9904>
    <RetentionTriggerDate xmlns="4600776d-0a3c-44b4-bff2-0ceaafb13046" xsi:nil="true"/>
    <c4838c65c76546ae93d5703426802f7f xmlns="4600776d-0a3c-44b4-bff2-0ceaafb13046">
      <Terms xmlns="http://schemas.microsoft.com/office/infopath/2007/PartnerControls"/>
    </c4838c65c76546ae93d5703426802f7f>
    <_dlc_DocId xmlns="e7b8f3c9-9aa5-41cf-b6f0-d6e42deee2ac">QU3KSHKJW5RD-524238799-17909</_dlc_DocId>
    <_dlc_DocIdUrl xmlns="e7b8f3c9-9aa5-41cf-b6f0-d6e42deee2ac">
      <Url>https://hopuk.sharepoint.com/sites/bct-PPCS/_layouts/15/DocIdRedir.aspx?ID=QU3KSHKJW5RD-524238799-17909</Url>
      <Description>QU3KSHKJW5RD-524238799-17909</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63C15C7552A324C8C6D965D7469A732" ma:contentTypeVersion="140" ma:contentTypeDescription="Create a new document." ma:contentTypeScope="" ma:versionID="3af1df6ff97e43aafd3d0899f52544df">
  <xsd:schema xmlns:xsd="http://www.w3.org/2001/XMLSchema" xmlns:xs="http://www.w3.org/2001/XMLSchema" xmlns:p="http://schemas.microsoft.com/office/2006/metadata/properties" xmlns:ns2="4600776d-0a3c-44b4-bff2-0ceaafb13046" xmlns:ns3="e7b8f3c9-9aa5-41cf-b6f0-d6e42deee2ac" xmlns:ns4="9a5cedf3-f350-49f5-b8d1-d7faff403c37" targetNamespace="http://schemas.microsoft.com/office/2006/metadata/properties" ma:root="true" ma:fieldsID="43734177a9ea286a630030c726392472" ns2:_="" ns3:_="" ns4:_="">
    <xsd:import namespace="4600776d-0a3c-44b4-bff2-0ceaafb13046"/>
    <xsd:import namespace="e7b8f3c9-9aa5-41cf-b6f0-d6e42deee2ac"/>
    <xsd:import namespace="9a5cedf3-f350-49f5-b8d1-d7faff403c37"/>
    <xsd:element name="properties">
      <xsd:complexType>
        <xsd:sequence>
          <xsd:element name="documentManagement">
            <xsd:complexType>
              <xsd:all>
                <xsd:element ref="ns2:TransfertoArchives" minOccurs="0"/>
                <xsd:element ref="ns2:RetentionTriggerDate" minOccurs="0"/>
                <xsd:element ref="ns2:RecordNumber" minOccurs="0"/>
                <xsd:element ref="ns3:_dlc_DocIdPersistId" minOccurs="0"/>
                <xsd:element ref="ns2:TaxCatchAll" minOccurs="0"/>
                <xsd:element ref="ns2:g3ef09377e3444258679b6035a1ff93a" minOccurs="0"/>
                <xsd:element ref="ns2:j6c5b17cd04246da82e5604daf08bc68" minOccurs="0"/>
                <xsd:element ref="ns2:c4838c65c76546ae93d5703426802f7f" minOccurs="0"/>
                <xsd:element ref="ns2:k5b153ee974a4a57a7568e533217f2cb" minOccurs="0"/>
                <xsd:element ref="ns2:cd0fc526a5c840319a97fd94028e9904" minOccurs="0"/>
                <xsd:element ref="ns3:_dlc_DocId" minOccurs="0"/>
                <xsd:element ref="ns3:_dlc_DocIdUrl" minOccurs="0"/>
                <xsd:element ref="ns4:MediaServiceMetadata" minOccurs="0"/>
                <xsd:element ref="ns4:MediaServiceFastMetadata" minOccurs="0"/>
                <xsd:element ref="ns4:MediaServiceAutoTags" minOccurs="0"/>
                <xsd:element ref="ns4:MediaServiceOCR" minOccurs="0"/>
                <xsd:element ref="ns3:SharedWithUsers" minOccurs="0"/>
                <xsd:element ref="ns3:SharedWithDetails" minOccurs="0"/>
                <xsd:element ref="ns4:_Flow_SignoffStatus" minOccurs="0"/>
                <xsd:element ref="ns4:MediaServiceAutoKeyPoints" minOccurs="0"/>
                <xsd:element ref="ns4:MediaServiceKeyPoints" minOccurs="0"/>
                <xsd:element ref="ns4:MediaServiceGenerationTime" minOccurs="0"/>
                <xsd:element ref="ns4:MediaServiceEventHashCode" minOccurs="0"/>
                <xsd:element ref="ns4:lcf76f155ced4ddcb4097134ff3c332f"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600776d-0a3c-44b4-bff2-0ceaafb13046" elementFormDefault="qualified">
    <xsd:import namespace="http://schemas.microsoft.com/office/2006/documentManagement/types"/>
    <xsd:import namespace="http://schemas.microsoft.com/office/infopath/2007/PartnerControls"/>
    <xsd:element name="TransfertoArchives" ma:index="7" nillable="true" ma:displayName="Transfer to Archives" ma:default="0" ma:internalName="TransfertoArchives" ma:readOnly="false">
      <xsd:simpleType>
        <xsd:restriction base="dms:Boolean"/>
      </xsd:simpleType>
    </xsd:element>
    <xsd:element name="RetentionTriggerDate" ma:index="8" nillable="true" ma:displayName="Retention Trigger Date" ma:format="DateOnly" ma:internalName="RetentionTriggerDate" ma:readOnly="false">
      <xsd:simpleType>
        <xsd:restriction base="dms:DateTime"/>
      </xsd:simpleType>
    </xsd:element>
    <xsd:element name="RecordNumber" ma:index="9" nillable="true" ma:displayName="Record Number" ma:indexed="true" ma:internalName="RecordNumber" ma:readOnly="false">
      <xsd:simpleType>
        <xsd:restriction base="dms:Text">
          <xsd:maxLength value="255"/>
        </xsd:restriction>
      </xsd:simpleType>
    </xsd:element>
    <xsd:element name="TaxCatchAll" ma:index="11" nillable="true" ma:displayName="Taxonomy Catch All Column" ma:hidden="true" ma:list="{844e31ed-c689-4dcf-8543-6e078a1b85b2}" ma:internalName="TaxCatchAll" ma:showField="CatchAllData" ma:web="e7b8f3c9-9aa5-41cf-b6f0-d6e42deee2ac">
      <xsd:complexType>
        <xsd:complexContent>
          <xsd:extension base="dms:MultiChoiceLookup">
            <xsd:sequence>
              <xsd:element name="Value" type="dms:Lookup" maxOccurs="unbounded" minOccurs="0" nillable="true"/>
            </xsd:sequence>
          </xsd:extension>
        </xsd:complexContent>
      </xsd:complexType>
    </xsd:element>
    <xsd:element name="g3ef09377e3444258679b6035a1ff93a" ma:index="12" nillable="true" ma:taxonomy="true" ma:internalName="g3ef09377e3444258679b6035a1ff93a" ma:taxonomyFieldName="RMKeyword3" ma:displayName="RM Keyword 3" ma:readOnly="false" ma:fieldId="{03ef0937-7e34-4425-8679-b6035a1ff93a}" ma:sspId="eb37f91c-4bb8-4ab3-bc5a-cd8753815459" ma:termSetId="4114c526-84fc-4c3e-bdac-645514365e25" ma:anchorId="00000000-0000-0000-0000-000000000000" ma:open="false" ma:isKeyword="false">
      <xsd:complexType>
        <xsd:sequence>
          <xsd:element ref="pc:Terms" minOccurs="0" maxOccurs="1"/>
        </xsd:sequence>
      </xsd:complexType>
    </xsd:element>
    <xsd:element name="j6c5b17cd04246da82e5604daf08bc68" ma:index="14" nillable="true" ma:taxonomy="true" ma:internalName="j6c5b17cd04246da82e5604daf08bc68" ma:taxonomyFieldName="RMKeyword2" ma:displayName="RM Keyword 2" ma:readOnly="false" ma:default="7;#Policy Making|72acc014-9881-4fb1-aaba-57e1c5dbd017" ma:fieldId="{36c5b17c-d042-46da-82e5-604daf08bc68}" ma:sspId="eb37f91c-4bb8-4ab3-bc5a-cd8753815459" ma:termSetId="6d4083f0-4a5b-4f0d-bf61-1a7bc95d06a4" ma:anchorId="00000000-0000-0000-0000-000000000000" ma:open="false" ma:isKeyword="false">
      <xsd:complexType>
        <xsd:sequence>
          <xsd:element ref="pc:Terms" minOccurs="0" maxOccurs="1"/>
        </xsd:sequence>
      </xsd:complexType>
    </xsd:element>
    <xsd:element name="c4838c65c76546ae93d5703426802f7f" ma:index="16" nillable="true" ma:taxonomy="true" ma:internalName="c4838c65c76546ae93d5703426802f7f" ma:taxonomyFieldName="RMKeyword1" ma:displayName="RM Keyword 1" ma:readOnly="false" ma:fieldId="{c4838c65-c765-46ae-93d5-703426802f7f}" ma:sspId="eb37f91c-4bb8-4ab3-bc5a-cd8753815459" ma:termSetId="6ce78382-c8e8-44b0-9862-0d52dc2f47b1" ma:anchorId="00000000-0000-0000-0000-000000000000" ma:open="false" ma:isKeyword="false">
      <xsd:complexType>
        <xsd:sequence>
          <xsd:element ref="pc:Terms" minOccurs="0" maxOccurs="1"/>
        </xsd:sequence>
      </xsd:complexType>
    </xsd:element>
    <xsd:element name="k5b153ee974a4a57a7568e533217f2cb" ma:index="18" nillable="true" ma:taxonomy="true" ma:internalName="k5b153ee974a4a57a7568e533217f2cb" ma:taxonomyFieldName="ProtectiveMarking" ma:displayName="Protective Marking" ma:indexed="true" ma:readOnly="false" ma:fieldId="{45b153ee-974a-4a57-a756-8e533217f2cb}" ma:sspId="eb37f91c-4bb8-4ab3-bc5a-cd8753815459" ma:termSetId="a21652b8-fc26-4b81-81c8-686b596c9f43" ma:anchorId="00000000-0000-0000-0000-000000000000" ma:open="false" ma:isKeyword="false">
      <xsd:complexType>
        <xsd:sequence>
          <xsd:element ref="pc:Terms" minOccurs="0" maxOccurs="1"/>
        </xsd:sequence>
      </xsd:complexType>
    </xsd:element>
    <xsd:element name="cd0fc526a5c840319a97fd94028e9904" ma:index="20" nillable="true" ma:taxonomy="true" ma:internalName="cd0fc526a5c840319a97fd94028e9904" ma:taxonomyFieldName="RMKeyword4" ma:displayName="RM Keyword 4" ma:readOnly="false" ma:fieldId="{cd0fc526-a5c8-4031-9a97-fd94028e9904}" ma:sspId="eb37f91c-4bb8-4ab3-bc5a-cd8753815459" ma:termSetId="35662a10-3587-4b3e-a59c-955899b5916d"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7b8f3c9-9aa5-41cf-b6f0-d6e42deee2ac" elementFormDefault="qualified">
    <xsd:import namespace="http://schemas.microsoft.com/office/2006/documentManagement/types"/>
    <xsd:import namespace="http://schemas.microsoft.com/office/infopath/2007/PartnerControls"/>
    <xsd:element name="_dlc_DocIdPersistId" ma:index="10" nillable="true" ma:displayName="Persist ID" ma:description="Keep ID on add." ma:hidden="true" ma:internalName="_dlc_DocIdPersistId" ma:readOnly="true">
      <xsd:simpleType>
        <xsd:restriction base="dms:Boolean"/>
      </xsd:simpleType>
    </xsd:element>
    <xsd:element name="_dlc_DocId" ma:index="22" nillable="true" ma:displayName="Document ID Value" ma:description="The value of the document ID assigned to this item." ma:indexed="true" ma:internalName="_dlc_DocId" ma:readOnly="true">
      <xsd:simpleType>
        <xsd:restriction base="dms:Text"/>
      </xsd:simpleType>
    </xsd:element>
    <xsd:element name="_dlc_DocIdUrl" ma:index="2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SharedWithUsers" ma:index="2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0"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a5cedf3-f350-49f5-b8d1-d7faff403c37" elementFormDefault="qualified">
    <xsd:import namespace="http://schemas.microsoft.com/office/2006/documentManagement/types"/>
    <xsd:import namespace="http://schemas.microsoft.com/office/infopath/2007/PartnerControls"/>
    <xsd:element name="MediaServiceMetadata" ma:index="25" nillable="true" ma:displayName="MediaServiceMetadata" ma:hidden="true" ma:internalName="MediaServiceMetadata" ma:readOnly="true">
      <xsd:simpleType>
        <xsd:restriction base="dms:Note"/>
      </xsd:simpleType>
    </xsd:element>
    <xsd:element name="MediaServiceFastMetadata" ma:index="26" nillable="true" ma:displayName="MediaServiceFastMetadata" ma:hidden="true" ma:internalName="MediaServiceFastMetadata" ma:readOnly="true">
      <xsd:simpleType>
        <xsd:restriction base="dms:Note"/>
      </xsd:simpleType>
    </xsd:element>
    <xsd:element name="MediaServiceAutoTags" ma:index="27" nillable="true" ma:displayName="Tags" ma:internalName="MediaServiceAutoTags" ma:readOnly="true">
      <xsd:simpleType>
        <xsd:restriction base="dms:Text"/>
      </xsd:simpleType>
    </xsd:element>
    <xsd:element name="MediaServiceOCR" ma:index="28" nillable="true" ma:displayName="Extracted Text" ma:internalName="MediaServiceOCR" ma:readOnly="true">
      <xsd:simpleType>
        <xsd:restriction base="dms:Note">
          <xsd:maxLength value="255"/>
        </xsd:restriction>
      </xsd:simpleType>
    </xsd:element>
    <xsd:element name="_Flow_SignoffStatus" ma:index="31" nillable="true" ma:displayName="Sign-off status" ma:internalName="Sign_x002d_off_x0020_status">
      <xsd:simpleType>
        <xsd:restriction base="dms:Text"/>
      </xsd:simpleType>
    </xsd:element>
    <xsd:element name="MediaServiceAutoKeyPoints" ma:index="32" nillable="true" ma:displayName="MediaServiceAutoKeyPoints" ma:hidden="true" ma:internalName="MediaServiceAutoKeyPoints" ma:readOnly="true">
      <xsd:simpleType>
        <xsd:restriction base="dms:Note"/>
      </xsd:simpleType>
    </xsd:element>
    <xsd:element name="MediaServiceKeyPoints" ma:index="33" nillable="true" ma:displayName="KeyPoints" ma:internalName="MediaServiceKeyPoints" ma:readOnly="true">
      <xsd:simpleType>
        <xsd:restriction base="dms:Note">
          <xsd:maxLength value="255"/>
        </xsd:restriction>
      </xsd:simpleType>
    </xsd:element>
    <xsd:element name="MediaServiceGenerationTime" ma:index="34" nillable="true" ma:displayName="MediaServiceGenerationTime" ma:hidden="true" ma:internalName="MediaServiceGenerationTime" ma:readOnly="true">
      <xsd:simpleType>
        <xsd:restriction base="dms:Text"/>
      </xsd:simpleType>
    </xsd:element>
    <xsd:element name="MediaServiceEventHashCode" ma:index="35" nillable="true" ma:displayName="MediaServiceEventHashCode" ma:hidden="true" ma:internalName="MediaServiceEventHashCode" ma:readOnly="true">
      <xsd:simpleType>
        <xsd:restriction base="dms:Text"/>
      </xsd:simpleType>
    </xsd:element>
    <xsd:element name="lcf76f155ced4ddcb4097134ff3c332f" ma:index="37" nillable="true" ma:taxonomy="true" ma:internalName="lcf76f155ced4ddcb4097134ff3c332f" ma:taxonomyFieldName="MediaServiceImageTags" ma:displayName="Image Tags" ma:readOnly="false" ma:fieldId="{5cf76f15-5ced-4ddc-b409-7134ff3c332f}" ma:taxonomyMulti="true" ma:sspId="eb37f91c-4bb8-4ab3-bc5a-cd875381545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8" nillable="true" ma:displayName="MediaServiceObjectDetectorVersions" ma:hidden="true" ma:indexed="true" ma:internalName="MediaServiceObjectDetectorVersions" ma:readOnly="true">
      <xsd:simpleType>
        <xsd:restriction base="dms:Text"/>
      </xsd:simpleType>
    </xsd:element>
    <xsd:element name="MediaServiceSearchProperties" ma:index="39"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7"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file>

<file path=customXml/itemProps1.xml><?xml version="1.0" encoding="utf-8"?>
<ds:datastoreItem xmlns:ds="http://schemas.openxmlformats.org/officeDocument/2006/customXml" ds:itemID="{F6F216E8-1EED-4B3E-9FE6-5C8AC746E346}">
  <ds:schemaRefs>
    <ds:schemaRef ds:uri="http://schemas.microsoft.com/office/2006/documentManagement/types"/>
    <ds:schemaRef ds:uri="http://www.w3.org/XML/1998/namespace"/>
    <ds:schemaRef ds:uri="http://purl.org/dc/elements/1.1/"/>
    <ds:schemaRef ds:uri="http://schemas.microsoft.com/office/infopath/2007/PartnerControls"/>
    <ds:schemaRef ds:uri="http://schemas.microsoft.com/office/2006/metadata/properties"/>
    <ds:schemaRef ds:uri="e7b8f3c9-9aa5-41cf-b6f0-d6e42deee2ac"/>
    <ds:schemaRef ds:uri="http://schemas.openxmlformats.org/package/2006/metadata/core-properties"/>
    <ds:schemaRef ds:uri="http://purl.org/dc/terms/"/>
    <ds:schemaRef ds:uri="9a5cedf3-f350-49f5-b8d1-d7faff403c37"/>
    <ds:schemaRef ds:uri="4600776d-0a3c-44b4-bff2-0ceaafb13046"/>
    <ds:schemaRef ds:uri="http://purl.org/dc/dcmitype/"/>
  </ds:schemaRefs>
</ds:datastoreItem>
</file>

<file path=customXml/itemProps2.xml><?xml version="1.0" encoding="utf-8"?>
<ds:datastoreItem xmlns:ds="http://schemas.openxmlformats.org/officeDocument/2006/customXml" ds:itemID="{4041C9A0-D507-4CD6-868F-1877BC4CE5E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600776d-0a3c-44b4-bff2-0ceaafb13046"/>
    <ds:schemaRef ds:uri="e7b8f3c9-9aa5-41cf-b6f0-d6e42deee2ac"/>
    <ds:schemaRef ds:uri="9a5cedf3-f350-49f5-b8d1-d7faff403c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FE3318B-B618-40EE-8C52-3FC5E869D259}">
  <ds:schemaRefs>
    <ds:schemaRef ds:uri="http://schemas.microsoft.com/sharepoint/events"/>
  </ds:schemaRefs>
</ds:datastoreItem>
</file>

<file path=customXml/itemProps4.xml><?xml version="1.0" encoding="utf-8"?>
<ds:datastoreItem xmlns:ds="http://schemas.openxmlformats.org/officeDocument/2006/customXml" ds:itemID="{8EEC6BBF-AEB7-4506-9751-FBB3B07639C2}">
  <ds:schemaRefs>
    <ds:schemaRef ds:uri="http://schemas.microsoft.com/sharepoint/v3/contenttype/forms"/>
  </ds:schemaRefs>
</ds:datastoreItem>
</file>

<file path=docMetadata/LabelInfo.xml><?xml version="1.0" encoding="utf-8"?>
<clbl:labelList xmlns:clbl="http://schemas.microsoft.com/office/2020/mipLabelMetadata">
  <clbl:label id="{a6dee447-25f7-4c2f-aaae-4fb8dd8fd8a7}" enabled="1" method="Privileged" siteId="{28b782fb-41e1-48ea-bfc3-ad7558ce7136}" removed="0"/>
  <clbl:label id="{a8f77787-5df4-43b6-a2a8-8d8b678a318b}" enabled="1" method="Standard" siteId="{1ce6dd9e-b337-4088-be5e-8dbbec04b34a}"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Overview</vt:lpstr>
      <vt:lpstr>Input Guidance</vt:lpstr>
      <vt:lpstr>Input</vt:lpstr>
      <vt:lpstr>Country Data</vt:lpstr>
      <vt:lpstr>Reference</vt:lpstr>
      <vt:lpstr>Output</vt:lpstr>
      <vt:lpstr>Good Practice</vt:lpstr>
      <vt:lpstr>GSI</vt:lpstr>
    </vt:vector>
  </TitlesOfParts>
  <Manager/>
  <Company>Houses of Parliament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flaggm@parliament.uk</dc:creator>
  <cp:keywords/>
  <dc:description/>
  <cp:lastModifiedBy>Sally Taylor</cp:lastModifiedBy>
  <cp:revision/>
  <dcterms:created xsi:type="dcterms:W3CDTF">2023-02-17T08:37:38Z</dcterms:created>
  <dcterms:modified xsi:type="dcterms:W3CDTF">2025-10-09T07:59:53Z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8f77787-5df4-43b6-a2a8-8d8b678a318b_Enabled">
    <vt:lpwstr>true</vt:lpwstr>
  </property>
  <property fmtid="{D5CDD505-2E9C-101B-9397-08002B2CF9AE}" pid="3" name="MSIP_Label_a8f77787-5df4-43b6-a2a8-8d8b678a318b_SetDate">
    <vt:lpwstr>2023-02-17T08:37:38Z</vt:lpwstr>
  </property>
  <property fmtid="{D5CDD505-2E9C-101B-9397-08002B2CF9AE}" pid="4" name="MSIP_Label_a8f77787-5df4-43b6-a2a8-8d8b678a318b_Method">
    <vt:lpwstr>Standard</vt:lpwstr>
  </property>
  <property fmtid="{D5CDD505-2E9C-101B-9397-08002B2CF9AE}" pid="5" name="MSIP_Label_a8f77787-5df4-43b6-a2a8-8d8b678a318b_Name">
    <vt:lpwstr>a8f77787-5df4-43b6-a2a8-8d8b678a318b</vt:lpwstr>
  </property>
  <property fmtid="{D5CDD505-2E9C-101B-9397-08002B2CF9AE}" pid="6" name="MSIP_Label_a8f77787-5df4-43b6-a2a8-8d8b678a318b_SiteId">
    <vt:lpwstr>1ce6dd9e-b337-4088-be5e-8dbbec04b34a</vt:lpwstr>
  </property>
  <property fmtid="{D5CDD505-2E9C-101B-9397-08002B2CF9AE}" pid="7" name="MSIP_Label_a8f77787-5df4-43b6-a2a8-8d8b678a318b_ActionId">
    <vt:lpwstr>1513c82f-88d2-4943-b52b-68d4760fb21b</vt:lpwstr>
  </property>
  <property fmtid="{D5CDD505-2E9C-101B-9397-08002B2CF9AE}" pid="8" name="MSIP_Label_a8f77787-5df4-43b6-a2a8-8d8b678a318b_ContentBits">
    <vt:lpwstr>0</vt:lpwstr>
  </property>
  <property fmtid="{D5CDD505-2E9C-101B-9397-08002B2CF9AE}" pid="9" name="ContentTypeId">
    <vt:lpwstr>0x010100B63C15C7552A324C8C6D965D7469A732</vt:lpwstr>
  </property>
  <property fmtid="{D5CDD505-2E9C-101B-9397-08002B2CF9AE}" pid="10" name="RMKeyword2">
    <vt:lpwstr>7;#Policy Making|72acc014-9881-4fb1-aaba-57e1c5dbd017</vt:lpwstr>
  </property>
  <property fmtid="{D5CDD505-2E9C-101B-9397-08002B2CF9AE}" pid="11" name="_dlc_DocIdItemGuid">
    <vt:lpwstr>cc10386d-2866-41c9-966b-8ab95a9f54d4</vt:lpwstr>
  </property>
  <property fmtid="{D5CDD505-2E9C-101B-9397-08002B2CF9AE}" pid="12" name="RMKeyword3">
    <vt:lpwstr/>
  </property>
  <property fmtid="{D5CDD505-2E9C-101B-9397-08002B2CF9AE}" pid="13" name="MediaServiceImageTags">
    <vt:lpwstr/>
  </property>
  <property fmtid="{D5CDD505-2E9C-101B-9397-08002B2CF9AE}" pid="14" name="RMKeyword4">
    <vt:lpwstr/>
  </property>
  <property fmtid="{D5CDD505-2E9C-101B-9397-08002B2CF9AE}" pid="15" name="ProtectiveMarking">
    <vt:lpwstr/>
  </property>
  <property fmtid="{D5CDD505-2E9C-101B-9397-08002B2CF9AE}" pid="16" name="RMKeyword1">
    <vt:lpwstr/>
  </property>
  <property fmtid="{D5CDD505-2E9C-101B-9397-08002B2CF9AE}" pid="17" name="lae2bfa7b6474897ab4a53f76ea236c7">
    <vt:lpwstr>Official|14c80daa-741b-422c-9722-f71693c9ede4</vt:lpwstr>
  </property>
  <property fmtid="{D5CDD505-2E9C-101B-9397-08002B2CF9AE}" pid="18" name="cf401361b24e474cb011be6eb76c0e76">
    <vt:lpwstr>Crown|69589897-2828-4761-976e-717fd8e631c9</vt:lpwstr>
  </property>
  <property fmtid="{D5CDD505-2E9C-101B-9397-08002B2CF9AE}" pid="19" name="InformationType">
    <vt:lpwstr/>
  </property>
  <property fmtid="{D5CDD505-2E9C-101B-9397-08002B2CF9AE}" pid="20" name="fe59e9859d6a491389c5b03567f5dda5">
    <vt:lpwstr/>
  </property>
  <property fmtid="{D5CDD505-2E9C-101B-9397-08002B2CF9AE}" pid="21" name="k85d23755b3a46b5a51451cf336b2e9b">
    <vt:lpwstr/>
  </property>
  <property fmtid="{D5CDD505-2E9C-101B-9397-08002B2CF9AE}" pid="22" name="Distribution">
    <vt:lpwstr/>
  </property>
  <property fmtid="{D5CDD505-2E9C-101B-9397-08002B2CF9AE}" pid="23" name="HOCopyrightLevel">
    <vt:lpwstr>1;#Crown|69589897-2828-4761-976e-717fd8e631c9</vt:lpwstr>
  </property>
  <property fmtid="{D5CDD505-2E9C-101B-9397-08002B2CF9AE}" pid="24" name="HOGovernmentSecurityClassification">
    <vt:lpwstr>2;#Official|14c80daa-741b-422c-9722-f71693c9ede4</vt:lpwstr>
  </property>
  <property fmtid="{D5CDD505-2E9C-101B-9397-08002B2CF9AE}" pid="25" name="OrganisationalUnit">
    <vt:lpwstr/>
  </property>
  <property fmtid="{D5CDD505-2E9C-101B-9397-08002B2CF9AE}" pid="26" name="n7493b4506bf40e28c373b1e51a33445">
    <vt:lpwstr/>
  </property>
  <property fmtid="{D5CDD505-2E9C-101B-9397-08002B2CF9AE}" pid="27" name="HOSiteType">
    <vt:lpwstr/>
  </property>
  <property fmtid="{D5CDD505-2E9C-101B-9397-08002B2CF9AE}" pid="28" name="ddeb1fd0a9ad4436a96525d34737dc44">
    <vt:lpwstr/>
  </property>
</Properties>
</file>