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homesandcommunities-my.sharepoint.com/personal/richard_mcpartland_homesengland_gov_uk/Documents/Desktop/"/>
    </mc:Choice>
  </mc:AlternateContent>
  <xr:revisionPtr revIDLastSave="0" documentId="14_{0E74E2D5-0612-45E0-8BBC-96072E765B05}" xr6:coauthVersionLast="47" xr6:coauthVersionMax="47" xr10:uidLastSave="{00000000-0000-0000-0000-000000000000}"/>
  <bookViews>
    <workbookView xWindow="-110" yWindow="-110" windowWidth="22780" windowHeight="14540" xr2:uid="{4D32FF1E-DE7C-4578-BA9D-F6A073905622}"/>
  </bookViews>
  <sheets>
    <sheet name="Welcome" sheetId="15" r:id="rId1"/>
    <sheet name="1. Tool guide" sheetId="68" r:id="rId2"/>
    <sheet name="2. General project information" sheetId="71" r:id="rId3"/>
    <sheet name="3. Option specific inputs" sheetId="84" r:id="rId4"/>
    <sheet name="4. Impacts" sheetId="73" r:id="rId5"/>
    <sheet name="5.1 - Brownfield amenity" sheetId="80" r:id="rId6"/>
    <sheet name="5.2 - Feature amenity" sheetId="90" r:id="rId7"/>
    <sheet name="6.1 - Value look-up" sheetId="124" r:id="rId8"/>
    <sheet name="6.2 - GDP deflators" sheetId="125" r:id="rId9"/>
    <sheet name="6.3 - Discount rates" sheetId="88" r:id="rId10"/>
    <sheet name="6.4 - Hectares brownfield" sheetId="82" r:id="rId11"/>
    <sheet name="6.5 - Housing densities" sheetId="75" r:id="rId12"/>
    <sheet name="6.6 - Lists and lookups" sheetId="133" r:id="rId13"/>
  </sheets>
  <definedNames>
    <definedName name="_xlnm._FilterDatabase" localSheetId="10" hidden="1">'6.4 - Hectares brownfield'!$B$7:$I$7</definedName>
    <definedName name="Appraisal_Base_Year">'2. General project information'!$C$29</definedName>
    <definedName name="Appraisal_Period">'2. General project information'!$C$31</definedName>
    <definedName name="Appraisal_Period_Lookup">'6.6 - Lists and lookups'!$B$42:$B$44</definedName>
    <definedName name="AppraisalYearCalendar">'2. General project information'!$F$29</definedName>
    <definedName name="Brownfield_NDT_Central">'5.1 - Brownfield amenity'!$J$84:$BQ$84</definedName>
    <definedName name="Brownfield_Removed_Total">'3. Option specific inputs'!$D$41</definedName>
    <definedName name="BrownfieldDT_Central">'5.1 - Brownfield amenity'!$J$85:$BQ$85</definedName>
    <definedName name="BrownfieldDT_High">'5.1 - Brownfield amenity'!$J$111:$BQ$111</definedName>
    <definedName name="BrownfieldDT_Low">'5.1 - Brownfield amenity'!$J$98:$BQ$98</definedName>
    <definedName name="CalendarYearRange60">'6.6 - Lists and lookups'!$C$79:$BJ$79</definedName>
    <definedName name="CBWorkbookPriority" hidden="1">-717821871</definedName>
    <definedName name="CubicMetretoMegaLitre">0.001</definedName>
    <definedName name="Currency">_xlfn.CONCAT("(£, ",MoneyScalarName,")")</definedName>
    <definedName name="DF_Appraisal_Period">'6.3 - Discount rates'!$D$13</definedName>
    <definedName name="DFVector">'6.3 - Discount rates'!$D$6:$CZ$9</definedName>
    <definedName name="DME_LocalFile" hidden="1">"True"</definedName>
    <definedName name="DT">_xlfn.CONCAT("Discounted total ",Currency)</definedName>
    <definedName name="Expand">"Press the plus/minus to the left to expand/minimise this section"</definedName>
    <definedName name="FeatureDT_Central">'5.2 - Feature amenity'!$J$59:$BQ$59</definedName>
    <definedName name="FeatureDT_High">'5.2 - Feature amenity'!$J$81:$BQ$81</definedName>
    <definedName name="FeatureDT_Low">'5.2 - Feature amenity'!$J$70:$BQ$70</definedName>
    <definedName name="FinancialYearRange30">'6.6 - Lists and lookups'!$C$77:$AF$77</definedName>
    <definedName name="FinancialYearRange30_Short">'6.6 - Lists and lookups'!$C$80:$AF$80</definedName>
    <definedName name="FinancialYearRange60">'6.6 - Lists and lookups'!$C$77:$BJ$77</definedName>
    <definedName name="FinancialYearRange60_Short">'6.6 - Lists and lookups'!$C$80:$BJ$80</definedName>
    <definedName name="GDPUpliftVector_CalendarYear">'6.2 - GDP deflators'!$H$17:$K$89</definedName>
    <definedName name="GDPUpliftVector_FinancialYear">'6.2 - GDP deflators'!$B$17:$C$91</definedName>
    <definedName name="Homes_Delivered_Annual">'3. Option specific inputs'!$D$31:$AG$31</definedName>
    <definedName name="Homes_Delivered_Total">'3. Option specific inputs'!$C$31</definedName>
    <definedName name="KgtoTonnes">0.001</definedName>
    <definedName name="kWhtoGWh">0.000001</definedName>
    <definedName name="LA">'2. General project information'!$C$25</definedName>
    <definedName name="LA_Lookup_EastEngland">'6.6 - Lists and lookups'!$I$9:$I$53</definedName>
    <definedName name="LA_Lookup_EastMidlands">'6.6 - Lists and lookups'!$G$9:$G$43</definedName>
    <definedName name="LA_Lookup_London">'6.6 - Lists and lookups'!$J$9:$J$41</definedName>
    <definedName name="LA_Lookup_Northeast">'6.6 - Lists and lookups'!$D$9:$D$20</definedName>
    <definedName name="LA_Lookup_Northwest">'6.6 - Lists and lookups'!$E$9:$E$47</definedName>
    <definedName name="LA_Lookup_SouthEast">'6.6 - Lists and lookups'!$K$9:$K$72</definedName>
    <definedName name="LA_Lookup_Southwest">'6.6 - Lists and lookups'!$L$9:$L$38</definedName>
    <definedName name="LA_Lookup_WestMidlands">'6.6 - Lists and lookups'!$H$9:$H$38</definedName>
    <definedName name="LA_Lookup_Yorkshire">'6.6 - Lists and lookups'!$F$9:$F$29</definedName>
    <definedName name="MoneyScalar">'2. General project information'!$F$35</definedName>
    <definedName name="MoneyScalarName">'2. General project information'!$C$35</definedName>
    <definedName name="NDT">_xlfn.CONCAT("Non-discounted total ",Currency)</definedName>
    <definedName name="Option_Description">'3. Option specific inputs'!$C$20</definedName>
    <definedName name="Option_Name">'3. Option specific inputs'!$C$19</definedName>
    <definedName name="Project_area">'2. General project information'!$C$33</definedName>
    <definedName name="Project_Name">'2. General project information'!$C$19</definedName>
    <definedName name="Recreation_NDT_Central">'5.2 - Feature amenity'!$J$58:$BQ$58</definedName>
    <definedName name="Region">'2. General project information'!$C$23</definedName>
    <definedName name="Regions_Lookups">'6.6 - Lists and lookups'!$B$8:$B$16</definedName>
    <definedName name="TAV">_xlfn.CONCAT("Total annual value ",Currency)</definedName>
    <definedName name="UrbanRural">'2. General project information'!$C$27</definedName>
    <definedName name="YearTranslationLookup">'6.6 - Lists and lookups'!$B$48:$C$67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80" l="1"/>
  <c r="E123" i="80"/>
  <c r="I90" i="125"/>
  <c r="C90" i="125"/>
  <c r="I85" i="125"/>
  <c r="I86" i="125" s="1"/>
  <c r="I87" i="125" s="1"/>
  <c r="I88" i="125" s="1"/>
  <c r="I89" i="125" s="1"/>
  <c r="C85" i="125"/>
  <c r="C86" i="125" s="1"/>
  <c r="C87" i="125" s="1"/>
  <c r="C88" i="125" s="1"/>
  <c r="C89" i="125" s="1"/>
  <c r="E66" i="84" l="1"/>
  <c r="E65" i="84"/>
  <c r="E64" i="84"/>
  <c r="E63" i="84"/>
  <c r="E62" i="84"/>
  <c r="E61" i="84"/>
  <c r="E60" i="84"/>
  <c r="E59" i="84"/>
  <c r="E58" i="84"/>
  <c r="C13" i="88"/>
  <c r="C76" i="71"/>
  <c r="AG32" i="84"/>
  <c r="C32" i="84" s="1"/>
  <c r="AF32" i="84"/>
  <c r="AE32" i="84"/>
  <c r="AD32" i="84"/>
  <c r="AC32" i="84"/>
  <c r="AB32" i="84"/>
  <c r="AA32" i="84"/>
  <c r="Z32" i="84"/>
  <c r="Y32" i="84"/>
  <c r="X32" i="84"/>
  <c r="W32" i="84"/>
  <c r="V32" i="84"/>
  <c r="U32" i="84"/>
  <c r="T32" i="84"/>
  <c r="S32" i="84"/>
  <c r="R32" i="84"/>
  <c r="Q32" i="84"/>
  <c r="P32" i="84"/>
  <c r="O32" i="84"/>
  <c r="N32" i="84"/>
  <c r="M32" i="84"/>
  <c r="L32" i="84"/>
  <c r="K32" i="84"/>
  <c r="J32" i="84"/>
  <c r="I32" i="84"/>
  <c r="H32" i="84"/>
  <c r="G32" i="84"/>
  <c r="F32" i="84"/>
  <c r="E32" i="84"/>
  <c r="D32" i="84"/>
  <c r="C48" i="73"/>
  <c r="B48" i="73"/>
  <c r="C41" i="73"/>
  <c r="B41" i="73"/>
  <c r="E37" i="71"/>
  <c r="C107" i="71" s="1"/>
  <c r="B87" i="71" l="1"/>
  <c r="B26" i="73" l="1"/>
  <c r="C13" i="73" l="1"/>
  <c r="B16" i="73"/>
  <c r="C12" i="73"/>
  <c r="C7" i="73"/>
  <c r="B40" i="73" l="1"/>
  <c r="B47" i="73"/>
  <c r="B25" i="73"/>
  <c r="F21" i="84"/>
  <c r="C73" i="84" s="1"/>
  <c r="E102" i="71"/>
  <c r="C110" i="71" s="1"/>
  <c r="E77" i="71"/>
  <c r="C109" i="71" s="1"/>
  <c r="B89" i="71" l="1"/>
  <c r="B49" i="71" l="1"/>
  <c r="H75" i="90" l="1"/>
  <c r="G75" i="90"/>
  <c r="F75" i="90"/>
  <c r="E75" i="90" a="1"/>
  <c r="E75" i="90" s="1"/>
  <c r="H64" i="90"/>
  <c r="G64" i="90"/>
  <c r="F64" i="90"/>
  <c r="E64" i="90" a="1"/>
  <c r="E64" i="90" s="1"/>
  <c r="H103" i="80"/>
  <c r="G103" i="80"/>
  <c r="F103" i="80"/>
  <c r="E103" i="80" a="1"/>
  <c r="E103" i="80" s="1"/>
  <c r="H90" i="80"/>
  <c r="G90" i="80"/>
  <c r="F90" i="80"/>
  <c r="E90" i="80" a="1"/>
  <c r="E90" i="80" s="1"/>
  <c r="E53" i="90" a="1"/>
  <c r="E53" i="90" s="1"/>
  <c r="BJ78" i="133"/>
  <c r="BQ77" i="90" s="1"/>
  <c r="BI78" i="133"/>
  <c r="BP77" i="90" s="1"/>
  <c r="BH78" i="133"/>
  <c r="BO66" i="90" s="1"/>
  <c r="BG78" i="133"/>
  <c r="BN66" i="90" s="1"/>
  <c r="BF78" i="133"/>
  <c r="BM55" i="90" s="1"/>
  <c r="BE78" i="133"/>
  <c r="BL55" i="90" s="1"/>
  <c r="BD78" i="133"/>
  <c r="BK55" i="90" s="1"/>
  <c r="BC78" i="133"/>
  <c r="BJ55" i="90" s="1"/>
  <c r="BB78" i="133"/>
  <c r="BI77" i="90" s="1"/>
  <c r="BA78" i="133"/>
  <c r="BH77" i="90" s="1"/>
  <c r="AZ78" i="133"/>
  <c r="BG66" i="90" s="1"/>
  <c r="AY78" i="133"/>
  <c r="BF66" i="90" s="1"/>
  <c r="AX78" i="133"/>
  <c r="BE55" i="90" s="1"/>
  <c r="AW78" i="133"/>
  <c r="BD55" i="90" s="1"/>
  <c r="AV78" i="133"/>
  <c r="BC55" i="90" s="1"/>
  <c r="AU78" i="133"/>
  <c r="BB55" i="90" s="1"/>
  <c r="AT78" i="133"/>
  <c r="BA77" i="90" s="1"/>
  <c r="AS78" i="133"/>
  <c r="AZ77" i="90" s="1"/>
  <c r="AR78" i="133"/>
  <c r="AY66" i="90" s="1"/>
  <c r="AQ78" i="133"/>
  <c r="AX66" i="90" s="1"/>
  <c r="AP78" i="133"/>
  <c r="AW55" i="90" s="1"/>
  <c r="AO78" i="133"/>
  <c r="AV55" i="90" s="1"/>
  <c r="AN78" i="133"/>
  <c r="AU55" i="90" s="1"/>
  <c r="AM78" i="133"/>
  <c r="AT55" i="90" s="1"/>
  <c r="AL78" i="133"/>
  <c r="AS77" i="90" s="1"/>
  <c r="AK78" i="133"/>
  <c r="AR77" i="90" s="1"/>
  <c r="AJ78" i="133"/>
  <c r="AQ66" i="90" s="1"/>
  <c r="AI78" i="133"/>
  <c r="AP66" i="90" s="1"/>
  <c r="AH78" i="133"/>
  <c r="AO55" i="90" s="1"/>
  <c r="AG78" i="133"/>
  <c r="AN55" i="90" s="1"/>
  <c r="AF78" i="133"/>
  <c r="AM55" i="90" s="1"/>
  <c r="AE78" i="133"/>
  <c r="AL55" i="90" s="1"/>
  <c r="AD78" i="133"/>
  <c r="AK77" i="90" s="1"/>
  <c r="AC78" i="133"/>
  <c r="AJ77" i="90" s="1"/>
  <c r="AB78" i="133"/>
  <c r="AI66" i="90" s="1"/>
  <c r="AA78" i="133"/>
  <c r="AH66" i="90" s="1"/>
  <c r="Z78" i="133"/>
  <c r="AG55" i="90" s="1"/>
  <c r="Y78" i="133"/>
  <c r="AF55" i="90" s="1"/>
  <c r="X78" i="133"/>
  <c r="AE55" i="90" s="1"/>
  <c r="W78" i="133"/>
  <c r="AD55" i="90" s="1"/>
  <c r="V78" i="133"/>
  <c r="AC77" i="90" s="1"/>
  <c r="U78" i="133"/>
  <c r="AB77" i="90" s="1"/>
  <c r="T78" i="133"/>
  <c r="AA66" i="90" s="1"/>
  <c r="S78" i="133"/>
  <c r="Z66" i="90" s="1"/>
  <c r="R78" i="133"/>
  <c r="Y55" i="90" s="1"/>
  <c r="Q78" i="133"/>
  <c r="X55" i="90" s="1"/>
  <c r="P78" i="133"/>
  <c r="W55" i="90" s="1"/>
  <c r="O78" i="133"/>
  <c r="V55" i="90" s="1"/>
  <c r="N78" i="133"/>
  <c r="U77" i="90" s="1"/>
  <c r="M78" i="133"/>
  <c r="T77" i="90" s="1"/>
  <c r="L78" i="133"/>
  <c r="S66" i="90" s="1"/>
  <c r="K78" i="133"/>
  <c r="R66" i="90" s="1"/>
  <c r="J78" i="133"/>
  <c r="Q55" i="90" s="1"/>
  <c r="I78" i="133"/>
  <c r="P55" i="90" s="1"/>
  <c r="H78" i="133"/>
  <c r="O55" i="90" s="1"/>
  <c r="G78" i="133"/>
  <c r="N55" i="90" s="1"/>
  <c r="F78" i="133"/>
  <c r="M77" i="90" s="1"/>
  <c r="E78" i="133"/>
  <c r="L77" i="90" s="1"/>
  <c r="D78" i="133"/>
  <c r="K66" i="90" s="1"/>
  <c r="C78" i="133"/>
  <c r="J66" i="90" s="1"/>
  <c r="C26" i="73"/>
  <c r="BJ105" i="80" l="1"/>
  <c r="BN55" i="90"/>
  <c r="BO55" i="90"/>
  <c r="BF79" i="80"/>
  <c r="AA55" i="90"/>
  <c r="BJ79" i="80"/>
  <c r="AQ55" i="90"/>
  <c r="BN92" i="80"/>
  <c r="BN105" i="80"/>
  <c r="AH55" i="90"/>
  <c r="AI77" i="90"/>
  <c r="BN79" i="80"/>
  <c r="AT77" i="90"/>
  <c r="BB92" i="80"/>
  <c r="AX55" i="90"/>
  <c r="AY77" i="90"/>
  <c r="BF92" i="80"/>
  <c r="BG55" i="90"/>
  <c r="BJ92" i="80"/>
  <c r="AT79" i="80"/>
  <c r="BB79" i="80"/>
  <c r="AR66" i="90"/>
  <c r="J55" i="90"/>
  <c r="AP55" i="90"/>
  <c r="BH66" i="90"/>
  <c r="AQ77" i="90"/>
  <c r="L79" i="80"/>
  <c r="T79" i="80"/>
  <c r="AB79" i="80"/>
  <c r="AJ79" i="80"/>
  <c r="AR79" i="80"/>
  <c r="AZ79" i="80"/>
  <c r="BH79" i="80"/>
  <c r="BP79" i="80"/>
  <c r="P92" i="80"/>
  <c r="X92" i="80"/>
  <c r="AF92" i="80"/>
  <c r="AN92" i="80"/>
  <c r="AV92" i="80"/>
  <c r="BD92" i="80"/>
  <c r="BL92" i="80"/>
  <c r="L105" i="80"/>
  <c r="T105" i="80"/>
  <c r="AB105" i="80"/>
  <c r="AJ105" i="80"/>
  <c r="AR105" i="80"/>
  <c r="AZ105" i="80"/>
  <c r="BH105" i="80"/>
  <c r="BP105" i="80"/>
  <c r="K55" i="90"/>
  <c r="BP66" i="90"/>
  <c r="M79" i="80"/>
  <c r="U79" i="80"/>
  <c r="AC79" i="80"/>
  <c r="AK79" i="80"/>
  <c r="AS79" i="80"/>
  <c r="BA79" i="80"/>
  <c r="BI79" i="80"/>
  <c r="BQ79" i="80"/>
  <c r="Q92" i="80"/>
  <c r="Y92" i="80"/>
  <c r="AG92" i="80"/>
  <c r="AO92" i="80"/>
  <c r="AW92" i="80"/>
  <c r="BE92" i="80"/>
  <c r="BM92" i="80"/>
  <c r="M105" i="80"/>
  <c r="U105" i="80"/>
  <c r="AC105" i="80"/>
  <c r="AK105" i="80"/>
  <c r="AS105" i="80"/>
  <c r="BA105" i="80"/>
  <c r="BI105" i="80"/>
  <c r="BQ105" i="80"/>
  <c r="R55" i="90"/>
  <c r="L66" i="90"/>
  <c r="BQ66" i="90"/>
  <c r="N79" i="80"/>
  <c r="V79" i="80"/>
  <c r="AD79" i="80"/>
  <c r="AL79" i="80"/>
  <c r="J92" i="80"/>
  <c r="R92" i="80"/>
  <c r="Z92" i="80"/>
  <c r="AH92" i="80"/>
  <c r="AP92" i="80"/>
  <c r="AX92" i="80"/>
  <c r="N105" i="80"/>
  <c r="V105" i="80"/>
  <c r="AD105" i="80"/>
  <c r="AL105" i="80"/>
  <c r="AT105" i="80"/>
  <c r="BB105" i="80"/>
  <c r="S55" i="90"/>
  <c r="AY55" i="90"/>
  <c r="T66" i="90"/>
  <c r="N77" i="90"/>
  <c r="BB77" i="90"/>
  <c r="O79" i="80"/>
  <c r="W79" i="80"/>
  <c r="AE79" i="80"/>
  <c r="AM79" i="80"/>
  <c r="AU79" i="80"/>
  <c r="BC79" i="80"/>
  <c r="BK79" i="80"/>
  <c r="K92" i="80"/>
  <c r="S92" i="80"/>
  <c r="AA92" i="80"/>
  <c r="AI92" i="80"/>
  <c r="AQ92" i="80"/>
  <c r="AY92" i="80"/>
  <c r="BG92" i="80"/>
  <c r="BO92" i="80"/>
  <c r="O105" i="80"/>
  <c r="W105" i="80"/>
  <c r="AE105" i="80"/>
  <c r="AM105" i="80"/>
  <c r="AU105" i="80"/>
  <c r="BC105" i="80"/>
  <c r="BK105" i="80"/>
  <c r="Z55" i="90"/>
  <c r="BF55" i="90"/>
  <c r="AB66" i="90"/>
  <c r="V77" i="90"/>
  <c r="BG77" i="90"/>
  <c r="P79" i="80"/>
  <c r="X79" i="80"/>
  <c r="AF79" i="80"/>
  <c r="AN79" i="80"/>
  <c r="AV79" i="80"/>
  <c r="BD79" i="80"/>
  <c r="BL79" i="80"/>
  <c r="L92" i="80"/>
  <c r="T92" i="80"/>
  <c r="AB92" i="80"/>
  <c r="AJ92" i="80"/>
  <c r="AR92" i="80"/>
  <c r="AZ92" i="80"/>
  <c r="BH92" i="80"/>
  <c r="BP92" i="80"/>
  <c r="P105" i="80"/>
  <c r="X105" i="80"/>
  <c r="AF105" i="80"/>
  <c r="AN105" i="80"/>
  <c r="AV105" i="80"/>
  <c r="BD105" i="80"/>
  <c r="BL105" i="80"/>
  <c r="AJ66" i="90"/>
  <c r="AD77" i="90"/>
  <c r="Q79" i="80"/>
  <c r="Y79" i="80"/>
  <c r="AG79" i="80"/>
  <c r="AO79" i="80"/>
  <c r="AW79" i="80"/>
  <c r="BE79" i="80"/>
  <c r="BM79" i="80"/>
  <c r="M92" i="80"/>
  <c r="U92" i="80"/>
  <c r="AC92" i="80"/>
  <c r="AK92" i="80"/>
  <c r="AS92" i="80"/>
  <c r="BA92" i="80"/>
  <c r="BI92" i="80"/>
  <c r="BQ92" i="80"/>
  <c r="Q105" i="80"/>
  <c r="Y105" i="80"/>
  <c r="AG105" i="80"/>
  <c r="AO105" i="80"/>
  <c r="AW105" i="80"/>
  <c r="BE105" i="80"/>
  <c r="BM105" i="80"/>
  <c r="J79" i="80"/>
  <c r="R79" i="80"/>
  <c r="Z79" i="80"/>
  <c r="AH79" i="80"/>
  <c r="AP79" i="80"/>
  <c r="AX79" i="80"/>
  <c r="N92" i="80"/>
  <c r="V92" i="80"/>
  <c r="AD92" i="80"/>
  <c r="AL92" i="80"/>
  <c r="AT92" i="80"/>
  <c r="J105" i="80"/>
  <c r="R105" i="80"/>
  <c r="Z105" i="80"/>
  <c r="AH105" i="80"/>
  <c r="AP105" i="80"/>
  <c r="AX105" i="80"/>
  <c r="BF105" i="80"/>
  <c r="AI55" i="90"/>
  <c r="AZ66" i="90"/>
  <c r="AL77" i="90"/>
  <c r="K79" i="80"/>
  <c r="S79" i="80"/>
  <c r="AA79" i="80"/>
  <c r="AI79" i="80"/>
  <c r="AQ79" i="80"/>
  <c r="AY79" i="80"/>
  <c r="BG79" i="80"/>
  <c r="BO79" i="80"/>
  <c r="O92" i="80"/>
  <c r="W92" i="80"/>
  <c r="AE92" i="80"/>
  <c r="AM92" i="80"/>
  <c r="AU92" i="80"/>
  <c r="BC92" i="80"/>
  <c r="BK92" i="80"/>
  <c r="K105" i="80"/>
  <c r="S105" i="80"/>
  <c r="AA105" i="80"/>
  <c r="AI105" i="80"/>
  <c r="AQ105" i="80"/>
  <c r="AY105" i="80"/>
  <c r="BG105" i="80"/>
  <c r="BO105" i="80"/>
  <c r="BJ77" i="90"/>
  <c r="M66" i="90"/>
  <c r="U66" i="90"/>
  <c r="AC66" i="90"/>
  <c r="AK66" i="90"/>
  <c r="AS66" i="90"/>
  <c r="BA66" i="90"/>
  <c r="BI66" i="90"/>
  <c r="O77" i="90"/>
  <c r="W77" i="90"/>
  <c r="AE77" i="90"/>
  <c r="AM77" i="90"/>
  <c r="AU77" i="90"/>
  <c r="BC77" i="90"/>
  <c r="BK77" i="90"/>
  <c r="L55" i="90"/>
  <c r="AB55" i="90"/>
  <c r="AJ55" i="90"/>
  <c r="AR55" i="90"/>
  <c r="AZ55" i="90"/>
  <c r="BH55" i="90"/>
  <c r="BP55" i="90"/>
  <c r="N66" i="90"/>
  <c r="V66" i="90"/>
  <c r="AD66" i="90"/>
  <c r="AL66" i="90"/>
  <c r="AT66" i="90"/>
  <c r="BB66" i="90"/>
  <c r="BJ66" i="90"/>
  <c r="P77" i="90"/>
  <c r="X77" i="90"/>
  <c r="AF77" i="90"/>
  <c r="AN77" i="90"/>
  <c r="AV77" i="90"/>
  <c r="BD77" i="90"/>
  <c r="BL77" i="90"/>
  <c r="M55" i="90"/>
  <c r="U55" i="90"/>
  <c r="AC55" i="90"/>
  <c r="AK55" i="90"/>
  <c r="AS55" i="90"/>
  <c r="BA55" i="90"/>
  <c r="BI55" i="90"/>
  <c r="BQ55" i="90"/>
  <c r="O66" i="90"/>
  <c r="W66" i="90"/>
  <c r="AE66" i="90"/>
  <c r="AM66" i="90"/>
  <c r="AU66" i="90"/>
  <c r="BC66" i="90"/>
  <c r="BK66" i="90"/>
  <c r="Q77" i="90"/>
  <c r="Y77" i="90"/>
  <c r="AG77" i="90"/>
  <c r="AO77" i="90"/>
  <c r="AW77" i="90"/>
  <c r="BE77" i="90"/>
  <c r="BM77" i="90"/>
  <c r="T55" i="90"/>
  <c r="P66" i="90"/>
  <c r="X66" i="90"/>
  <c r="AF66" i="90"/>
  <c r="AN66" i="90"/>
  <c r="AV66" i="90"/>
  <c r="BD66" i="90"/>
  <c r="BL66" i="90"/>
  <c r="J77" i="90"/>
  <c r="R77" i="90"/>
  <c r="Z77" i="90"/>
  <c r="AH77" i="90"/>
  <c r="AP77" i="90"/>
  <c r="AX77" i="90"/>
  <c r="BF77" i="90"/>
  <c r="BN77" i="90"/>
  <c r="Q66" i="90"/>
  <c r="Y66" i="90"/>
  <c r="AG66" i="90"/>
  <c r="AO66" i="90"/>
  <c r="AW66" i="90"/>
  <c r="BE66" i="90"/>
  <c r="BM66" i="90"/>
  <c r="K77" i="90"/>
  <c r="S77" i="90"/>
  <c r="AA77" i="90"/>
  <c r="BO77" i="90"/>
  <c r="B91" i="71"/>
  <c r="B90" i="71"/>
  <c r="B93" i="71"/>
  <c r="C87" i="71"/>
  <c r="C31" i="84"/>
  <c r="F33" i="84" l="1"/>
  <c r="C74" i="84" s="1"/>
  <c r="AF45" i="84"/>
  <c r="AF47" i="84" s="1"/>
  <c r="X45" i="84"/>
  <c r="X47" i="84" s="1"/>
  <c r="P45" i="84"/>
  <c r="P47" i="84" s="1"/>
  <c r="H45" i="84"/>
  <c r="H47" i="84" s="1"/>
  <c r="AE45" i="84"/>
  <c r="AE47" i="84" s="1"/>
  <c r="W45" i="84"/>
  <c r="W47" i="84" s="1"/>
  <c r="O45" i="84"/>
  <c r="O47" i="84" s="1"/>
  <c r="G45" i="84"/>
  <c r="G47" i="84" s="1"/>
  <c r="I45" i="84"/>
  <c r="I47" i="84" s="1"/>
  <c r="AD45" i="84"/>
  <c r="AD47" i="84" s="1"/>
  <c r="V45" i="84"/>
  <c r="V47" i="84" s="1"/>
  <c r="N45" i="84"/>
  <c r="N47" i="84" s="1"/>
  <c r="F45" i="84"/>
  <c r="F47" i="84" s="1"/>
  <c r="AC45" i="84"/>
  <c r="AC47" i="84" s="1"/>
  <c r="U45" i="84"/>
  <c r="U47" i="84" s="1"/>
  <c r="M45" i="84"/>
  <c r="M47" i="84" s="1"/>
  <c r="E45" i="84"/>
  <c r="E47" i="84" s="1"/>
  <c r="Q45" i="84"/>
  <c r="Q47" i="84" s="1"/>
  <c r="AB45" i="84"/>
  <c r="AB47" i="84" s="1"/>
  <c r="T45" i="84"/>
  <c r="T47" i="84" s="1"/>
  <c r="L45" i="84"/>
  <c r="L47" i="84" s="1"/>
  <c r="D45" i="84"/>
  <c r="D47" i="84" s="1"/>
  <c r="Y45" i="84"/>
  <c r="Y47" i="84" s="1"/>
  <c r="AA45" i="84"/>
  <c r="AA47" i="84" s="1"/>
  <c r="S45" i="84"/>
  <c r="S47" i="84" s="1"/>
  <c r="K45" i="84"/>
  <c r="K47" i="84" s="1"/>
  <c r="Z45" i="84"/>
  <c r="Z47" i="84" s="1"/>
  <c r="R45" i="84"/>
  <c r="R47" i="84" s="1"/>
  <c r="J45" i="84"/>
  <c r="J47" i="84" s="1"/>
  <c r="AG45" i="84"/>
  <c r="AG47" i="84" s="1"/>
  <c r="C89" i="71"/>
  <c r="C91" i="71" s="1"/>
  <c r="C93" i="71" s="1"/>
  <c r="C49" i="71"/>
  <c r="C47" i="71"/>
  <c r="K10" i="75"/>
  <c r="K11" i="75"/>
  <c r="K12" i="75"/>
  <c r="K13" i="75"/>
  <c r="K14" i="75"/>
  <c r="K15" i="75"/>
  <c r="K16" i="75"/>
  <c r="K17" i="75"/>
  <c r="K18" i="75"/>
  <c r="K19" i="75"/>
  <c r="K20" i="75"/>
  <c r="K21" i="75"/>
  <c r="K22" i="75"/>
  <c r="K23" i="75"/>
  <c r="K24" i="75"/>
  <c r="K25" i="75"/>
  <c r="K26" i="75"/>
  <c r="K27" i="75"/>
  <c r="K28" i="75"/>
  <c r="K29" i="75"/>
  <c r="K30" i="75"/>
  <c r="K31" i="75"/>
  <c r="K32" i="75"/>
  <c r="K33" i="75"/>
  <c r="K34" i="75"/>
  <c r="K35" i="75"/>
  <c r="K36" i="75"/>
  <c r="K37" i="75"/>
  <c r="K38" i="75"/>
  <c r="K39" i="75"/>
  <c r="K40" i="75"/>
  <c r="K41" i="75"/>
  <c r="K42" i="75"/>
  <c r="K43" i="75"/>
  <c r="K44" i="75"/>
  <c r="K45" i="75"/>
  <c r="K46" i="75"/>
  <c r="K47" i="75"/>
  <c r="K48" i="75"/>
  <c r="K49" i="75"/>
  <c r="K50" i="75"/>
  <c r="K51" i="75"/>
  <c r="K52" i="75"/>
  <c r="K53" i="75"/>
  <c r="K54" i="75"/>
  <c r="K55" i="75"/>
  <c r="K56" i="75"/>
  <c r="K57" i="75"/>
  <c r="K58" i="75"/>
  <c r="K59" i="75"/>
  <c r="K60" i="75"/>
  <c r="K61" i="75"/>
  <c r="K62" i="75"/>
  <c r="K63" i="75"/>
  <c r="K64" i="75"/>
  <c r="K65" i="75"/>
  <c r="K66" i="75"/>
  <c r="K67" i="75"/>
  <c r="K68" i="75"/>
  <c r="K69" i="75"/>
  <c r="K70" i="75"/>
  <c r="K71" i="75"/>
  <c r="K72" i="75"/>
  <c r="K73" i="75"/>
  <c r="K74" i="75"/>
  <c r="K75" i="75"/>
  <c r="K76" i="75"/>
  <c r="K77" i="75"/>
  <c r="K78" i="75"/>
  <c r="K79" i="75"/>
  <c r="K80" i="75"/>
  <c r="K81" i="75"/>
  <c r="K82" i="75"/>
  <c r="K83" i="75"/>
  <c r="K84" i="75"/>
  <c r="K85" i="75"/>
  <c r="K86" i="75"/>
  <c r="K87" i="75"/>
  <c r="K88" i="75"/>
  <c r="K89" i="75"/>
  <c r="K90" i="75"/>
  <c r="K91" i="75"/>
  <c r="K92" i="75"/>
  <c r="K93" i="75"/>
  <c r="K94" i="75"/>
  <c r="K95" i="75"/>
  <c r="K96" i="75"/>
  <c r="K97" i="75"/>
  <c r="K98" i="75"/>
  <c r="K99" i="75"/>
  <c r="K100" i="75"/>
  <c r="K101" i="75"/>
  <c r="K102" i="75"/>
  <c r="K103" i="75"/>
  <c r="K104" i="75"/>
  <c r="K105" i="75"/>
  <c r="K106" i="75"/>
  <c r="K107" i="75"/>
  <c r="K108" i="75"/>
  <c r="K109" i="75"/>
  <c r="K110" i="75"/>
  <c r="K111" i="75"/>
  <c r="K112" i="75"/>
  <c r="K113" i="75"/>
  <c r="K114" i="75"/>
  <c r="K115" i="75"/>
  <c r="K116" i="75"/>
  <c r="K117" i="75"/>
  <c r="K118" i="75"/>
  <c r="K119" i="75"/>
  <c r="K120" i="75"/>
  <c r="K121" i="75"/>
  <c r="K122" i="75"/>
  <c r="K123" i="75"/>
  <c r="K124" i="75"/>
  <c r="K125" i="75"/>
  <c r="K126" i="75"/>
  <c r="K127" i="75"/>
  <c r="K128" i="75"/>
  <c r="K129" i="75"/>
  <c r="K130" i="75"/>
  <c r="K131" i="75"/>
  <c r="K132" i="75"/>
  <c r="K133" i="75"/>
  <c r="K134" i="75"/>
  <c r="K135" i="75"/>
  <c r="K136" i="75"/>
  <c r="K137" i="75"/>
  <c r="K138" i="75"/>
  <c r="K139" i="75"/>
  <c r="K140" i="75"/>
  <c r="K141" i="75"/>
  <c r="K142" i="75"/>
  <c r="K143" i="75"/>
  <c r="K144" i="75"/>
  <c r="K145" i="75"/>
  <c r="K146" i="75"/>
  <c r="K147" i="75"/>
  <c r="K148" i="75"/>
  <c r="K149" i="75"/>
  <c r="K150" i="75"/>
  <c r="K151" i="75"/>
  <c r="K152" i="75"/>
  <c r="K153" i="75"/>
  <c r="K154" i="75"/>
  <c r="K155" i="75"/>
  <c r="K156" i="75"/>
  <c r="K157" i="75"/>
  <c r="K158" i="75"/>
  <c r="K159" i="75"/>
  <c r="K160" i="75"/>
  <c r="K161" i="75"/>
  <c r="K162" i="75"/>
  <c r="K163" i="75"/>
  <c r="K164" i="75"/>
  <c r="K165" i="75"/>
  <c r="K166" i="75"/>
  <c r="K167" i="75"/>
  <c r="K168" i="75"/>
  <c r="K169" i="75"/>
  <c r="K170" i="75"/>
  <c r="K171" i="75"/>
  <c r="K172" i="75"/>
  <c r="K173" i="75"/>
  <c r="K174" i="75"/>
  <c r="K175" i="75"/>
  <c r="K176" i="75"/>
  <c r="K177" i="75"/>
  <c r="K178" i="75"/>
  <c r="K179" i="75"/>
  <c r="K180" i="75"/>
  <c r="K181" i="75"/>
  <c r="K182" i="75"/>
  <c r="K183" i="75"/>
  <c r="K184" i="75"/>
  <c r="K185" i="75"/>
  <c r="K186" i="75"/>
  <c r="K187" i="75"/>
  <c r="K188" i="75"/>
  <c r="K189" i="75"/>
  <c r="K190" i="75"/>
  <c r="K191" i="75"/>
  <c r="K192" i="75"/>
  <c r="K193" i="75"/>
  <c r="K194" i="75"/>
  <c r="K195" i="75"/>
  <c r="K196" i="75"/>
  <c r="K197" i="75"/>
  <c r="K198" i="75"/>
  <c r="K199" i="75"/>
  <c r="K200" i="75"/>
  <c r="K201" i="75"/>
  <c r="K202" i="75"/>
  <c r="K203" i="75"/>
  <c r="K204" i="75"/>
  <c r="K205" i="75"/>
  <c r="K206" i="75"/>
  <c r="K207" i="75"/>
  <c r="K208" i="75"/>
  <c r="K209" i="75"/>
  <c r="K210" i="75"/>
  <c r="K211" i="75"/>
  <c r="K212" i="75"/>
  <c r="K213" i="75"/>
  <c r="K214" i="75"/>
  <c r="K215" i="75"/>
  <c r="K216" i="75"/>
  <c r="K217" i="75"/>
  <c r="K218" i="75"/>
  <c r="K219" i="75"/>
  <c r="K220" i="75"/>
  <c r="K221" i="75"/>
  <c r="K222" i="75"/>
  <c r="K223" i="75"/>
  <c r="K224" i="75"/>
  <c r="K225" i="75"/>
  <c r="K226" i="75"/>
  <c r="K227" i="75"/>
  <c r="K228" i="75"/>
  <c r="K229" i="75"/>
  <c r="K230" i="75"/>
  <c r="K231" i="75"/>
  <c r="K232" i="75"/>
  <c r="K233" i="75"/>
  <c r="K234" i="75"/>
  <c r="K235" i="75"/>
  <c r="K236" i="75"/>
  <c r="K237" i="75"/>
  <c r="K238" i="75"/>
  <c r="K239" i="75"/>
  <c r="K240" i="75"/>
  <c r="K241" i="75"/>
  <c r="K242" i="75"/>
  <c r="K243" i="75"/>
  <c r="K244" i="75"/>
  <c r="K245" i="75"/>
  <c r="K246" i="75"/>
  <c r="K247" i="75"/>
  <c r="K248" i="75"/>
  <c r="K249" i="75"/>
  <c r="K250" i="75"/>
  <c r="K251" i="75"/>
  <c r="K252" i="75"/>
  <c r="K253" i="75"/>
  <c r="K254" i="75"/>
  <c r="K255" i="75"/>
  <c r="K256" i="75"/>
  <c r="K257" i="75"/>
  <c r="K258" i="75"/>
  <c r="K259" i="75"/>
  <c r="K260" i="75"/>
  <c r="K261" i="75"/>
  <c r="K262" i="75"/>
  <c r="K263" i="75"/>
  <c r="K264" i="75"/>
  <c r="K265" i="75"/>
  <c r="K266" i="75"/>
  <c r="K267" i="75"/>
  <c r="K268" i="75"/>
  <c r="K269" i="75"/>
  <c r="K270" i="75"/>
  <c r="K271" i="75"/>
  <c r="K272" i="75"/>
  <c r="K273" i="75"/>
  <c r="K274" i="75"/>
  <c r="K275" i="75"/>
  <c r="K276" i="75"/>
  <c r="K277" i="75"/>
  <c r="K278" i="75"/>
  <c r="K279" i="75"/>
  <c r="K280" i="75"/>
  <c r="K281" i="75"/>
  <c r="K282" i="75"/>
  <c r="K283" i="75"/>
  <c r="K284" i="75"/>
  <c r="K285" i="75"/>
  <c r="K286" i="75"/>
  <c r="K287" i="75"/>
  <c r="K288" i="75"/>
  <c r="K289" i="75"/>
  <c r="K290" i="75"/>
  <c r="K291" i="75"/>
  <c r="K292" i="75"/>
  <c r="K293" i="75"/>
  <c r="K294" i="75"/>
  <c r="K295" i="75"/>
  <c r="K296" i="75"/>
  <c r="K297" i="75"/>
  <c r="K298" i="75"/>
  <c r="K299" i="75"/>
  <c r="K300" i="75"/>
  <c r="K301" i="75"/>
  <c r="K302" i="75"/>
  <c r="K303" i="75"/>
  <c r="K304" i="75"/>
  <c r="K305" i="75"/>
  <c r="K306" i="75"/>
  <c r="K307" i="75"/>
  <c r="K308" i="75"/>
  <c r="K309" i="75"/>
  <c r="K310" i="75"/>
  <c r="K311" i="75"/>
  <c r="K312" i="75"/>
  <c r="K313" i="75"/>
  <c r="K314" i="75"/>
  <c r="K315" i="75"/>
  <c r="K316" i="75"/>
  <c r="K317" i="75"/>
  <c r="K9" i="75"/>
  <c r="C14" i="73" l="1"/>
  <c r="AB48" i="84"/>
  <c r="T48" i="84"/>
  <c r="L48" i="84"/>
  <c r="D48" i="84"/>
  <c r="S48" i="84"/>
  <c r="K48" i="84"/>
  <c r="U48" i="84"/>
  <c r="AA48" i="84"/>
  <c r="Z48" i="84"/>
  <c r="R48" i="84"/>
  <c r="J48" i="84"/>
  <c r="AG48" i="84"/>
  <c r="C15" i="73" s="1"/>
  <c r="Y48" i="84"/>
  <c r="Q48" i="84"/>
  <c r="I48" i="84"/>
  <c r="AC48" i="84"/>
  <c r="AF48" i="84"/>
  <c r="X48" i="84"/>
  <c r="P48" i="84"/>
  <c r="H48" i="84"/>
  <c r="AE48" i="84"/>
  <c r="W48" i="84"/>
  <c r="O48" i="84"/>
  <c r="G48" i="84"/>
  <c r="F48" i="84"/>
  <c r="E48" i="84"/>
  <c r="AD48" i="84"/>
  <c r="V48" i="84"/>
  <c r="N48" i="84"/>
  <c r="M48" i="84"/>
  <c r="C45" i="80"/>
  <c r="C31" i="80"/>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J56" i="82"/>
  <c r="J57" i="82"/>
  <c r="J58" i="82"/>
  <c r="J59" i="82"/>
  <c r="J60" i="82"/>
  <c r="J61" i="82"/>
  <c r="J62" i="82"/>
  <c r="J63" i="82"/>
  <c r="J64" i="82"/>
  <c r="J65" i="82"/>
  <c r="J66" i="82"/>
  <c r="J67" i="82"/>
  <c r="J68" i="82"/>
  <c r="J69" i="82"/>
  <c r="J70" i="82"/>
  <c r="J71" i="82"/>
  <c r="J72" i="82"/>
  <c r="J73" i="82"/>
  <c r="J74" i="82"/>
  <c r="J75" i="82"/>
  <c r="J76" i="82"/>
  <c r="J77" i="82"/>
  <c r="J78" i="82"/>
  <c r="J79" i="82"/>
  <c r="J80" i="82"/>
  <c r="J81" i="82"/>
  <c r="J82" i="82"/>
  <c r="J83" i="82"/>
  <c r="J84" i="82"/>
  <c r="J85" i="82"/>
  <c r="J86" i="82"/>
  <c r="J87" i="82"/>
  <c r="J88" i="82"/>
  <c r="J89" i="82"/>
  <c r="J90" i="82"/>
  <c r="J91" i="82"/>
  <c r="J92" i="82"/>
  <c r="J93" i="82"/>
  <c r="J94" i="82"/>
  <c r="J95" i="82"/>
  <c r="J96" i="82"/>
  <c r="J97" i="82"/>
  <c r="J98" i="82"/>
  <c r="J99" i="82"/>
  <c r="J100" i="82"/>
  <c r="J101" i="82"/>
  <c r="J102" i="82"/>
  <c r="J103" i="82"/>
  <c r="J104" i="82"/>
  <c r="J105" i="82"/>
  <c r="J106" i="82"/>
  <c r="J107" i="82"/>
  <c r="J108" i="82"/>
  <c r="J109" i="82"/>
  <c r="J110" i="82"/>
  <c r="J111" i="82"/>
  <c r="J112" i="82"/>
  <c r="J113" i="82"/>
  <c r="J114" i="82"/>
  <c r="J115" i="82"/>
  <c r="J116" i="82"/>
  <c r="J117" i="82"/>
  <c r="J118" i="82"/>
  <c r="J119" i="82"/>
  <c r="J120" i="82"/>
  <c r="J121" i="82"/>
  <c r="J122" i="82"/>
  <c r="J123" i="82"/>
  <c r="J124" i="82"/>
  <c r="J125" i="82"/>
  <c r="J126" i="82"/>
  <c r="J127" i="82"/>
  <c r="J128" i="82"/>
  <c r="J129" i="82"/>
  <c r="J130" i="82"/>
  <c r="J131" i="82"/>
  <c r="J132" i="82"/>
  <c r="J133" i="82"/>
  <c r="J134" i="82"/>
  <c r="J135" i="82"/>
  <c r="J136" i="82"/>
  <c r="J137" i="82"/>
  <c r="J138" i="82"/>
  <c r="J139" i="82"/>
  <c r="J140" i="82"/>
  <c r="J141" i="82"/>
  <c r="J142" i="82"/>
  <c r="J143" i="82"/>
  <c r="J144" i="82"/>
  <c r="J145" i="82"/>
  <c r="J146" i="82"/>
  <c r="J147" i="82"/>
  <c r="J148" i="82"/>
  <c r="J149" i="82"/>
  <c r="J150" i="82"/>
  <c r="J151" i="82"/>
  <c r="J152" i="82"/>
  <c r="J153" i="82"/>
  <c r="J154" i="82"/>
  <c r="J155" i="82"/>
  <c r="J156" i="82"/>
  <c r="J157" i="82"/>
  <c r="J158" i="82"/>
  <c r="J159" i="82"/>
  <c r="J160" i="82"/>
  <c r="J161" i="82"/>
  <c r="J162" i="82"/>
  <c r="J163" i="82"/>
  <c r="J164" i="82"/>
  <c r="J165" i="82"/>
  <c r="J166" i="82"/>
  <c r="J167" i="82"/>
  <c r="J168" i="82"/>
  <c r="J169" i="82"/>
  <c r="J170" i="82"/>
  <c r="J171" i="82"/>
  <c r="J172" i="82"/>
  <c r="J173" i="82"/>
  <c r="J174" i="82"/>
  <c r="J175" i="82"/>
  <c r="J176" i="82"/>
  <c r="J177" i="82"/>
  <c r="J178" i="82"/>
  <c r="J179" i="82"/>
  <c r="J180" i="82"/>
  <c r="J181" i="82"/>
  <c r="J182" i="82"/>
  <c r="J183" i="82"/>
  <c r="J184" i="82"/>
  <c r="J185" i="82"/>
  <c r="J186" i="82"/>
  <c r="J187" i="82"/>
  <c r="J188" i="82"/>
  <c r="J189" i="82"/>
  <c r="J190" i="82"/>
  <c r="J191" i="82"/>
  <c r="J192" i="82"/>
  <c r="J193" i="82"/>
  <c r="J194" i="82"/>
  <c r="J195" i="82"/>
  <c r="J196" i="82"/>
  <c r="J197" i="82"/>
  <c r="J198" i="82"/>
  <c r="J199" i="82"/>
  <c r="J200" i="82"/>
  <c r="J201" i="82"/>
  <c r="J202" i="82"/>
  <c r="J203" i="82"/>
  <c r="J204" i="82"/>
  <c r="J205" i="82"/>
  <c r="J206" i="82"/>
  <c r="J207" i="82"/>
  <c r="J208" i="82"/>
  <c r="J209" i="82"/>
  <c r="J210" i="82"/>
  <c r="J211" i="82"/>
  <c r="J212" i="82"/>
  <c r="J213" i="82"/>
  <c r="J214" i="82"/>
  <c r="J215" i="82"/>
  <c r="J216" i="82"/>
  <c r="J217" i="82"/>
  <c r="J218" i="82"/>
  <c r="J219" i="82"/>
  <c r="J220" i="82"/>
  <c r="J221" i="82"/>
  <c r="J222" i="82"/>
  <c r="J223" i="82"/>
  <c r="J224" i="82"/>
  <c r="J225" i="82"/>
  <c r="J226" i="82"/>
  <c r="J227" i="82"/>
  <c r="J228" i="82"/>
  <c r="J229" i="82"/>
  <c r="J230" i="82"/>
  <c r="J231" i="82"/>
  <c r="J232" i="82"/>
  <c r="J233" i="82"/>
  <c r="J234" i="82"/>
  <c r="J235" i="82"/>
  <c r="J236" i="82"/>
  <c r="J237" i="82"/>
  <c r="J238" i="82"/>
  <c r="J239" i="82"/>
  <c r="J240" i="82"/>
  <c r="J241" i="82"/>
  <c r="J242" i="82"/>
  <c r="J243" i="82"/>
  <c r="J244" i="82"/>
  <c r="J245" i="82"/>
  <c r="J246" i="82"/>
  <c r="J247" i="82"/>
  <c r="J248" i="82"/>
  <c r="J249" i="82"/>
  <c r="J250" i="82"/>
  <c r="J251" i="82"/>
  <c r="J252" i="82"/>
  <c r="J253" i="82"/>
  <c r="J254" i="82"/>
  <c r="J255" i="82"/>
  <c r="J256" i="82"/>
  <c r="J257" i="82"/>
  <c r="J258" i="82"/>
  <c r="J259" i="82"/>
  <c r="J260" i="82"/>
  <c r="J261" i="82"/>
  <c r="J262" i="82"/>
  <c r="J263" i="82"/>
  <c r="J264" i="82"/>
  <c r="J265" i="82"/>
  <c r="J266" i="82"/>
  <c r="J267" i="82"/>
  <c r="J268" i="82"/>
  <c r="J269" i="82"/>
  <c r="J270" i="82"/>
  <c r="J271" i="82"/>
  <c r="J272" i="82"/>
  <c r="J273" i="82"/>
  <c r="J274" i="82"/>
  <c r="J275" i="82"/>
  <c r="J276" i="82"/>
  <c r="J277" i="82"/>
  <c r="J278" i="82"/>
  <c r="J279" i="82"/>
  <c r="J280" i="82"/>
  <c r="J281" i="82"/>
  <c r="J282" i="82"/>
  <c r="J283" i="82"/>
  <c r="J284" i="82"/>
  <c r="J285" i="82"/>
  <c r="J286" i="82"/>
  <c r="J287" i="82"/>
  <c r="J288" i="82"/>
  <c r="J289" i="82"/>
  <c r="J290" i="82"/>
  <c r="J291" i="82"/>
  <c r="J292" i="82"/>
  <c r="J293" i="82"/>
  <c r="J294" i="82"/>
  <c r="J295" i="82"/>
  <c r="J296" i="82"/>
  <c r="J297" i="82"/>
  <c r="J298" i="82"/>
  <c r="J299" i="82"/>
  <c r="J300" i="82"/>
  <c r="J301" i="82"/>
  <c r="J302" i="82"/>
  <c r="J303" i="82"/>
  <c r="J304" i="82"/>
  <c r="J305" i="82"/>
  <c r="J306" i="82"/>
  <c r="J307" i="82"/>
  <c r="J308" i="82"/>
  <c r="J309" i="82"/>
  <c r="J310" i="82"/>
  <c r="J311" i="82"/>
  <c r="J312" i="82"/>
  <c r="J313" i="82"/>
  <c r="J314" i="82"/>
  <c r="J315" i="82"/>
  <c r="J316" i="82"/>
  <c r="J8" i="82"/>
  <c r="H53" i="90"/>
  <c r="G53" i="90"/>
  <c r="F53" i="90"/>
  <c r="F77" i="80"/>
  <c r="H77" i="80"/>
  <c r="G77" i="80"/>
  <c r="C45" i="71"/>
  <c r="F35" i="71"/>
  <c r="B16" i="90"/>
  <c r="B17" i="80"/>
  <c r="B52" i="73"/>
  <c r="B45" i="73"/>
  <c r="B30" i="73"/>
  <c r="C53" i="71" l="1"/>
  <c r="D97" i="71"/>
  <c r="C97" i="71"/>
  <c r="C98" i="71" s="1"/>
  <c r="I23" i="71"/>
  <c r="D98" i="71" l="1"/>
  <c r="D100" i="71" s="1"/>
  <c r="B82" i="90"/>
  <c r="B81" i="90" a="1"/>
  <c r="B81" i="90" s="1"/>
  <c r="B80" i="90" a="1"/>
  <c r="B80" i="90" s="1"/>
  <c r="C6" i="73"/>
  <c r="B81" i="80"/>
  <c r="B78" i="90" s="1"/>
  <c r="B112" i="80"/>
  <c r="B111" i="80" a="1"/>
  <c r="B111" i="80" s="1"/>
  <c r="B110" i="80" a="1"/>
  <c r="B110" i="80" s="1"/>
  <c r="D53" i="71"/>
  <c r="C44" i="80" l="1"/>
  <c r="C33" i="80"/>
  <c r="C100" i="71"/>
  <c r="E53" i="71"/>
  <c r="C43" i="80" l="1"/>
  <c r="C32" i="80"/>
  <c r="I15" i="124"/>
  <c r="I16" i="124"/>
  <c r="I17" i="124"/>
  <c r="I18" i="124"/>
  <c r="I19" i="124"/>
  <c r="I20" i="124"/>
  <c r="I21" i="124"/>
  <c r="I22" i="124"/>
  <c r="I23" i="124"/>
  <c r="I24" i="124"/>
  <c r="I25" i="124"/>
  <c r="I26" i="124"/>
  <c r="I27" i="124"/>
  <c r="I28" i="124"/>
  <c r="I29" i="124"/>
  <c r="I30" i="124"/>
  <c r="I31" i="124"/>
  <c r="I32" i="124"/>
  <c r="I14" i="124"/>
  <c r="F29" i="71"/>
  <c r="C79" i="133" s="1"/>
  <c r="D79" i="133" s="1"/>
  <c r="D77" i="133" s="1"/>
  <c r="C77" i="133"/>
  <c r="D80" i="133" l="1"/>
  <c r="C80" i="133"/>
  <c r="E79" i="133"/>
  <c r="M12" i="124"/>
  <c r="F79" i="133" l="1"/>
  <c r="E77" i="133"/>
  <c r="E80" i="133" l="1"/>
  <c r="G79" i="133"/>
  <c r="F77" i="133"/>
  <c r="F80" i="133" s="1"/>
  <c r="H79" i="133" l="1"/>
  <c r="G77" i="133"/>
  <c r="G80" i="133" l="1"/>
  <c r="I79" i="133"/>
  <c r="H77" i="133"/>
  <c r="H80" i="133" l="1"/>
  <c r="J79" i="133"/>
  <c r="I77" i="133"/>
  <c r="I80" i="133" l="1"/>
  <c r="K79" i="133"/>
  <c r="J77" i="133"/>
  <c r="J80" i="133" s="1"/>
  <c r="L79" i="133" l="1"/>
  <c r="K77" i="133"/>
  <c r="K80" i="133" s="1"/>
  <c r="M79" i="133" l="1"/>
  <c r="L77" i="133"/>
  <c r="L80" i="133" s="1"/>
  <c r="N79" i="133" l="1"/>
  <c r="M77" i="133"/>
  <c r="M80" i="133" s="1"/>
  <c r="O79" i="133" l="1"/>
  <c r="N77" i="133"/>
  <c r="N80" i="133" s="1"/>
  <c r="P79" i="133" l="1"/>
  <c r="O77" i="133"/>
  <c r="O80" i="133" s="1"/>
  <c r="Q79" i="133" l="1"/>
  <c r="P77" i="133"/>
  <c r="P80" i="133" s="1"/>
  <c r="R79" i="133" l="1"/>
  <c r="Q77" i="133"/>
  <c r="Q80" i="133" s="1"/>
  <c r="S79" i="133" l="1"/>
  <c r="R77" i="133"/>
  <c r="R80" i="133" s="1"/>
  <c r="T79" i="133" l="1"/>
  <c r="S77" i="133"/>
  <c r="S80" i="133" s="1"/>
  <c r="U79" i="133" l="1"/>
  <c r="T77" i="133"/>
  <c r="T80" i="133" s="1"/>
  <c r="V79" i="133" l="1"/>
  <c r="U77" i="133"/>
  <c r="U80" i="133" s="1"/>
  <c r="W79" i="133" l="1"/>
  <c r="V77" i="133"/>
  <c r="V80" i="133" s="1"/>
  <c r="X79" i="133" l="1"/>
  <c r="W77" i="133"/>
  <c r="W80" i="133" s="1"/>
  <c r="Y79" i="133" l="1"/>
  <c r="X77" i="133"/>
  <c r="X80" i="133" s="1"/>
  <c r="Z79" i="133" l="1"/>
  <c r="Y77" i="133"/>
  <c r="Y80" i="133" s="1"/>
  <c r="AA79" i="133" l="1"/>
  <c r="Z77" i="133"/>
  <c r="Z80" i="133" s="1"/>
  <c r="AB79" i="133" l="1"/>
  <c r="AA77" i="133"/>
  <c r="AA80" i="133" s="1"/>
  <c r="F49" i="84" l="1" a="1"/>
  <c r="F49" i="84" s="1"/>
  <c r="C75" i="84" s="1"/>
  <c r="AC79" i="133"/>
  <c r="AB77" i="133"/>
  <c r="AB80" i="133" s="1"/>
  <c r="AD79" i="133" l="1"/>
  <c r="AC77" i="133"/>
  <c r="AC80" i="133" s="1"/>
  <c r="AE79" i="133" l="1"/>
  <c r="AD77" i="133"/>
  <c r="AD80" i="133" s="1"/>
  <c r="AF79" i="133" l="1"/>
  <c r="AE77" i="133"/>
  <c r="AE80" i="133" s="1"/>
  <c r="AG79" i="133" l="1"/>
  <c r="AF77" i="133"/>
  <c r="AF80" i="133" l="1"/>
  <c r="D44" i="84" a="1"/>
  <c r="D44" i="84" s="1"/>
  <c r="D30" i="84" a="1"/>
  <c r="AH79" i="133"/>
  <c r="AG77" i="133"/>
  <c r="AG80" i="133" s="1"/>
  <c r="D30" i="84" l="1"/>
  <c r="D29" i="90"/>
  <c r="D33" i="90"/>
  <c r="D30" i="90"/>
  <c r="D31" i="90"/>
  <c r="D28" i="90"/>
  <c r="D32" i="90"/>
  <c r="D27" i="90"/>
  <c r="D26" i="90"/>
  <c r="AI79" i="133"/>
  <c r="AH77" i="133"/>
  <c r="AH80" i="133" s="1"/>
  <c r="D25" i="90" l="1"/>
  <c r="F67" i="84" a="1"/>
  <c r="F67" i="84" s="1"/>
  <c r="C76" i="84" s="1"/>
  <c r="AJ79" i="133"/>
  <c r="AI77" i="133"/>
  <c r="AI80" i="133" s="1"/>
  <c r="AK79" i="133" l="1"/>
  <c r="AJ77" i="133"/>
  <c r="AJ80" i="133" s="1"/>
  <c r="AL79" i="133" l="1"/>
  <c r="AK77" i="133"/>
  <c r="AK80" i="133" s="1"/>
  <c r="AM79" i="133" l="1"/>
  <c r="AL77" i="133"/>
  <c r="AL80" i="133" s="1"/>
  <c r="AN79" i="133" l="1"/>
  <c r="AM77" i="133"/>
  <c r="AM80" i="133" s="1"/>
  <c r="AO79" i="133" l="1"/>
  <c r="AN77" i="133"/>
  <c r="AN80" i="133" s="1"/>
  <c r="AP79" i="133" l="1"/>
  <c r="AO77" i="133"/>
  <c r="AO80" i="133" s="1"/>
  <c r="AQ79" i="133" l="1"/>
  <c r="AP77" i="133"/>
  <c r="AP80" i="133" s="1"/>
  <c r="AR79" i="133" l="1"/>
  <c r="AQ77" i="133"/>
  <c r="AQ80" i="133" s="1"/>
  <c r="AS79" i="133" l="1"/>
  <c r="AR77" i="133"/>
  <c r="AR80" i="133" s="1"/>
  <c r="AT79" i="133" l="1"/>
  <c r="AS77" i="133"/>
  <c r="AS80" i="133" s="1"/>
  <c r="AU79" i="133" l="1"/>
  <c r="AT77" i="133"/>
  <c r="AT80" i="133" s="1"/>
  <c r="AV79" i="133" l="1"/>
  <c r="AU77" i="133"/>
  <c r="AU80" i="133" s="1"/>
  <c r="AW79" i="133" l="1"/>
  <c r="AV77" i="133"/>
  <c r="AV80" i="133" s="1"/>
  <c r="AX79" i="133" l="1"/>
  <c r="AW77" i="133"/>
  <c r="AW80" i="133" s="1"/>
  <c r="AY79" i="133" l="1"/>
  <c r="AX77" i="133"/>
  <c r="AX80" i="133" s="1"/>
  <c r="AZ79" i="133" l="1"/>
  <c r="AY77" i="133"/>
  <c r="AY80" i="133" s="1"/>
  <c r="BA79" i="133" l="1"/>
  <c r="AZ77" i="133"/>
  <c r="AZ80" i="133" s="1"/>
  <c r="BB79" i="133" l="1"/>
  <c r="BA77" i="133"/>
  <c r="BA80" i="133" s="1"/>
  <c r="BC79" i="133" l="1"/>
  <c r="BB77" i="133"/>
  <c r="BB80" i="133" s="1"/>
  <c r="BD79" i="133" l="1"/>
  <c r="BC77" i="133"/>
  <c r="BC80" i="133" s="1"/>
  <c r="BE79" i="133" l="1"/>
  <c r="BD77" i="133"/>
  <c r="BD80" i="133" s="1"/>
  <c r="BF79" i="133" l="1"/>
  <c r="BE77" i="133"/>
  <c r="BE80" i="133" s="1"/>
  <c r="BG79" i="133" l="1"/>
  <c r="BF77" i="133"/>
  <c r="BF80" i="133" s="1"/>
  <c r="BH79" i="133" l="1"/>
  <c r="BG77" i="133"/>
  <c r="BG80" i="133" s="1"/>
  <c r="BI79" i="133" l="1"/>
  <c r="BH77" i="133"/>
  <c r="BH80" i="133" s="1"/>
  <c r="BJ79" i="133" l="1"/>
  <c r="BI77" i="133"/>
  <c r="BI80" i="133" s="1"/>
  <c r="BJ77" i="133" l="1"/>
  <c r="J76" i="90" l="1" a="1"/>
  <c r="J76" i="90" s="1"/>
  <c r="J65" i="90" a="1"/>
  <c r="J65" i="90" s="1"/>
  <c r="BJ80" i="133"/>
  <c r="J104" i="80" a="1"/>
  <c r="J104" i="80" s="1"/>
  <c r="J78" i="80" a="1"/>
  <c r="J91" i="80" a="1"/>
  <c r="J91" i="80" s="1"/>
  <c r="D6" i="88" a="1"/>
  <c r="D6" i="88" s="1"/>
  <c r="J54" i="90" a="1"/>
  <c r="J78" i="80" l="1"/>
  <c r="J80" i="80" s="1"/>
  <c r="AM80" i="80"/>
  <c r="AE80" i="80"/>
  <c r="W80" i="80"/>
  <c r="O80" i="80"/>
  <c r="AB80" i="80"/>
  <c r="Z80" i="80"/>
  <c r="AL80" i="80"/>
  <c r="AD80" i="80"/>
  <c r="V80" i="80"/>
  <c r="N80" i="80"/>
  <c r="L80" i="80"/>
  <c r="R80" i="80"/>
  <c r="AK80" i="80"/>
  <c r="AC80" i="80"/>
  <c r="U80" i="80"/>
  <c r="M80" i="80"/>
  <c r="T80" i="80"/>
  <c r="AF80" i="80"/>
  <c r="X80" i="80"/>
  <c r="P80" i="80"/>
  <c r="AJ80" i="80"/>
  <c r="AI80" i="80"/>
  <c r="AA80" i="80"/>
  <c r="S80" i="80"/>
  <c r="K80" i="80"/>
  <c r="AH80" i="80"/>
  <c r="AG80" i="80"/>
  <c r="Y80" i="80"/>
  <c r="Q80" i="80"/>
  <c r="AO80" i="80"/>
  <c r="AP80" i="80"/>
  <c r="AQ80" i="80"/>
  <c r="AR80" i="80"/>
  <c r="AS80" i="80"/>
  <c r="AT80" i="80"/>
  <c r="AU80" i="80"/>
  <c r="AV80" i="80"/>
  <c r="AW80" i="80"/>
  <c r="AX80" i="80"/>
  <c r="AY80" i="80"/>
  <c r="AZ80" i="80"/>
  <c r="BA80" i="80"/>
  <c r="BB80" i="80"/>
  <c r="BC80" i="80"/>
  <c r="BD80" i="80"/>
  <c r="BE80" i="80"/>
  <c r="BF80" i="80"/>
  <c r="BG80" i="80"/>
  <c r="BH80" i="80"/>
  <c r="BI80" i="80"/>
  <c r="BJ80" i="80"/>
  <c r="BK80" i="80"/>
  <c r="BL80" i="80"/>
  <c r="BM80" i="80"/>
  <c r="BN80" i="80"/>
  <c r="BO80" i="80"/>
  <c r="BP80" i="80"/>
  <c r="BQ80" i="80"/>
  <c r="D26" i="73" a="1"/>
  <c r="D26" i="73" s="1"/>
  <c r="D48" i="73" a="1"/>
  <c r="D48" i="73" s="1"/>
  <c r="D41" i="73" a="1"/>
  <c r="D41" i="73" s="1"/>
  <c r="J54" i="90"/>
  <c r="B70" i="90" a="1"/>
  <c r="B70" i="90" s="1"/>
  <c r="B69" i="90" a="1"/>
  <c r="B69" i="90" s="1"/>
  <c r="BL93" i="80" l="1"/>
  <c r="BL106" i="80"/>
  <c r="BD106" i="80"/>
  <c r="BD93" i="80"/>
  <c r="AV106" i="80"/>
  <c r="AV93" i="80"/>
  <c r="Q93" i="80"/>
  <c r="Q106" i="80"/>
  <c r="AJ106" i="80"/>
  <c r="AJ93" i="80"/>
  <c r="AK106" i="80"/>
  <c r="AK93" i="80"/>
  <c r="AB106" i="80"/>
  <c r="AB93" i="80"/>
  <c r="AX93" i="80"/>
  <c r="AX106" i="80"/>
  <c r="U106" i="80"/>
  <c r="U93" i="80"/>
  <c r="BE106" i="80"/>
  <c r="BE93" i="80"/>
  <c r="AI106" i="80"/>
  <c r="AI93" i="80"/>
  <c r="BK93" i="80"/>
  <c r="BK106" i="80"/>
  <c r="Y93" i="80"/>
  <c r="Y106" i="80"/>
  <c r="P93" i="80"/>
  <c r="P106" i="80"/>
  <c r="R106" i="80"/>
  <c r="R93" i="80"/>
  <c r="O93" i="80"/>
  <c r="O106" i="80"/>
  <c r="BJ93" i="80"/>
  <c r="BJ106" i="80"/>
  <c r="BB106" i="80"/>
  <c r="BB93" i="80"/>
  <c r="AT106" i="80"/>
  <c r="AT93" i="80"/>
  <c r="AG93" i="80"/>
  <c r="AG106" i="80"/>
  <c r="X93" i="80"/>
  <c r="X106" i="80"/>
  <c r="L106" i="80"/>
  <c r="L93" i="80"/>
  <c r="W93" i="80"/>
  <c r="W106" i="80"/>
  <c r="AU93" i="80"/>
  <c r="AU106" i="80"/>
  <c r="BI106" i="80"/>
  <c r="BI93" i="80"/>
  <c r="BA106" i="80"/>
  <c r="BA93" i="80"/>
  <c r="AS106" i="80"/>
  <c r="AS93" i="80"/>
  <c r="AH106" i="80"/>
  <c r="AH93" i="80"/>
  <c r="AF93" i="80"/>
  <c r="AF106" i="80"/>
  <c r="N93" i="80"/>
  <c r="N106" i="80"/>
  <c r="AE93" i="80"/>
  <c r="AE106" i="80"/>
  <c r="BN93" i="80"/>
  <c r="BN106" i="80"/>
  <c r="AA106" i="80"/>
  <c r="AA93" i="80"/>
  <c r="AW106" i="80"/>
  <c r="AW93" i="80"/>
  <c r="AC106" i="80"/>
  <c r="AC93" i="80"/>
  <c r="BC106" i="80"/>
  <c r="BC93" i="80"/>
  <c r="BQ93" i="80"/>
  <c r="BQ106" i="80"/>
  <c r="BP106" i="80"/>
  <c r="BP93" i="80"/>
  <c r="BH106" i="80"/>
  <c r="BH93" i="80"/>
  <c r="AZ106" i="80"/>
  <c r="AZ93" i="80"/>
  <c r="AR106" i="80"/>
  <c r="AR93" i="80"/>
  <c r="K106" i="80"/>
  <c r="K93" i="80"/>
  <c r="T106" i="80"/>
  <c r="T93" i="80"/>
  <c r="V93" i="80"/>
  <c r="V106" i="80"/>
  <c r="AN80" i="80"/>
  <c r="AM93" i="80"/>
  <c r="AM106" i="80"/>
  <c r="BF106" i="80"/>
  <c r="BF93" i="80"/>
  <c r="AP106" i="80"/>
  <c r="AP93" i="80"/>
  <c r="AL93" i="80"/>
  <c r="AL106" i="80"/>
  <c r="BM106" i="80"/>
  <c r="BM93" i="80"/>
  <c r="AO93" i="80"/>
  <c r="AO106" i="80"/>
  <c r="Z106" i="80"/>
  <c r="Z93" i="80"/>
  <c r="BO106" i="80"/>
  <c r="BO93" i="80"/>
  <c r="BG106" i="80"/>
  <c r="BG93" i="80"/>
  <c r="AY106" i="80"/>
  <c r="AY93" i="80"/>
  <c r="AQ106" i="80"/>
  <c r="AQ93" i="80"/>
  <c r="S106" i="80"/>
  <c r="S93" i="80"/>
  <c r="M106" i="80"/>
  <c r="M93" i="80"/>
  <c r="AD93" i="80"/>
  <c r="AD106" i="80"/>
  <c r="J106" i="80"/>
  <c r="J93" i="80"/>
  <c r="B34" i="80"/>
  <c r="B127" i="80"/>
  <c r="B99" i="80"/>
  <c r="B86" i="80"/>
  <c r="B73" i="80"/>
  <c r="B34" i="90"/>
  <c r="B49" i="90"/>
  <c r="B60" i="90"/>
  <c r="B71" i="90"/>
  <c r="B97" i="90"/>
  <c r="AN93" i="80" l="1"/>
  <c r="AN106" i="80"/>
  <c r="B59" i="90" a="1"/>
  <c r="B59" i="90" s="1"/>
  <c r="B58" i="90" a="1"/>
  <c r="B58" i="90" s="1"/>
  <c r="B98" i="80" a="1"/>
  <c r="B98" i="80" s="1"/>
  <c r="B97" i="80" a="1"/>
  <c r="B97" i="80" s="1"/>
  <c r="B85" i="80" a="1"/>
  <c r="B85" i="80" s="1"/>
  <c r="B84" i="80" a="1"/>
  <c r="B84" i="80" s="1"/>
  <c r="E77" i="80" a="1"/>
  <c r="E77" i="80" s="1"/>
  <c r="B96" i="80" l="1"/>
  <c r="B109" i="80" s="1"/>
  <c r="B95" i="80"/>
  <c r="B108" i="80" s="1"/>
  <c r="B94" i="80"/>
  <c r="B107" i="80" s="1"/>
  <c r="E54" i="71" l="1"/>
  <c r="D54" i="71"/>
  <c r="C54" i="71"/>
  <c r="C56" i="71" s="1"/>
  <c r="Q15" i="124"/>
  <c r="F118" i="80" s="1"/>
  <c r="Q16" i="124"/>
  <c r="F119" i="80" s="1"/>
  <c r="Q17" i="124"/>
  <c r="F120" i="80" s="1"/>
  <c r="Q18" i="124"/>
  <c r="F121" i="80" s="1"/>
  <c r="Q19" i="124"/>
  <c r="F122" i="80" s="1"/>
  <c r="Q20" i="124"/>
  <c r="F123" i="80" s="1"/>
  <c r="Q21" i="124"/>
  <c r="F124" i="80" s="1"/>
  <c r="Q22" i="124"/>
  <c r="F125" i="80" s="1"/>
  <c r="Q23" i="124"/>
  <c r="F126" i="80" s="1"/>
  <c r="Q24" i="124"/>
  <c r="F88" i="90" s="1"/>
  <c r="Q25" i="124"/>
  <c r="F89" i="90" s="1"/>
  <c r="Q26" i="124"/>
  <c r="F90" i="90" s="1"/>
  <c r="Q27" i="124"/>
  <c r="F91" i="90" s="1"/>
  <c r="Q28" i="124"/>
  <c r="F92" i="90" s="1"/>
  <c r="Q29" i="124"/>
  <c r="F93" i="90" s="1"/>
  <c r="Q30" i="124"/>
  <c r="F94" i="90" s="1"/>
  <c r="Q31" i="124"/>
  <c r="F95" i="90" s="1"/>
  <c r="Q32" i="124"/>
  <c r="F96" i="90" s="1"/>
  <c r="Q14" i="124"/>
  <c r="F117" i="80" s="1"/>
  <c r="N32" i="124" l="1"/>
  <c r="N17" i="124"/>
  <c r="P19" i="124"/>
  <c r="P24" i="124"/>
  <c r="N20" i="124"/>
  <c r="O25" i="124"/>
  <c r="O29" i="124"/>
  <c r="O24" i="124"/>
  <c r="N21" i="124"/>
  <c r="O17" i="124"/>
  <c r="P20" i="124"/>
  <c r="N25" i="124"/>
  <c r="N31" i="124"/>
  <c r="P17" i="124"/>
  <c r="O20" i="124"/>
  <c r="N29" i="124"/>
  <c r="N18" i="124"/>
  <c r="P30" i="124"/>
  <c r="O31" i="124"/>
  <c r="N24" i="124"/>
  <c r="P31" i="124"/>
  <c r="O18" i="124"/>
  <c r="P21" i="124"/>
  <c r="P29" i="124"/>
  <c r="O30" i="124"/>
  <c r="O19" i="124"/>
  <c r="P32" i="124"/>
  <c r="P18" i="124"/>
  <c r="N30" i="124"/>
  <c r="N19" i="124"/>
  <c r="N16" i="124"/>
  <c r="O14" i="124"/>
  <c r="O15" i="124"/>
  <c r="P28" i="124"/>
  <c r="O26" i="124"/>
  <c r="O32" i="124"/>
  <c r="N14" i="124"/>
  <c r="O21" i="124"/>
  <c r="N26" i="124"/>
  <c r="P22" i="124"/>
  <c r="P23" i="124"/>
  <c r="P27" i="124"/>
  <c r="P25" i="124"/>
  <c r="P15" i="124"/>
  <c r="P16" i="124"/>
  <c r="P26" i="124"/>
  <c r="N27" i="124"/>
  <c r="P14" i="124"/>
  <c r="N23" i="124"/>
  <c r="O27" i="124"/>
  <c r="O22" i="124"/>
  <c r="O28" i="124"/>
  <c r="N15" i="124"/>
  <c r="N28" i="124"/>
  <c r="O23" i="124"/>
  <c r="O16" i="124"/>
  <c r="N22" i="124"/>
  <c r="C95" i="90" l="1"/>
  <c r="D120" i="80"/>
  <c r="C123" i="80"/>
  <c r="E125" i="80"/>
  <c r="C88" i="90"/>
  <c r="E90" i="90"/>
  <c r="D93" i="90"/>
  <c r="E95" i="90"/>
  <c r="D91" i="90"/>
  <c r="D95" i="90"/>
  <c r="C118" i="80"/>
  <c r="E120" i="80"/>
  <c r="C126" i="80"/>
  <c r="D88" i="90"/>
  <c r="C91" i="90"/>
  <c r="E93" i="90"/>
  <c r="D118" i="80"/>
  <c r="C94" i="90"/>
  <c r="C96" i="90"/>
  <c r="E118" i="80"/>
  <c r="D121" i="80"/>
  <c r="C124" i="80"/>
  <c r="E126" i="80"/>
  <c r="E40" i="80" s="1"/>
  <c r="C89" i="90"/>
  <c r="E91" i="90"/>
  <c r="D94" i="90"/>
  <c r="D96" i="90"/>
  <c r="C119" i="80"/>
  <c r="E121" i="80"/>
  <c r="D124" i="80"/>
  <c r="D89" i="90"/>
  <c r="C92" i="90"/>
  <c r="E94" i="90"/>
  <c r="D126" i="80"/>
  <c r="D40" i="80" s="1"/>
  <c r="E96" i="90"/>
  <c r="D119" i="80"/>
  <c r="C122" i="80"/>
  <c r="E124" i="80"/>
  <c r="E89" i="90"/>
  <c r="D92" i="90"/>
  <c r="D117" i="80"/>
  <c r="C121" i="80"/>
  <c r="E119" i="80"/>
  <c r="D122" i="80"/>
  <c r="C125" i="80"/>
  <c r="C90" i="90"/>
  <c r="E92" i="90"/>
  <c r="E117" i="80"/>
  <c r="E88" i="90"/>
  <c r="C120" i="80"/>
  <c r="E122" i="80"/>
  <c r="D125" i="80"/>
  <c r="D90" i="90"/>
  <c r="C93" i="90"/>
  <c r="C117" i="80"/>
  <c r="E51" i="80" l="1"/>
  <c r="F51" i="80"/>
  <c r="D51" i="80"/>
  <c r="E62" i="80"/>
  <c r="F62" i="80"/>
  <c r="D62" i="80"/>
  <c r="E70" i="80"/>
  <c r="D70" i="80"/>
  <c r="F70" i="80"/>
  <c r="D71" i="80"/>
  <c r="F71" i="80"/>
  <c r="E71" i="80"/>
  <c r="F52" i="80"/>
  <c r="E52" i="80"/>
  <c r="D52" i="80"/>
  <c r="E60" i="80"/>
  <c r="D60" i="80"/>
  <c r="F60" i="80"/>
  <c r="F61" i="80"/>
  <c r="E61" i="80"/>
  <c r="D61" i="80"/>
  <c r="E53" i="80"/>
  <c r="D53" i="80"/>
  <c r="F53" i="80"/>
  <c r="E69" i="80"/>
  <c r="D69" i="80"/>
  <c r="F69" i="80"/>
  <c r="C33" i="90"/>
  <c r="E47" i="90" s="1"/>
  <c r="C32" i="90"/>
  <c r="E46" i="90" s="1"/>
  <c r="C31" i="90"/>
  <c r="E45" i="90" s="1"/>
  <c r="C30" i="90"/>
  <c r="E44" i="90" s="1"/>
  <c r="C29" i="90"/>
  <c r="E43" i="90" s="1"/>
  <c r="C28" i="90"/>
  <c r="E42" i="90" s="1"/>
  <c r="C27" i="90"/>
  <c r="E41" i="90" s="1"/>
  <c r="C26" i="90"/>
  <c r="E40" i="90" s="1"/>
  <c r="C25" i="90"/>
  <c r="E39" i="90" s="1"/>
  <c r="C40" i="80"/>
  <c r="D78" i="90" l="1"/>
  <c r="D79" i="90"/>
  <c r="F41" i="90"/>
  <c r="D41" i="90"/>
  <c r="C41" i="90"/>
  <c r="C46" i="90"/>
  <c r="D46" i="90"/>
  <c r="D42" i="90"/>
  <c r="C42" i="90"/>
  <c r="D43" i="90"/>
  <c r="C43" i="90"/>
  <c r="D47" i="90"/>
  <c r="C47" i="90"/>
  <c r="D40" i="90"/>
  <c r="C40" i="90"/>
  <c r="C45" i="90"/>
  <c r="D45" i="90"/>
  <c r="C39" i="90"/>
  <c r="D39" i="90"/>
  <c r="D44" i="90"/>
  <c r="C44" i="90"/>
  <c r="F44" i="90"/>
  <c r="F43" i="90"/>
  <c r="F42" i="90"/>
  <c r="F40" i="90"/>
  <c r="F47" i="90"/>
  <c r="F39" i="90"/>
  <c r="F46" i="90"/>
  <c r="F45" i="90"/>
  <c r="F48" i="90" l="1"/>
  <c r="D67" i="90"/>
  <c r="D68" i="90"/>
  <c r="D57" i="90"/>
  <c r="D56" i="90"/>
  <c r="E9" i="88" l="1"/>
  <c r="F9" i="88" l="1"/>
  <c r="B83" i="80"/>
  <c r="B82" i="80"/>
  <c r="B79" i="90" s="1"/>
  <c r="C29" i="80"/>
  <c r="C28" i="80"/>
  <c r="C27" i="80"/>
  <c r="C24" i="80"/>
  <c r="D45" i="80" l="1"/>
  <c r="D44" i="80"/>
  <c r="D43" i="80"/>
  <c r="B56" i="90"/>
  <c r="B67" i="90"/>
  <c r="B57" i="90"/>
  <c r="B68" i="90"/>
  <c r="G9" i="88"/>
  <c r="G43" i="80" l="1"/>
  <c r="F43" i="80"/>
  <c r="E43" i="80"/>
  <c r="G44" i="80"/>
  <c r="F44" i="80"/>
  <c r="E44" i="80"/>
  <c r="G45" i="80"/>
  <c r="F45" i="80"/>
  <c r="E45" i="80"/>
  <c r="H9" i="88"/>
  <c r="I9" i="88" l="1"/>
  <c r="J9" i="88" l="1"/>
  <c r="K9" i="88" l="1"/>
  <c r="L9" i="88" l="1"/>
  <c r="M9" i="88" l="1"/>
  <c r="N9" i="88" l="1"/>
  <c r="O9" i="88" l="1"/>
  <c r="P9" i="88" l="1"/>
  <c r="Q9" i="88" l="1"/>
  <c r="R9" i="88" l="1"/>
  <c r="S9" i="88" l="1"/>
  <c r="T9" i="88" l="1"/>
  <c r="U9" i="88" l="1"/>
  <c r="V9" i="88" l="1"/>
  <c r="W9" i="88" l="1"/>
  <c r="X9" i="88" l="1"/>
  <c r="Y9" i="88" l="1"/>
  <c r="Z9" i="88" l="1"/>
  <c r="AA9" i="88" l="1"/>
  <c r="AB9" i="88" l="1"/>
  <c r="AC9" i="88" l="1"/>
  <c r="AD9" i="88" l="1"/>
  <c r="AE9" i="88" l="1"/>
  <c r="AF9" i="88" l="1"/>
  <c r="AG9" i="88" l="1"/>
  <c r="B47" i="71"/>
  <c r="C25" i="80"/>
  <c r="AH9" i="88" l="1"/>
  <c r="D109" i="80" l="1"/>
  <c r="D95" i="80"/>
  <c r="D83" i="80"/>
  <c r="D108" i="80"/>
  <c r="D82" i="80"/>
  <c r="D107" i="80"/>
  <c r="D94" i="80"/>
  <c r="D96" i="80"/>
  <c r="D81" i="80"/>
  <c r="AI9" i="88"/>
  <c r="E56" i="71"/>
  <c r="C58" i="71"/>
  <c r="D56" i="71"/>
  <c r="C78" i="90" l="1"/>
  <c r="E78" i="90" s="1"/>
  <c r="D58" i="71"/>
  <c r="C67" i="90"/>
  <c r="E67" i="90" s="1"/>
  <c r="F67" i="90" s="1"/>
  <c r="C81" i="80"/>
  <c r="E81" i="80" s="1"/>
  <c r="C56" i="90"/>
  <c r="C94" i="80"/>
  <c r="E58" i="71"/>
  <c r="AJ9" i="88"/>
  <c r="D76" i="71"/>
  <c r="E60" i="71" l="1"/>
  <c r="C108" i="71" s="1"/>
  <c r="C107" i="80"/>
  <c r="E107" i="80" s="1"/>
  <c r="F107" i="80" s="1"/>
  <c r="C82" i="80"/>
  <c r="E82" i="80" s="1"/>
  <c r="C79" i="90"/>
  <c r="F78" i="90"/>
  <c r="C68" i="90"/>
  <c r="E68" i="90" s="1"/>
  <c r="F68" i="90" s="1"/>
  <c r="C95" i="80"/>
  <c r="C57" i="90"/>
  <c r="C58" i="90" s="1"/>
  <c r="C59" i="90" s="1"/>
  <c r="C96" i="80"/>
  <c r="E96" i="80" s="1"/>
  <c r="C83" i="80"/>
  <c r="E56" i="90"/>
  <c r="AK9" i="88"/>
  <c r="F56" i="90" l="1"/>
  <c r="C108" i="80"/>
  <c r="E108" i="80" s="1"/>
  <c r="E95" i="80"/>
  <c r="C69" i="90"/>
  <c r="C70" i="90" s="1"/>
  <c r="E79" i="90"/>
  <c r="C80" i="90"/>
  <c r="C81" i="90" s="1"/>
  <c r="C84" i="80"/>
  <c r="C85" i="80" s="1"/>
  <c r="E83" i="80"/>
  <c r="F83" i="80" s="1"/>
  <c r="E57" i="90"/>
  <c r="F57" i="90" s="1"/>
  <c r="C97" i="80"/>
  <c r="C98" i="80" s="1"/>
  <c r="C109" i="80"/>
  <c r="F82" i="80"/>
  <c r="AL9" i="88"/>
  <c r="E94" i="80" l="1"/>
  <c r="F94" i="80" s="1"/>
  <c r="C110" i="80"/>
  <c r="C111" i="80" s="1"/>
  <c r="E109" i="80"/>
  <c r="F79" i="90"/>
  <c r="E80" i="90"/>
  <c r="E81" i="90" s="1"/>
  <c r="E58" i="90"/>
  <c r="D97" i="80"/>
  <c r="D98" i="80" s="1"/>
  <c r="D84" i="80"/>
  <c r="D85" i="80" s="1"/>
  <c r="F96" i="80"/>
  <c r="F81" i="80"/>
  <c r="E84" i="80"/>
  <c r="F58" i="90"/>
  <c r="F69" i="90"/>
  <c r="F95" i="80"/>
  <c r="E69" i="90"/>
  <c r="E70" i="90" s="1"/>
  <c r="AM9" i="88"/>
  <c r="F80" i="90" l="1"/>
  <c r="E97" i="80"/>
  <c r="F84" i="80"/>
  <c r="F97" i="80"/>
  <c r="AN9" i="88"/>
  <c r="AO9" i="88" l="1"/>
  <c r="AP9" i="88" l="1"/>
  <c r="AQ9" i="88" l="1"/>
  <c r="AR9" i="88" l="1"/>
  <c r="AS9" i="88" l="1"/>
  <c r="AT9" i="88" l="1"/>
  <c r="AU9" i="88" l="1"/>
  <c r="AV9" i="88" l="1"/>
  <c r="AW9" i="88" l="1"/>
  <c r="AX9" i="88" l="1"/>
  <c r="AY9" i="88" l="1"/>
  <c r="AZ9" i="88" l="1"/>
  <c r="BA9" i="88" l="1"/>
  <c r="BB9" i="88" l="1"/>
  <c r="BC9" i="88" l="1"/>
  <c r="BD9" i="88" l="1"/>
  <c r="BE9" i="88" l="1"/>
  <c r="BF9" i="88" l="1"/>
  <c r="BG9" i="88" l="1"/>
  <c r="BH9" i="88" l="1"/>
  <c r="BI9" i="88" l="1"/>
  <c r="BJ9" i="88" l="1"/>
  <c r="BK9" i="88" l="1"/>
  <c r="BL9" i="88" l="1"/>
  <c r="BM9" i="88" l="1"/>
  <c r="BN9" i="88" s="1"/>
  <c r="BO9" i="88" s="1"/>
  <c r="BP9" i="88" s="1"/>
  <c r="BQ9" i="88" s="1"/>
  <c r="BR9" i="88" s="1"/>
  <c r="BS9" i="88" s="1"/>
  <c r="BT9" i="88" s="1"/>
  <c r="BU9" i="88" s="1"/>
  <c r="BV9" i="88" s="1"/>
  <c r="BW9" i="88" s="1"/>
  <c r="BX9" i="88" s="1"/>
  <c r="BY9" i="88" s="1"/>
  <c r="BZ9" i="88" s="1"/>
  <c r="CA9" i="88" s="1"/>
  <c r="CB9" i="88" s="1"/>
  <c r="CC9" i="88" s="1"/>
  <c r="CD9" i="88" s="1"/>
  <c r="CE9" i="88" s="1"/>
  <c r="CF9" i="88" s="1"/>
  <c r="CG9" i="88" s="1"/>
  <c r="CH9" i="88" s="1"/>
  <c r="CI9" i="88" s="1"/>
  <c r="CJ9" i="88" s="1"/>
  <c r="CK9" i="88" s="1"/>
  <c r="CL9" i="88" s="1"/>
  <c r="CM9" i="88" s="1"/>
  <c r="CN9" i="88" s="1"/>
  <c r="CO9" i="88" s="1"/>
  <c r="CP9" i="88" s="1"/>
  <c r="CQ9" i="88" s="1"/>
  <c r="CR9" i="88" s="1"/>
  <c r="CS9" i="88" s="1"/>
  <c r="CT9" i="88" s="1"/>
  <c r="CU9" i="88" s="1"/>
  <c r="CV9" i="88" s="1"/>
  <c r="CW9" i="88" s="1"/>
  <c r="CX9" i="88" s="1"/>
  <c r="CY9" i="88" s="1"/>
  <c r="CZ9" i="88" s="1"/>
  <c r="D13" i="88" s="1"/>
  <c r="G83" i="80" l="1"/>
  <c r="G94" i="80"/>
  <c r="G82" i="80"/>
  <c r="G81" i="80"/>
  <c r="G107" i="80"/>
  <c r="G96" i="80"/>
  <c r="K96" i="80" s="1"/>
  <c r="G95" i="80"/>
  <c r="G67" i="90"/>
  <c r="G68" i="90"/>
  <c r="G78" i="90"/>
  <c r="G56" i="90"/>
  <c r="G57" i="90"/>
  <c r="G58" i="90"/>
  <c r="G79" i="90"/>
  <c r="G69" i="90"/>
  <c r="G80" i="90"/>
  <c r="K79" i="90" l="1"/>
  <c r="J79" i="90"/>
  <c r="J56" i="90"/>
  <c r="K56" i="90"/>
  <c r="J78" i="90"/>
  <c r="K78" i="90"/>
  <c r="K57" i="90"/>
  <c r="J57" i="90"/>
  <c r="J68" i="90"/>
  <c r="K68" i="90"/>
  <c r="K58" i="90"/>
  <c r="J58" i="90"/>
  <c r="J80" i="90"/>
  <c r="K80" i="90"/>
  <c r="K67" i="90"/>
  <c r="J67" i="90"/>
  <c r="K69" i="90"/>
  <c r="J69" i="90"/>
  <c r="G84" i="80"/>
  <c r="G85" i="80" s="1"/>
  <c r="BM107" i="80"/>
  <c r="BE107" i="80"/>
  <c r="AW107" i="80"/>
  <c r="AO107" i="80"/>
  <c r="BL107" i="80"/>
  <c r="BD107" i="80"/>
  <c r="AV107" i="80"/>
  <c r="AN107" i="80"/>
  <c r="BK107" i="80"/>
  <c r="BC107" i="80"/>
  <c r="AU107" i="80"/>
  <c r="BJ107" i="80"/>
  <c r="BB107" i="80"/>
  <c r="AT107" i="80"/>
  <c r="BQ107" i="80"/>
  <c r="BI107" i="80"/>
  <c r="BA107" i="80"/>
  <c r="AS107" i="80"/>
  <c r="BP107" i="80"/>
  <c r="BH107" i="80"/>
  <c r="AZ107" i="80"/>
  <c r="AR107" i="80"/>
  <c r="BO107" i="80"/>
  <c r="BG107" i="80"/>
  <c r="AY107" i="80"/>
  <c r="AQ107" i="80"/>
  <c r="BN107" i="80"/>
  <c r="BF107" i="80"/>
  <c r="AX107" i="80"/>
  <c r="AP107" i="80"/>
  <c r="J107" i="80"/>
  <c r="K107" i="80"/>
  <c r="L107" i="80"/>
  <c r="M107" i="80"/>
  <c r="N107" i="80"/>
  <c r="O107" i="80"/>
  <c r="P107" i="80"/>
  <c r="Q107" i="80"/>
  <c r="R107" i="80"/>
  <c r="S107" i="80"/>
  <c r="T107" i="80"/>
  <c r="U107" i="80"/>
  <c r="V107" i="80"/>
  <c r="W107" i="80"/>
  <c r="X107" i="80"/>
  <c r="Y107" i="80"/>
  <c r="Z107" i="80"/>
  <c r="AA107" i="80"/>
  <c r="AB107" i="80"/>
  <c r="AC107" i="80"/>
  <c r="AD107" i="80"/>
  <c r="AE107" i="80"/>
  <c r="AF107" i="80"/>
  <c r="AG107" i="80"/>
  <c r="AH107" i="80"/>
  <c r="AI107" i="80"/>
  <c r="AJ107" i="80"/>
  <c r="AK107" i="80"/>
  <c r="AL107" i="80"/>
  <c r="AM107" i="80"/>
  <c r="BQ81" i="80"/>
  <c r="BI81" i="80"/>
  <c r="BA81" i="80"/>
  <c r="AS81" i="80"/>
  <c r="BP81" i="80"/>
  <c r="BH81" i="80"/>
  <c r="AZ81" i="80"/>
  <c r="AR81" i="80"/>
  <c r="BO81" i="80"/>
  <c r="BG81" i="80"/>
  <c r="AY81" i="80"/>
  <c r="AQ81" i="80"/>
  <c r="BN81" i="80"/>
  <c r="BF81" i="80"/>
  <c r="AX81" i="80"/>
  <c r="AP81" i="80"/>
  <c r="BM81" i="80"/>
  <c r="BE81" i="80"/>
  <c r="AW81" i="80"/>
  <c r="AO81" i="80"/>
  <c r="BL81" i="80"/>
  <c r="BD81" i="80"/>
  <c r="AV81" i="80"/>
  <c r="AN81" i="80"/>
  <c r="BK81" i="80"/>
  <c r="BC81" i="80"/>
  <c r="AU81" i="80"/>
  <c r="BJ81" i="80"/>
  <c r="BB81" i="80"/>
  <c r="AT81" i="80"/>
  <c r="K81" i="80"/>
  <c r="J81" i="80"/>
  <c r="L81" i="80"/>
  <c r="M81" i="80"/>
  <c r="N81" i="80"/>
  <c r="O81" i="80"/>
  <c r="P81" i="80"/>
  <c r="Q81" i="80"/>
  <c r="R81" i="80"/>
  <c r="S81" i="80"/>
  <c r="T81" i="80"/>
  <c r="U81" i="80"/>
  <c r="V81" i="80"/>
  <c r="W81" i="80"/>
  <c r="X81" i="80"/>
  <c r="Y81" i="80"/>
  <c r="Z81" i="80"/>
  <c r="AA81" i="80"/>
  <c r="AB81" i="80"/>
  <c r="AC81" i="80"/>
  <c r="AD81" i="80"/>
  <c r="AE81" i="80"/>
  <c r="AF81" i="80"/>
  <c r="AG81" i="80"/>
  <c r="AH81" i="80"/>
  <c r="AI81" i="80"/>
  <c r="AJ81" i="80"/>
  <c r="AK81" i="80"/>
  <c r="AL81" i="80"/>
  <c r="AM81" i="80"/>
  <c r="BK82" i="80"/>
  <c r="BC82" i="80"/>
  <c r="AU82" i="80"/>
  <c r="BJ82" i="80"/>
  <c r="BB82" i="80"/>
  <c r="AT82" i="80"/>
  <c r="BQ82" i="80"/>
  <c r="BI82" i="80"/>
  <c r="BA82" i="80"/>
  <c r="AS82" i="80"/>
  <c r="BP82" i="80"/>
  <c r="BH82" i="80"/>
  <c r="AZ82" i="80"/>
  <c r="AR82" i="80"/>
  <c r="BO82" i="80"/>
  <c r="BG82" i="80"/>
  <c r="AY82" i="80"/>
  <c r="AQ82" i="80"/>
  <c r="BN82" i="80"/>
  <c r="BF82" i="80"/>
  <c r="AX82" i="80"/>
  <c r="AP82" i="80"/>
  <c r="BM82" i="80"/>
  <c r="BE82" i="80"/>
  <c r="AW82" i="80"/>
  <c r="AO82" i="80"/>
  <c r="BL82" i="80"/>
  <c r="BD82" i="80"/>
  <c r="AV82" i="80"/>
  <c r="AN82" i="80"/>
  <c r="J82" i="80"/>
  <c r="K82" i="80"/>
  <c r="L82" i="80"/>
  <c r="M82" i="80"/>
  <c r="N82" i="80"/>
  <c r="O82" i="80"/>
  <c r="P82" i="80"/>
  <c r="Q82" i="80"/>
  <c r="R82" i="80"/>
  <c r="S82" i="80"/>
  <c r="T82" i="80"/>
  <c r="U82" i="80"/>
  <c r="V82" i="80"/>
  <c r="W82" i="80"/>
  <c r="X82" i="80"/>
  <c r="Y82" i="80"/>
  <c r="Z82" i="80"/>
  <c r="AA82" i="80"/>
  <c r="AB82" i="80"/>
  <c r="AC82" i="80"/>
  <c r="AD82" i="80"/>
  <c r="AE82" i="80"/>
  <c r="AF82" i="80"/>
  <c r="AG82" i="80"/>
  <c r="AH82" i="80"/>
  <c r="AI82" i="80"/>
  <c r="AJ82" i="80"/>
  <c r="AK82" i="80"/>
  <c r="AL82" i="80"/>
  <c r="AM82" i="80"/>
  <c r="BK96" i="80"/>
  <c r="BC96" i="80"/>
  <c r="AU96" i="80"/>
  <c r="BJ96" i="80"/>
  <c r="BB96" i="80"/>
  <c r="AT96" i="80"/>
  <c r="BQ96" i="80"/>
  <c r="BI96" i="80"/>
  <c r="BA96" i="80"/>
  <c r="AS96" i="80"/>
  <c r="BP96" i="80"/>
  <c r="BH96" i="80"/>
  <c r="AZ96" i="80"/>
  <c r="AR96" i="80"/>
  <c r="BO96" i="80"/>
  <c r="BG96" i="80"/>
  <c r="AY96" i="80"/>
  <c r="AQ96" i="80"/>
  <c r="BN96" i="80"/>
  <c r="BF96" i="80"/>
  <c r="AX96" i="80"/>
  <c r="AP96" i="80"/>
  <c r="BM96" i="80"/>
  <c r="BE96" i="80"/>
  <c r="AW96" i="80"/>
  <c r="AO96" i="80"/>
  <c r="BL96" i="80"/>
  <c r="BD96" i="80"/>
  <c r="AV96" i="80"/>
  <c r="AN96" i="80"/>
  <c r="J96" i="80"/>
  <c r="L96" i="80"/>
  <c r="M96" i="80"/>
  <c r="N96" i="80"/>
  <c r="O96" i="80"/>
  <c r="P96" i="80"/>
  <c r="Q96" i="80"/>
  <c r="R96" i="80"/>
  <c r="S96" i="80"/>
  <c r="T96" i="80"/>
  <c r="U96" i="80"/>
  <c r="V96" i="80"/>
  <c r="W96" i="80"/>
  <c r="X96" i="80"/>
  <c r="Y96" i="80"/>
  <c r="Z96" i="80"/>
  <c r="AA96" i="80"/>
  <c r="AB96" i="80"/>
  <c r="AC96" i="80"/>
  <c r="AD96" i="80"/>
  <c r="AE96" i="80"/>
  <c r="AF96" i="80"/>
  <c r="AG96" i="80"/>
  <c r="AH96" i="80"/>
  <c r="AI96" i="80"/>
  <c r="AJ96" i="80"/>
  <c r="AK96" i="80"/>
  <c r="AL96" i="80"/>
  <c r="AM96" i="80"/>
  <c r="BO94" i="80"/>
  <c r="BG94" i="80"/>
  <c r="AY94" i="80"/>
  <c r="AQ94" i="80"/>
  <c r="BN94" i="80"/>
  <c r="BF94" i="80"/>
  <c r="AX94" i="80"/>
  <c r="AP94" i="80"/>
  <c r="BM94" i="80"/>
  <c r="BE94" i="80"/>
  <c r="AW94" i="80"/>
  <c r="AO94" i="80"/>
  <c r="BL94" i="80"/>
  <c r="BD94" i="80"/>
  <c r="AV94" i="80"/>
  <c r="AN94" i="80"/>
  <c r="BK94" i="80"/>
  <c r="BC94" i="80"/>
  <c r="AU94" i="80"/>
  <c r="BJ94" i="80"/>
  <c r="BB94" i="80"/>
  <c r="AT94" i="80"/>
  <c r="BQ94" i="80"/>
  <c r="BI94" i="80"/>
  <c r="BA94" i="80"/>
  <c r="AS94" i="80"/>
  <c r="BP94" i="80"/>
  <c r="BH94" i="80"/>
  <c r="AZ94" i="80"/>
  <c r="AR94" i="80"/>
  <c r="J94" i="80"/>
  <c r="K94" i="80"/>
  <c r="L94" i="80"/>
  <c r="M94" i="80"/>
  <c r="N94" i="80"/>
  <c r="O94" i="80"/>
  <c r="P94" i="80"/>
  <c r="Q94" i="80"/>
  <c r="R94" i="80"/>
  <c r="S94" i="80"/>
  <c r="T94" i="80"/>
  <c r="U94" i="80"/>
  <c r="V94" i="80"/>
  <c r="W94" i="80"/>
  <c r="X94" i="80"/>
  <c r="Y94" i="80"/>
  <c r="Z94" i="80"/>
  <c r="AA94" i="80"/>
  <c r="AB94" i="80"/>
  <c r="AC94" i="80"/>
  <c r="AD94" i="80"/>
  <c r="AE94" i="80"/>
  <c r="AF94" i="80"/>
  <c r="AG94" i="80"/>
  <c r="AH94" i="80"/>
  <c r="AI94" i="80"/>
  <c r="AJ94" i="80"/>
  <c r="AK94" i="80"/>
  <c r="AL94" i="80"/>
  <c r="AM94" i="80"/>
  <c r="BQ95" i="80"/>
  <c r="BI95" i="80"/>
  <c r="BA95" i="80"/>
  <c r="AS95" i="80"/>
  <c r="BP95" i="80"/>
  <c r="BH95" i="80"/>
  <c r="AZ95" i="80"/>
  <c r="AR95" i="80"/>
  <c r="BO95" i="80"/>
  <c r="BG95" i="80"/>
  <c r="AY95" i="80"/>
  <c r="AQ95" i="80"/>
  <c r="BN95" i="80"/>
  <c r="BF95" i="80"/>
  <c r="AX95" i="80"/>
  <c r="AP95" i="80"/>
  <c r="BM95" i="80"/>
  <c r="BE95" i="80"/>
  <c r="AW95" i="80"/>
  <c r="AO95" i="80"/>
  <c r="BL95" i="80"/>
  <c r="BD95" i="80"/>
  <c r="AV95" i="80"/>
  <c r="AN95" i="80"/>
  <c r="BK95" i="80"/>
  <c r="BC95" i="80"/>
  <c r="AU95" i="80"/>
  <c r="BJ95" i="80"/>
  <c r="BB95" i="80"/>
  <c r="AT95" i="80"/>
  <c r="J95" i="80"/>
  <c r="K95" i="80"/>
  <c r="L95" i="80"/>
  <c r="M95" i="80"/>
  <c r="N95" i="80"/>
  <c r="O95" i="80"/>
  <c r="P95" i="80"/>
  <c r="Q95" i="80"/>
  <c r="R95" i="80"/>
  <c r="S95" i="80"/>
  <c r="T95" i="80"/>
  <c r="U95" i="80"/>
  <c r="V95" i="80"/>
  <c r="W95" i="80"/>
  <c r="X95" i="80"/>
  <c r="Y95" i="80"/>
  <c r="Z95" i="80"/>
  <c r="AA95" i="80"/>
  <c r="AB95" i="80"/>
  <c r="AC95" i="80"/>
  <c r="AD95" i="80"/>
  <c r="AE95" i="80"/>
  <c r="AF95" i="80"/>
  <c r="AG95" i="80"/>
  <c r="AH95" i="80"/>
  <c r="AI95" i="80"/>
  <c r="AJ95" i="80"/>
  <c r="AK95" i="80"/>
  <c r="AL95" i="80"/>
  <c r="AM95" i="80"/>
  <c r="BM83" i="80"/>
  <c r="BE83" i="80"/>
  <c r="AW83" i="80"/>
  <c r="AO83" i="80"/>
  <c r="BL83" i="80"/>
  <c r="BD83" i="80"/>
  <c r="AV83" i="80"/>
  <c r="AN83" i="80"/>
  <c r="BK83" i="80"/>
  <c r="BC83" i="80"/>
  <c r="AU83" i="80"/>
  <c r="BJ83" i="80"/>
  <c r="BB83" i="80"/>
  <c r="AT83" i="80"/>
  <c r="BQ83" i="80"/>
  <c r="BI83" i="80"/>
  <c r="BA83" i="80"/>
  <c r="AS83" i="80"/>
  <c r="BP83" i="80"/>
  <c r="BH83" i="80"/>
  <c r="AZ83" i="80"/>
  <c r="AR83" i="80"/>
  <c r="BO83" i="80"/>
  <c r="BG83" i="80"/>
  <c r="AY83" i="80"/>
  <c r="AQ83" i="80"/>
  <c r="BN83" i="80"/>
  <c r="BF83" i="80"/>
  <c r="AX83" i="80"/>
  <c r="AP83" i="80"/>
  <c r="K83" i="80"/>
  <c r="J83" i="80"/>
  <c r="L83" i="80"/>
  <c r="M83" i="80"/>
  <c r="N83" i="80"/>
  <c r="O83" i="80"/>
  <c r="P83" i="80"/>
  <c r="Q83" i="80"/>
  <c r="R83" i="80"/>
  <c r="S83" i="80"/>
  <c r="T83" i="80"/>
  <c r="U83" i="80"/>
  <c r="V83" i="80"/>
  <c r="W83" i="80"/>
  <c r="X83" i="80"/>
  <c r="Y83" i="80"/>
  <c r="Z83" i="80"/>
  <c r="AA83" i="80"/>
  <c r="AB83" i="80"/>
  <c r="AC83" i="80"/>
  <c r="AD83" i="80"/>
  <c r="AE83" i="80"/>
  <c r="AF83" i="80"/>
  <c r="AG83" i="80"/>
  <c r="AH83" i="80"/>
  <c r="AI83" i="80"/>
  <c r="AJ83" i="80"/>
  <c r="AK83" i="80"/>
  <c r="AL83" i="80"/>
  <c r="AM83" i="80"/>
  <c r="AD58" i="90"/>
  <c r="AS58" i="90"/>
  <c r="BH58" i="90"/>
  <c r="BO58" i="90"/>
  <c r="R58" i="90"/>
  <c r="AO58" i="90"/>
  <c r="BK58" i="90"/>
  <c r="AX58" i="90"/>
  <c r="V58" i="90"/>
  <c r="AK58" i="90"/>
  <c r="AZ58" i="90"/>
  <c r="BG58" i="90"/>
  <c r="BL58" i="90"/>
  <c r="Y58" i="90"/>
  <c r="AE58" i="90"/>
  <c r="BP58" i="90"/>
  <c r="N58" i="90"/>
  <c r="AC58" i="90"/>
  <c r="AR58" i="90"/>
  <c r="AY58" i="90"/>
  <c r="BD58" i="90"/>
  <c r="BC58" i="90"/>
  <c r="AW58" i="90"/>
  <c r="BF58" i="90"/>
  <c r="U58" i="90"/>
  <c r="AJ58" i="90"/>
  <c r="AQ58" i="90"/>
  <c r="AV58" i="90"/>
  <c r="AM58" i="90"/>
  <c r="Q58" i="90"/>
  <c r="AP58" i="90"/>
  <c r="BJ58" i="90"/>
  <c r="Z58" i="90"/>
  <c r="M58" i="90"/>
  <c r="AB58" i="90"/>
  <c r="AI58" i="90"/>
  <c r="AN58" i="90"/>
  <c r="AG58" i="90"/>
  <c r="AU58" i="90"/>
  <c r="AL58" i="90"/>
  <c r="BE58" i="90"/>
  <c r="BB58" i="90"/>
  <c r="BQ58" i="90"/>
  <c r="BQ59" i="90" s="1"/>
  <c r="BK28" i="73" s="1"/>
  <c r="BN58" i="90"/>
  <c r="T58" i="90"/>
  <c r="AA58" i="90"/>
  <c r="AF58" i="90"/>
  <c r="W58" i="90"/>
  <c r="O58" i="90"/>
  <c r="P58" i="90"/>
  <c r="AT58" i="90"/>
  <c r="BI58" i="90"/>
  <c r="AH58" i="90"/>
  <c r="L58" i="90"/>
  <c r="S58" i="90"/>
  <c r="X58" i="90"/>
  <c r="BM58" i="90"/>
  <c r="BA58" i="90"/>
  <c r="AH79" i="90"/>
  <c r="AG79" i="90"/>
  <c r="AF79" i="90"/>
  <c r="AU79" i="90"/>
  <c r="BH79" i="90"/>
  <c r="BG79" i="90"/>
  <c r="BQ79" i="90"/>
  <c r="M79" i="90"/>
  <c r="Z79" i="90"/>
  <c r="Y79" i="90"/>
  <c r="X79" i="90"/>
  <c r="AM79" i="90"/>
  <c r="AZ79" i="90"/>
  <c r="AY79" i="90"/>
  <c r="AS79" i="90"/>
  <c r="BC79" i="90"/>
  <c r="R79" i="90"/>
  <c r="Q79" i="90"/>
  <c r="P79" i="90"/>
  <c r="AE79" i="90"/>
  <c r="AR79" i="90"/>
  <c r="AQ79" i="90"/>
  <c r="BI79" i="90"/>
  <c r="BP79" i="90"/>
  <c r="AD79" i="90"/>
  <c r="AL79" i="90"/>
  <c r="BJ79" i="90"/>
  <c r="W79" i="90"/>
  <c r="AJ79" i="90"/>
  <c r="AI79" i="90"/>
  <c r="BA79" i="90"/>
  <c r="AP79" i="90"/>
  <c r="BN79" i="90"/>
  <c r="BM79" i="90"/>
  <c r="BL79" i="90"/>
  <c r="AT79" i="90"/>
  <c r="O79" i="90"/>
  <c r="AB79" i="90"/>
  <c r="AA79" i="90"/>
  <c r="AK79" i="90"/>
  <c r="AO79" i="90"/>
  <c r="BF79" i="90"/>
  <c r="BE79" i="90"/>
  <c r="BD79" i="90"/>
  <c r="N79" i="90"/>
  <c r="BB79" i="90"/>
  <c r="T79" i="90"/>
  <c r="S79" i="90"/>
  <c r="AC79" i="90"/>
  <c r="BO79" i="90"/>
  <c r="AX79" i="90"/>
  <c r="AW79" i="90"/>
  <c r="AV79" i="90"/>
  <c r="BK79" i="90"/>
  <c r="V79" i="90"/>
  <c r="L79" i="90"/>
  <c r="U79" i="90"/>
  <c r="AN79" i="90"/>
  <c r="G97" i="80"/>
  <c r="G98" i="80" s="1"/>
  <c r="AX57" i="90"/>
  <c r="AW57" i="90"/>
  <c r="AV57" i="90"/>
  <c r="AM57" i="90"/>
  <c r="AR57" i="90"/>
  <c r="AQ57" i="90"/>
  <c r="AK57" i="90"/>
  <c r="BO57" i="90"/>
  <c r="AP57" i="90"/>
  <c r="AO57" i="90"/>
  <c r="AN57" i="90"/>
  <c r="AE57" i="90"/>
  <c r="AJ57" i="90"/>
  <c r="U57" i="90"/>
  <c r="N57" i="90"/>
  <c r="BD57" i="90"/>
  <c r="AH57" i="90"/>
  <c r="AG57" i="90"/>
  <c r="AF57" i="90"/>
  <c r="W57" i="90"/>
  <c r="AB57" i="90"/>
  <c r="S57" i="90"/>
  <c r="AI57" i="90"/>
  <c r="BE57" i="90"/>
  <c r="Z57" i="90"/>
  <c r="Y57" i="90"/>
  <c r="X57" i="90"/>
  <c r="O57" i="90"/>
  <c r="T57" i="90"/>
  <c r="BI57" i="90"/>
  <c r="BG57" i="90"/>
  <c r="AU57" i="90"/>
  <c r="R57" i="90"/>
  <c r="Q57" i="90"/>
  <c r="P57" i="90"/>
  <c r="BB57" i="90"/>
  <c r="L57" i="90"/>
  <c r="BQ57" i="90"/>
  <c r="BA57" i="90"/>
  <c r="AL57" i="90"/>
  <c r="AT57" i="90"/>
  <c r="BJ57" i="90"/>
  <c r="BK57" i="90"/>
  <c r="BP57" i="90"/>
  <c r="AS57" i="90"/>
  <c r="M57" i="90"/>
  <c r="AC57" i="90"/>
  <c r="AA57" i="90"/>
  <c r="BN57" i="90"/>
  <c r="BM57" i="90"/>
  <c r="BL57" i="90"/>
  <c r="BC57" i="90"/>
  <c r="BH57" i="90"/>
  <c r="V57" i="90"/>
  <c r="AD57" i="90"/>
  <c r="AY57" i="90"/>
  <c r="BF57" i="90"/>
  <c r="AZ57" i="90"/>
  <c r="N56" i="90"/>
  <c r="M56" i="90"/>
  <c r="L56" i="90"/>
  <c r="BL56" i="90"/>
  <c r="AP56" i="90"/>
  <c r="R56" i="90"/>
  <c r="Z56" i="90"/>
  <c r="BQ56" i="90"/>
  <c r="BP56" i="90"/>
  <c r="BO56" i="90"/>
  <c r="BD56" i="90"/>
  <c r="W56" i="90"/>
  <c r="AM56" i="90"/>
  <c r="BN56" i="90"/>
  <c r="BJ56" i="90"/>
  <c r="BI56" i="90"/>
  <c r="BH56" i="90"/>
  <c r="BG56" i="90"/>
  <c r="AV56" i="90"/>
  <c r="Q56" i="90"/>
  <c r="AH56" i="90"/>
  <c r="AU56" i="90"/>
  <c r="S56" i="90"/>
  <c r="AW56" i="90"/>
  <c r="BB56" i="90"/>
  <c r="BA56" i="90"/>
  <c r="AZ56" i="90"/>
  <c r="AY56" i="90"/>
  <c r="AN56" i="90"/>
  <c r="O56" i="90"/>
  <c r="BC56" i="90"/>
  <c r="Y56" i="90"/>
  <c r="T56" i="90"/>
  <c r="AT56" i="90"/>
  <c r="AS56" i="90"/>
  <c r="AR56" i="90"/>
  <c r="AQ56" i="90"/>
  <c r="AF56" i="90"/>
  <c r="AG56" i="90"/>
  <c r="AX56" i="90"/>
  <c r="V56" i="90"/>
  <c r="U56" i="90"/>
  <c r="AO56" i="90"/>
  <c r="AL56" i="90"/>
  <c r="AK56" i="90"/>
  <c r="AJ56" i="90"/>
  <c r="AI56" i="90"/>
  <c r="X56" i="90"/>
  <c r="AE56" i="90"/>
  <c r="BF56" i="90"/>
  <c r="AD56" i="90"/>
  <c r="AC56" i="90"/>
  <c r="AB56" i="90"/>
  <c r="AA56" i="90"/>
  <c r="P56" i="90"/>
  <c r="BK56" i="90"/>
  <c r="BE56" i="90"/>
  <c r="BM56" i="90"/>
  <c r="AT78" i="90"/>
  <c r="BI78" i="90"/>
  <c r="Z78" i="90"/>
  <c r="L78" i="90"/>
  <c r="S78" i="90"/>
  <c r="X78" i="90"/>
  <c r="O78" i="90"/>
  <c r="AL78" i="90"/>
  <c r="BA78" i="90"/>
  <c r="BP78" i="90"/>
  <c r="AH78" i="90"/>
  <c r="AX78" i="90"/>
  <c r="P78" i="90"/>
  <c r="AE78" i="90"/>
  <c r="AA78" i="90"/>
  <c r="AD78" i="90"/>
  <c r="AS78" i="90"/>
  <c r="BH78" i="90"/>
  <c r="BO78" i="90"/>
  <c r="R78" i="90"/>
  <c r="BK78" i="90"/>
  <c r="BE78" i="90"/>
  <c r="T78" i="90"/>
  <c r="V78" i="90"/>
  <c r="AK78" i="90"/>
  <c r="AZ78" i="90"/>
  <c r="BG78" i="90"/>
  <c r="BL78" i="90"/>
  <c r="BC78" i="90"/>
  <c r="Y78" i="90"/>
  <c r="BF78" i="90"/>
  <c r="N78" i="90"/>
  <c r="AC78" i="90"/>
  <c r="AR78" i="90"/>
  <c r="AY78" i="90"/>
  <c r="BD78" i="90"/>
  <c r="AU78" i="90"/>
  <c r="BM78" i="90"/>
  <c r="BB78" i="90"/>
  <c r="Q78" i="90"/>
  <c r="BN78" i="90"/>
  <c r="U78" i="90"/>
  <c r="AJ78" i="90"/>
  <c r="AQ78" i="90"/>
  <c r="AV78" i="90"/>
  <c r="AM78" i="90"/>
  <c r="W78" i="90"/>
  <c r="AF78" i="90"/>
  <c r="BJ78" i="90"/>
  <c r="AP78" i="90"/>
  <c r="M78" i="90"/>
  <c r="AB78" i="90"/>
  <c r="AI78" i="90"/>
  <c r="AN78" i="90"/>
  <c r="AG78" i="90"/>
  <c r="AW78" i="90"/>
  <c r="BQ78" i="90"/>
  <c r="AO78" i="90"/>
  <c r="N68" i="90"/>
  <c r="AC68" i="90"/>
  <c r="AR68" i="90"/>
  <c r="AY68" i="90"/>
  <c r="BD68" i="90"/>
  <c r="W68" i="90"/>
  <c r="AU68" i="90"/>
  <c r="BK68" i="90"/>
  <c r="BF68" i="90"/>
  <c r="U68" i="90"/>
  <c r="AJ68" i="90"/>
  <c r="AQ68" i="90"/>
  <c r="AV68" i="90"/>
  <c r="BM68" i="90"/>
  <c r="O68" i="90"/>
  <c r="BG68" i="90"/>
  <c r="BJ68" i="90"/>
  <c r="Z68" i="90"/>
  <c r="M68" i="90"/>
  <c r="AB68" i="90"/>
  <c r="AI68" i="90"/>
  <c r="AN68" i="90"/>
  <c r="AG68" i="90"/>
  <c r="AO68" i="90"/>
  <c r="V68" i="90"/>
  <c r="BC68" i="90"/>
  <c r="BB68" i="90"/>
  <c r="BQ68" i="90"/>
  <c r="BN68" i="90"/>
  <c r="T68" i="90"/>
  <c r="AA68" i="90"/>
  <c r="AF68" i="90"/>
  <c r="Q68" i="90"/>
  <c r="AW68" i="90"/>
  <c r="AT68" i="90"/>
  <c r="BI68" i="90"/>
  <c r="AH68" i="90"/>
  <c r="L68" i="90"/>
  <c r="S68" i="90"/>
  <c r="X68" i="90"/>
  <c r="AE68" i="90"/>
  <c r="AK68" i="90"/>
  <c r="AL68" i="90"/>
  <c r="BA68" i="90"/>
  <c r="BP68" i="90"/>
  <c r="AP68" i="90"/>
  <c r="AX68" i="90"/>
  <c r="P68" i="90"/>
  <c r="BE68" i="90"/>
  <c r="BL68" i="90"/>
  <c r="AD68" i="90"/>
  <c r="AS68" i="90"/>
  <c r="BH68" i="90"/>
  <c r="BO68" i="90"/>
  <c r="R68" i="90"/>
  <c r="AM68" i="90"/>
  <c r="Y68" i="90"/>
  <c r="AZ68" i="90"/>
  <c r="BJ80" i="90"/>
  <c r="BQ80" i="90"/>
  <c r="AP80" i="90"/>
  <c r="L80" i="90"/>
  <c r="AI80" i="90"/>
  <c r="AN80" i="90"/>
  <c r="AE80" i="90"/>
  <c r="Y80" i="90"/>
  <c r="AG80" i="90"/>
  <c r="BB80" i="90"/>
  <c r="BI80" i="90"/>
  <c r="BP80" i="90"/>
  <c r="BF80" i="90"/>
  <c r="AA80" i="90"/>
  <c r="AF80" i="90"/>
  <c r="W80" i="90"/>
  <c r="Q80" i="90"/>
  <c r="AQ80" i="90"/>
  <c r="AT80" i="90"/>
  <c r="BA80" i="90"/>
  <c r="BH80" i="90"/>
  <c r="AH80" i="90"/>
  <c r="S80" i="90"/>
  <c r="X80" i="90"/>
  <c r="O80" i="90"/>
  <c r="AX80" i="90"/>
  <c r="AL80" i="90"/>
  <c r="AS80" i="90"/>
  <c r="AZ80" i="90"/>
  <c r="R80" i="90"/>
  <c r="BN80" i="90"/>
  <c r="P80" i="90"/>
  <c r="BM80" i="90"/>
  <c r="AV80" i="90"/>
  <c r="AD80" i="90"/>
  <c r="AK80" i="90"/>
  <c r="AR80" i="90"/>
  <c r="BO80" i="90"/>
  <c r="Z80" i="90"/>
  <c r="BK80" i="90"/>
  <c r="AO80" i="90"/>
  <c r="T80" i="90"/>
  <c r="V80" i="90"/>
  <c r="AC80" i="90"/>
  <c r="AJ80" i="90"/>
  <c r="BG80" i="90"/>
  <c r="BL80" i="90"/>
  <c r="BC80" i="90"/>
  <c r="BE80" i="90"/>
  <c r="AM80" i="90"/>
  <c r="N80" i="90"/>
  <c r="U80" i="90"/>
  <c r="AB80" i="90"/>
  <c r="AY80" i="90"/>
  <c r="BD80" i="90"/>
  <c r="AU80" i="90"/>
  <c r="AW80" i="90"/>
  <c r="M80" i="90"/>
  <c r="BN67" i="90"/>
  <c r="AD67" i="90"/>
  <c r="BJ67" i="90"/>
  <c r="P67" i="90"/>
  <c r="O67" i="90"/>
  <c r="AB67" i="90"/>
  <c r="AI67" i="90"/>
  <c r="AS67" i="90"/>
  <c r="BB67" i="90"/>
  <c r="BF67" i="90"/>
  <c r="BM67" i="90"/>
  <c r="AL67" i="90"/>
  <c r="N67" i="90"/>
  <c r="AT67" i="90"/>
  <c r="T67" i="90"/>
  <c r="BA67" i="90"/>
  <c r="M67" i="90"/>
  <c r="W67" i="90"/>
  <c r="AX67" i="90"/>
  <c r="BE67" i="90"/>
  <c r="BL67" i="90"/>
  <c r="BK67" i="90"/>
  <c r="V67" i="90"/>
  <c r="L67" i="90"/>
  <c r="BI67" i="90"/>
  <c r="X67" i="90"/>
  <c r="AP67" i="90"/>
  <c r="AW67" i="90"/>
  <c r="BD67" i="90"/>
  <c r="BC67" i="90"/>
  <c r="BP67" i="90"/>
  <c r="AQ67" i="90"/>
  <c r="AC67" i="90"/>
  <c r="Q67" i="90"/>
  <c r="AH67" i="90"/>
  <c r="AO67" i="90"/>
  <c r="AV67" i="90"/>
  <c r="AU67" i="90"/>
  <c r="BH67" i="90"/>
  <c r="BQ67" i="90"/>
  <c r="AA67" i="90"/>
  <c r="BG67" i="90"/>
  <c r="Z67" i="90"/>
  <c r="AG67" i="90"/>
  <c r="AN67" i="90"/>
  <c r="AM67" i="90"/>
  <c r="AZ67" i="90"/>
  <c r="AK67" i="90"/>
  <c r="U67" i="90"/>
  <c r="S67" i="90"/>
  <c r="R67" i="90"/>
  <c r="Y67" i="90"/>
  <c r="AF67" i="90"/>
  <c r="AE67" i="90"/>
  <c r="AR67" i="90"/>
  <c r="BO67" i="90"/>
  <c r="AY67" i="90"/>
  <c r="AJ67" i="90"/>
  <c r="BN69" i="90"/>
  <c r="BM69" i="90"/>
  <c r="AL69" i="90"/>
  <c r="BB69" i="90"/>
  <c r="O69" i="90"/>
  <c r="AB69" i="90"/>
  <c r="BI69" i="90"/>
  <c r="M69" i="90"/>
  <c r="BA69" i="90"/>
  <c r="BF69" i="90"/>
  <c r="BE69" i="90"/>
  <c r="BL69" i="90"/>
  <c r="V69" i="90"/>
  <c r="AT69" i="90"/>
  <c r="T69" i="90"/>
  <c r="AC69" i="90"/>
  <c r="AQ69" i="90"/>
  <c r="AJ69" i="90"/>
  <c r="AX69" i="90"/>
  <c r="AW69" i="90"/>
  <c r="BD69" i="90"/>
  <c r="BK69" i="90"/>
  <c r="N69" i="90"/>
  <c r="L69" i="90"/>
  <c r="U69" i="90"/>
  <c r="AS69" i="90"/>
  <c r="AP69" i="90"/>
  <c r="AO69" i="90"/>
  <c r="AV69" i="90"/>
  <c r="BC69" i="90"/>
  <c r="BP69" i="90"/>
  <c r="BQ69" i="90"/>
  <c r="BQ70" i="90" s="1"/>
  <c r="BK43" i="73" s="1"/>
  <c r="AY69" i="90"/>
  <c r="W69" i="90"/>
  <c r="AH69" i="90"/>
  <c r="AG69" i="90"/>
  <c r="AN69" i="90"/>
  <c r="AU69" i="90"/>
  <c r="BH69" i="90"/>
  <c r="AK69" i="90"/>
  <c r="BG69" i="90"/>
  <c r="P69" i="90"/>
  <c r="Z69" i="90"/>
  <c r="Y69" i="90"/>
  <c r="AF69" i="90"/>
  <c r="AM69" i="90"/>
  <c r="AZ69" i="90"/>
  <c r="BO69" i="90"/>
  <c r="AA69" i="90"/>
  <c r="AD69" i="90"/>
  <c r="R69" i="90"/>
  <c r="Q69" i="90"/>
  <c r="X69" i="90"/>
  <c r="AE69" i="90"/>
  <c r="AR69" i="90"/>
  <c r="AI69" i="90"/>
  <c r="S69" i="90"/>
  <c r="BJ69" i="90"/>
  <c r="AJ97" i="80" l="1"/>
  <c r="AR97" i="80"/>
  <c r="AG97" i="80"/>
  <c r="T97" i="80"/>
  <c r="AB98" i="80"/>
  <c r="BG97" i="80"/>
  <c r="BK97" i="80"/>
  <c r="AC85" i="80"/>
  <c r="W27" i="73" s="1"/>
  <c r="AF98" i="80"/>
  <c r="X97" i="80"/>
  <c r="AR84" i="80"/>
  <c r="X84" i="80"/>
  <c r="AC97" i="80"/>
  <c r="U97" i="80"/>
  <c r="BG98" i="80"/>
  <c r="AM98" i="80"/>
  <c r="AK84" i="80"/>
  <c r="M84" i="80"/>
  <c r="BC84" i="80"/>
  <c r="AG84" i="80"/>
  <c r="BD85" i="80"/>
  <c r="AX27" i="73" s="1"/>
  <c r="BF84" i="80"/>
  <c r="BN85" i="80"/>
  <c r="BH27" i="73" s="1"/>
  <c r="BL85" i="80"/>
  <c r="BF27" i="73" s="1"/>
  <c r="BM98" i="80"/>
  <c r="BO97" i="80"/>
  <c r="AZ98" i="80"/>
  <c r="BB98" i="80"/>
  <c r="BK85" i="80"/>
  <c r="BE27" i="73" s="1"/>
  <c r="BN84" i="80"/>
  <c r="AK97" i="80"/>
  <c r="AC98" i="80"/>
  <c r="BK98" i="80"/>
  <c r="BP85" i="80"/>
  <c r="BJ27" i="73" s="1"/>
  <c r="BP84" i="80"/>
  <c r="BO98" i="80"/>
  <c r="J81" i="90"/>
  <c r="D50" i="73" s="1"/>
  <c r="BB85" i="80"/>
  <c r="AV27" i="73" s="1"/>
  <c r="AE97" i="80"/>
  <c r="W98" i="80"/>
  <c r="BJ98" i="80"/>
  <c r="K81" i="90"/>
  <c r="E50" i="73" s="1"/>
  <c r="AV84" i="80"/>
  <c r="AL97" i="80"/>
  <c r="AD98" i="80"/>
  <c r="V97" i="80"/>
  <c r="N98" i="80"/>
  <c r="AU98" i="80"/>
  <c r="AW98" i="80"/>
  <c r="AY97" i="80"/>
  <c r="BA98" i="80"/>
  <c r="AH98" i="80"/>
  <c r="Z98" i="80"/>
  <c r="R98" i="80"/>
  <c r="J98" i="80"/>
  <c r="BQ98" i="80"/>
  <c r="AV98" i="80"/>
  <c r="AX97" i="80"/>
  <c r="BL98" i="80"/>
  <c r="BN98" i="80"/>
  <c r="BP98" i="80"/>
  <c r="BM84" i="80"/>
  <c r="AL84" i="80"/>
  <c r="AD84" i="80"/>
  <c r="V85" i="80"/>
  <c r="P27" i="73" s="1"/>
  <c r="N84" i="80"/>
  <c r="AU85" i="80"/>
  <c r="AO27" i="73" s="1"/>
  <c r="AW85" i="80"/>
  <c r="AQ27" i="73" s="1"/>
  <c r="AY84" i="80"/>
  <c r="BA84" i="80"/>
  <c r="AX84" i="80"/>
  <c r="P98" i="80"/>
  <c r="AJ85" i="80"/>
  <c r="AD27" i="73" s="1"/>
  <c r="AB84" i="80"/>
  <c r="T85" i="80"/>
  <c r="N27" i="73" s="1"/>
  <c r="L85" i="80"/>
  <c r="F27" i="73" s="1"/>
  <c r="AF97" i="80"/>
  <c r="AL85" i="80"/>
  <c r="AF27" i="73" s="1"/>
  <c r="AJ84" i="80"/>
  <c r="BL97" i="80"/>
  <c r="P85" i="80"/>
  <c r="J27" i="73" s="1"/>
  <c r="P97" i="80"/>
  <c r="BL84" i="80"/>
  <c r="AD85" i="80"/>
  <c r="X27" i="73" s="1"/>
  <c r="BA85" i="80"/>
  <c r="AU27" i="73" s="1"/>
  <c r="AX85" i="80"/>
  <c r="AR27" i="73" s="1"/>
  <c r="AZ85" i="80"/>
  <c r="AT27" i="73" s="1"/>
  <c r="X98" i="80"/>
  <c r="AF84" i="80"/>
  <c r="BB84" i="80"/>
  <c r="X85" i="80"/>
  <c r="R27" i="73" s="1"/>
  <c r="AJ98" i="80"/>
  <c r="L84" i="80"/>
  <c r="AI98" i="80"/>
  <c r="AA97" i="80"/>
  <c r="S98" i="80"/>
  <c r="AH84" i="80"/>
  <c r="Z85" i="80"/>
  <c r="T27" i="73" s="1"/>
  <c r="R85" i="80"/>
  <c r="L27" i="73" s="1"/>
  <c r="BO85" i="80"/>
  <c r="BI27" i="73" s="1"/>
  <c r="BQ85" i="80"/>
  <c r="BK27" i="73" s="1"/>
  <c r="BK29" i="73" s="1"/>
  <c r="T84" i="80"/>
  <c r="T98" i="80"/>
  <c r="Y84" i="80"/>
  <c r="Q84" i="80"/>
  <c r="AP84" i="80"/>
  <c r="AR85" i="80"/>
  <c r="AL27" i="73" s="1"/>
  <c r="AC84" i="80"/>
  <c r="BC85" i="80"/>
  <c r="AW27" i="73" s="1"/>
  <c r="AW97" i="80"/>
  <c r="BB97" i="80"/>
  <c r="AY85" i="80"/>
  <c r="AS27" i="73" s="1"/>
  <c r="AL98" i="80"/>
  <c r="P84" i="80"/>
  <c r="AZ97" i="80"/>
  <c r="N97" i="80"/>
  <c r="AZ84" i="80"/>
  <c r="AF85" i="80"/>
  <c r="Z27" i="73" s="1"/>
  <c r="AB85" i="80"/>
  <c r="V27" i="73" s="1"/>
  <c r="AB97" i="80"/>
  <c r="BM97" i="80"/>
  <c r="BK84" i="80"/>
  <c r="R97" i="80"/>
  <c r="AN98" i="80"/>
  <c r="AP98" i="80"/>
  <c r="AU97" i="80"/>
  <c r="Z97" i="80"/>
  <c r="BQ84" i="80"/>
  <c r="BQ97" i="80"/>
  <c r="AH97" i="80"/>
  <c r="BN97" i="80"/>
  <c r="J97" i="80"/>
  <c r="BP97" i="80"/>
  <c r="BM85" i="80"/>
  <c r="BG27" i="73" s="1"/>
  <c r="AH85" i="80"/>
  <c r="AB27" i="73" s="1"/>
  <c r="AP85" i="80"/>
  <c r="AJ27" i="73" s="1"/>
  <c r="R84" i="80"/>
  <c r="AY98" i="80"/>
  <c r="BA97" i="80"/>
  <c r="AD97" i="80"/>
  <c r="V98" i="80"/>
  <c r="AX98" i="80"/>
  <c r="V84" i="80"/>
  <c r="N85" i="80"/>
  <c r="H27" i="73" s="1"/>
  <c r="Z84" i="80"/>
  <c r="AU84" i="80"/>
  <c r="AV85" i="80"/>
  <c r="AP27" i="73" s="1"/>
  <c r="U85" i="80"/>
  <c r="O27" i="73" s="1"/>
  <c r="AG98" i="80"/>
  <c r="Y98" i="80"/>
  <c r="Q98" i="80"/>
  <c r="AT97" i="80"/>
  <c r="U98" i="80"/>
  <c r="M98" i="80"/>
  <c r="BC98" i="80"/>
  <c r="BE97" i="80"/>
  <c r="AR98" i="80"/>
  <c r="AK85" i="80"/>
  <c r="AE27" i="73" s="1"/>
  <c r="U84" i="80"/>
  <c r="M85" i="80"/>
  <c r="G27" i="73" s="1"/>
  <c r="AG85" i="80"/>
  <c r="AA27" i="73" s="1"/>
  <c r="Y85" i="80"/>
  <c r="S27" i="73" s="1"/>
  <c r="Q85" i="80"/>
  <c r="K27" i="73" s="1"/>
  <c r="AT85" i="80"/>
  <c r="AN27" i="73" s="1"/>
  <c r="BD84" i="80"/>
  <c r="BF85" i="80"/>
  <c r="AZ27" i="73" s="1"/>
  <c r="BH84" i="80"/>
  <c r="AW84" i="80"/>
  <c r="BO84" i="80"/>
  <c r="J85" i="80"/>
  <c r="D27" i="73" s="1"/>
  <c r="AN85" i="80"/>
  <c r="AH27" i="73" s="1"/>
  <c r="AO97" i="80"/>
  <c r="AQ97" i="80"/>
  <c r="AS98" i="80"/>
  <c r="BI97" i="80"/>
  <c r="BD97" i="80"/>
  <c r="BF98" i="80"/>
  <c r="BH98" i="80"/>
  <c r="K84" i="80"/>
  <c r="BE85" i="80"/>
  <c r="AY27" i="73" s="1"/>
  <c r="AM85" i="80"/>
  <c r="AG27" i="73" s="1"/>
  <c r="AE85" i="80"/>
  <c r="Y27" i="73" s="1"/>
  <c r="W85" i="80"/>
  <c r="Q27" i="73" s="1"/>
  <c r="O84" i="80"/>
  <c r="BJ84" i="80"/>
  <c r="AO85" i="80"/>
  <c r="AI27" i="73" s="1"/>
  <c r="AQ85" i="80"/>
  <c r="AK27" i="73" s="1"/>
  <c r="AS84" i="80"/>
  <c r="BC97" i="80"/>
  <c r="Q97" i="80"/>
  <c r="AT84" i="80"/>
  <c r="M97" i="80"/>
  <c r="BH85" i="80"/>
  <c r="BB27" i="73" s="1"/>
  <c r="Y97" i="80"/>
  <c r="AO84" i="80"/>
  <c r="BH97" i="80"/>
  <c r="H95" i="80"/>
  <c r="H96" i="80"/>
  <c r="AI84" i="80"/>
  <c r="S85" i="80"/>
  <c r="M27" i="73" s="1"/>
  <c r="BI85" i="80"/>
  <c r="BC27" i="73" s="1"/>
  <c r="BI84" i="80"/>
  <c r="AN84" i="80"/>
  <c r="O97" i="80"/>
  <c r="H94" i="80"/>
  <c r="AA84" i="80"/>
  <c r="BG85" i="80"/>
  <c r="BA27" i="73" s="1"/>
  <c r="BF97" i="80"/>
  <c r="AM84" i="80"/>
  <c r="J84" i="80"/>
  <c r="AM97" i="80"/>
  <c r="AE84" i="80"/>
  <c r="K98" i="80"/>
  <c r="H81" i="80"/>
  <c r="K97" i="80"/>
  <c r="BE84" i="80"/>
  <c r="AA98" i="80"/>
  <c r="BJ97" i="80"/>
  <c r="AE98" i="80"/>
  <c r="H83" i="80"/>
  <c r="AN97" i="80"/>
  <c r="W97" i="80"/>
  <c r="S84" i="80"/>
  <c r="AI97" i="80"/>
  <c r="AQ84" i="80"/>
  <c r="O85" i="80"/>
  <c r="I27" i="73" s="1"/>
  <c r="H82" i="80"/>
  <c r="BD98" i="80"/>
  <c r="BG84" i="80"/>
  <c r="AS97" i="80"/>
  <c r="W84" i="80"/>
  <c r="AP97" i="80"/>
  <c r="BJ85" i="80"/>
  <c r="BD27" i="73" s="1"/>
  <c r="AI85" i="80"/>
  <c r="AC27" i="73" s="1"/>
  <c r="AQ98" i="80"/>
  <c r="AA85" i="80"/>
  <c r="U27" i="73" s="1"/>
  <c r="AS85" i="80"/>
  <c r="AM27" i="73" s="1"/>
  <c r="O98" i="80"/>
  <c r="K85" i="80"/>
  <c r="E27" i="73" s="1"/>
  <c r="BI98" i="80"/>
  <c r="H68" i="90"/>
  <c r="H57" i="90"/>
  <c r="AO98" i="80"/>
  <c r="H67" i="90"/>
  <c r="H56" i="90"/>
  <c r="M81" i="90"/>
  <c r="G50" i="73" s="1"/>
  <c r="AM81" i="90"/>
  <c r="AG50" i="73" s="1"/>
  <c r="T81" i="90"/>
  <c r="N50" i="73" s="1"/>
  <c r="AV81" i="90"/>
  <c r="AP50" i="73" s="1"/>
  <c r="AX81" i="90"/>
  <c r="AR50" i="73" s="1"/>
  <c r="AQ81" i="90"/>
  <c r="AK50" i="73" s="1"/>
  <c r="BB81" i="90"/>
  <c r="AV50" i="73" s="1"/>
  <c r="BQ81" i="90"/>
  <c r="BK50" i="73" s="1"/>
  <c r="H78" i="90"/>
  <c r="AW81" i="90"/>
  <c r="AQ50" i="73" s="1"/>
  <c r="BM81" i="90"/>
  <c r="BG50" i="73" s="1"/>
  <c r="AG81" i="90"/>
  <c r="AA50" i="73" s="1"/>
  <c r="BE98" i="80"/>
  <c r="S97" i="80"/>
  <c r="AV97" i="80"/>
  <c r="L98" i="80"/>
  <c r="AT98" i="80"/>
  <c r="AU81" i="90"/>
  <c r="AO50" i="73" s="1"/>
  <c r="BC81" i="90"/>
  <c r="AW50" i="73" s="1"/>
  <c r="BK81" i="90"/>
  <c r="BE50" i="73" s="1"/>
  <c r="P81" i="90"/>
  <c r="J50" i="73" s="1"/>
  <c r="X81" i="90"/>
  <c r="R50" i="73" s="1"/>
  <c r="W81" i="90"/>
  <c r="Q50" i="73" s="1"/>
  <c r="Y81" i="90"/>
  <c r="S50" i="73" s="1"/>
  <c r="H79" i="90"/>
  <c r="H107" i="80"/>
  <c r="BE81" i="90"/>
  <c r="AY50" i="73" s="1"/>
  <c r="AO81" i="90"/>
  <c r="AI50" i="73" s="1"/>
  <c r="O81" i="90"/>
  <c r="I50" i="73" s="1"/>
  <c r="Q81" i="90"/>
  <c r="K50" i="73" s="1"/>
  <c r="BJ81" i="90"/>
  <c r="BD50" i="73" s="1"/>
  <c r="L97" i="80"/>
  <c r="BD81" i="90"/>
  <c r="AX50" i="73" s="1"/>
  <c r="BL81" i="90"/>
  <c r="BF50" i="73" s="1"/>
  <c r="Z81" i="90"/>
  <c r="T50" i="73" s="1"/>
  <c r="BN81" i="90"/>
  <c r="BH50" i="73" s="1"/>
  <c r="S81" i="90"/>
  <c r="M50" i="73" s="1"/>
  <c r="AF81" i="90"/>
  <c r="Z50" i="73" s="1"/>
  <c r="AE81" i="90"/>
  <c r="Y50" i="73" s="1"/>
  <c r="AK98" i="80"/>
  <c r="AY81" i="90"/>
  <c r="AS50" i="73" s="1"/>
  <c r="BG81" i="90"/>
  <c r="BA50" i="73" s="1"/>
  <c r="BO81" i="90"/>
  <c r="BI50" i="73" s="1"/>
  <c r="R81" i="90"/>
  <c r="L50" i="73" s="1"/>
  <c r="AH81" i="90"/>
  <c r="AB50" i="73" s="1"/>
  <c r="AA81" i="90"/>
  <c r="U50" i="73" s="1"/>
  <c r="AN81" i="90"/>
  <c r="AH50" i="73" s="1"/>
  <c r="AB81" i="90"/>
  <c r="V50" i="73" s="1"/>
  <c r="AJ81" i="90"/>
  <c r="AD50" i="73" s="1"/>
  <c r="AR81" i="90"/>
  <c r="AL50" i="73" s="1"/>
  <c r="AZ81" i="90"/>
  <c r="AT50" i="73" s="1"/>
  <c r="BH81" i="90"/>
  <c r="BB50" i="73" s="1"/>
  <c r="BF81" i="90"/>
  <c r="AZ50" i="73" s="1"/>
  <c r="AI81" i="90"/>
  <c r="AC50" i="73" s="1"/>
  <c r="U81" i="90"/>
  <c r="O50" i="73" s="1"/>
  <c r="AC81" i="90"/>
  <c r="W50" i="73" s="1"/>
  <c r="AK81" i="90"/>
  <c r="AE50" i="73" s="1"/>
  <c r="AS81" i="90"/>
  <c r="AM50" i="73" s="1"/>
  <c r="BA81" i="90"/>
  <c r="AU50" i="73" s="1"/>
  <c r="BP81" i="90"/>
  <c r="BJ50" i="73" s="1"/>
  <c r="H80" i="90"/>
  <c r="L81" i="90"/>
  <c r="F50" i="73" s="1"/>
  <c r="N81" i="90"/>
  <c r="H50" i="73" s="1"/>
  <c r="V81" i="90"/>
  <c r="P50" i="73" s="1"/>
  <c r="AD81" i="90"/>
  <c r="X50" i="73" s="1"/>
  <c r="AL81" i="90"/>
  <c r="AF50" i="73" s="1"/>
  <c r="AT81" i="90"/>
  <c r="AN50" i="73" s="1"/>
  <c r="BI81" i="90"/>
  <c r="BC50" i="73" s="1"/>
  <c r="AP81" i="90"/>
  <c r="AJ50" i="73" s="1"/>
  <c r="Y70" i="90"/>
  <c r="S43" i="73" s="1"/>
  <c r="M70" i="90"/>
  <c r="G43" i="73" s="1"/>
  <c r="AW70" i="90"/>
  <c r="AQ43" i="73" s="1"/>
  <c r="AF70" i="90"/>
  <c r="Z43" i="73" s="1"/>
  <c r="BL70" i="90"/>
  <c r="BF43" i="73" s="1"/>
  <c r="W70" i="90"/>
  <c r="Q43" i="73" s="1"/>
  <c r="BD70" i="90"/>
  <c r="AX43" i="73" s="1"/>
  <c r="BB70" i="90"/>
  <c r="AV43" i="73" s="1"/>
  <c r="BE70" i="90"/>
  <c r="AY43" i="73" s="1"/>
  <c r="T70" i="90"/>
  <c r="N43" i="73" s="1"/>
  <c r="AJ70" i="90"/>
  <c r="AD43" i="73" s="1"/>
  <c r="AE70" i="90"/>
  <c r="Y43" i="73" s="1"/>
  <c r="AH70" i="90"/>
  <c r="AB43" i="73" s="1"/>
  <c r="N70" i="90"/>
  <c r="H43" i="73" s="1"/>
  <c r="Q70" i="90"/>
  <c r="K43" i="73" s="1"/>
  <c r="BA70" i="90"/>
  <c r="AU43" i="73" s="1"/>
  <c r="Z70" i="90"/>
  <c r="T43" i="73" s="1"/>
  <c r="AT70" i="90"/>
  <c r="AN43" i="73" s="1"/>
  <c r="BC70" i="90"/>
  <c r="AW43" i="73" s="1"/>
  <c r="AM70" i="90"/>
  <c r="AG43" i="73" s="1"/>
  <c r="X70" i="90"/>
  <c r="R43" i="73" s="1"/>
  <c r="AI70" i="90"/>
  <c r="AC43" i="73" s="1"/>
  <c r="BP70" i="90"/>
  <c r="BJ43" i="73" s="1"/>
  <c r="BN70" i="90"/>
  <c r="BH43" i="73" s="1"/>
  <c r="V70" i="90"/>
  <c r="P43" i="73" s="1"/>
  <c r="BK70" i="90"/>
  <c r="BE43" i="73" s="1"/>
  <c r="BJ70" i="90"/>
  <c r="BD43" i="73" s="1"/>
  <c r="AV70" i="90"/>
  <c r="AP43" i="73" s="1"/>
  <c r="AR70" i="90"/>
  <c r="AL43" i="73" s="1"/>
  <c r="AC70" i="90"/>
  <c r="W43" i="73" s="1"/>
  <c r="BG70" i="90"/>
  <c r="BA43" i="73" s="1"/>
  <c r="AO70" i="90"/>
  <c r="AI43" i="73" s="1"/>
  <c r="L70" i="90"/>
  <c r="F43" i="73" s="1"/>
  <c r="BI70" i="90"/>
  <c r="BC43" i="73" s="1"/>
  <c r="R70" i="90"/>
  <c r="L43" i="73" s="1"/>
  <c r="AG70" i="90"/>
  <c r="AA43" i="73" s="1"/>
  <c r="AD70" i="90"/>
  <c r="X43" i="73" s="1"/>
  <c r="AP70" i="90"/>
  <c r="AJ43" i="73" s="1"/>
  <c r="AU70" i="90"/>
  <c r="AO43" i="73" s="1"/>
  <c r="AX70" i="90"/>
  <c r="AR43" i="73" s="1"/>
  <c r="AL70" i="90"/>
  <c r="AF43" i="73" s="1"/>
  <c r="AA70" i="90"/>
  <c r="U43" i="73" s="1"/>
  <c r="AZ70" i="90"/>
  <c r="AT43" i="73" s="1"/>
  <c r="BO70" i="90"/>
  <c r="BI43" i="73" s="1"/>
  <c r="P70" i="90"/>
  <c r="J43" i="73" s="1"/>
  <c r="AB70" i="90"/>
  <c r="V43" i="73" s="1"/>
  <c r="AS70" i="90"/>
  <c r="AM43" i="73" s="1"/>
  <c r="S70" i="90"/>
  <c r="M43" i="73" s="1"/>
  <c r="BH70" i="90"/>
  <c r="BB43" i="73" s="1"/>
  <c r="U70" i="90"/>
  <c r="O43" i="73" s="1"/>
  <c r="AY70" i="90"/>
  <c r="AS43" i="73" s="1"/>
  <c r="AN70" i="90"/>
  <c r="AH43" i="73" s="1"/>
  <c r="AK70" i="90"/>
  <c r="AE43" i="73" s="1"/>
  <c r="K70" i="90"/>
  <c r="E43" i="73" s="1"/>
  <c r="AQ70" i="90"/>
  <c r="AK43" i="73" s="1"/>
  <c r="BF70" i="90"/>
  <c r="AZ43" i="73" s="1"/>
  <c r="BM70" i="90"/>
  <c r="BG43" i="73" s="1"/>
  <c r="O70" i="90"/>
  <c r="I43" i="73" s="1"/>
  <c r="F109" i="80"/>
  <c r="G109" i="80" s="1"/>
  <c r="BI59" i="90"/>
  <c r="BC28" i="73" s="1"/>
  <c r="BP59" i="90"/>
  <c r="BJ28" i="73" s="1"/>
  <c r="AP59" i="90"/>
  <c r="AJ28" i="73" s="1"/>
  <c r="AO59" i="90"/>
  <c r="AI28" i="73" s="1"/>
  <c r="AL59" i="90"/>
  <c r="AF28" i="73" s="1"/>
  <c r="AV59" i="90"/>
  <c r="AP28" i="73" s="1"/>
  <c r="BF59" i="90"/>
  <c r="AZ28" i="73" s="1"/>
  <c r="AC59" i="90"/>
  <c r="W28" i="73" s="1"/>
  <c r="Q59" i="90"/>
  <c r="K28" i="73" s="1"/>
  <c r="AI59" i="90"/>
  <c r="AC28" i="73" s="1"/>
  <c r="AB59" i="90"/>
  <c r="V28" i="73" s="1"/>
  <c r="AX59" i="90"/>
  <c r="AR28" i="73" s="1"/>
  <c r="O59" i="90"/>
  <c r="I28" i="73" s="1"/>
  <c r="S59" i="90"/>
  <c r="M28" i="73" s="1"/>
  <c r="BA59" i="90"/>
  <c r="AU28" i="73" s="1"/>
  <c r="W59" i="90"/>
  <c r="Q28" i="73" s="1"/>
  <c r="U59" i="90"/>
  <c r="O28" i="73" s="1"/>
  <c r="P59" i="90"/>
  <c r="J28" i="73" s="1"/>
  <c r="L59" i="90"/>
  <c r="F28" i="73" s="1"/>
  <c r="AG59" i="90"/>
  <c r="AA28" i="73" s="1"/>
  <c r="AH59" i="90"/>
  <c r="AB28" i="73" s="1"/>
  <c r="AE59" i="90"/>
  <c r="Y28" i="73" s="1"/>
  <c r="K59" i="90"/>
  <c r="E28" i="73" s="1"/>
  <c r="BJ59" i="90"/>
  <c r="BD28" i="73" s="1"/>
  <c r="AS59" i="90"/>
  <c r="AM28" i="73" s="1"/>
  <c r="AZ59" i="90"/>
  <c r="AT28" i="73" s="1"/>
  <c r="AD59" i="90"/>
  <c r="X28" i="73" s="1"/>
  <c r="AN59" i="90"/>
  <c r="AH28" i="73" s="1"/>
  <c r="AM59" i="90"/>
  <c r="AG28" i="73" s="1"/>
  <c r="BH59" i="90"/>
  <c r="BB28" i="73" s="1"/>
  <c r="N59" i="90"/>
  <c r="H28" i="73" s="1"/>
  <c r="BO59" i="90"/>
  <c r="BI28" i="73" s="1"/>
  <c r="BB59" i="90"/>
  <c r="AV28" i="73" s="1"/>
  <c r="M59" i="90"/>
  <c r="G28" i="73" s="1"/>
  <c r="Z59" i="90"/>
  <c r="T28" i="73" s="1"/>
  <c r="BM59" i="90"/>
  <c r="BG28" i="73" s="1"/>
  <c r="AR59" i="90"/>
  <c r="AL28" i="73" s="1"/>
  <c r="V59" i="90"/>
  <c r="P28" i="73" s="1"/>
  <c r="AF59" i="90"/>
  <c r="Z28" i="73" s="1"/>
  <c r="BK59" i="90"/>
  <c r="BE28" i="73" s="1"/>
  <c r="T59" i="90"/>
  <c r="N28" i="73" s="1"/>
  <c r="AT59" i="90"/>
  <c r="AN28" i="73" s="1"/>
  <c r="Y59" i="90"/>
  <c r="S28" i="73" s="1"/>
  <c r="AQ59" i="90"/>
  <c r="AK28" i="73" s="1"/>
  <c r="BE59" i="90"/>
  <c r="AY28" i="73" s="1"/>
  <c r="AJ59" i="90"/>
  <c r="AD28" i="73" s="1"/>
  <c r="BL59" i="90"/>
  <c r="BF28" i="73" s="1"/>
  <c r="BG59" i="90"/>
  <c r="BA28" i="73" s="1"/>
  <c r="BC59" i="90"/>
  <c r="AW28" i="73" s="1"/>
  <c r="BN59" i="90"/>
  <c r="BH28" i="73" s="1"/>
  <c r="AA59" i="90"/>
  <c r="U28" i="73" s="1"/>
  <c r="X59" i="90"/>
  <c r="R28" i="73" s="1"/>
  <c r="AW59" i="90"/>
  <c r="AQ28" i="73" s="1"/>
  <c r="AY59" i="90"/>
  <c r="AS28" i="73" s="1"/>
  <c r="BD59" i="90"/>
  <c r="AX28" i="73" s="1"/>
  <c r="R59" i="90"/>
  <c r="L28" i="73" s="1"/>
  <c r="AU59" i="90"/>
  <c r="AO28" i="73" s="1"/>
  <c r="AK59" i="90"/>
  <c r="AE28" i="73" s="1"/>
  <c r="H69" i="90"/>
  <c r="H58" i="90"/>
  <c r="D110" i="80"/>
  <c r="D111" i="80" s="1"/>
  <c r="J70" i="90"/>
  <c r="D43" i="73" s="1"/>
  <c r="J59" i="90"/>
  <c r="D28" i="73" s="1"/>
  <c r="H29" i="73" l="1"/>
  <c r="AN29" i="73"/>
  <c r="AR42" i="73"/>
  <c r="AR44" i="73" s="1"/>
  <c r="L42" i="73"/>
  <c r="L44" i="73" s="1"/>
  <c r="W42" i="73"/>
  <c r="W44" i="73" s="1"/>
  <c r="AG42" i="73"/>
  <c r="AG44" i="73" s="1"/>
  <c r="AY42" i="73"/>
  <c r="AY44" i="73" s="1"/>
  <c r="E42" i="73"/>
  <c r="E44" i="73" s="1"/>
  <c r="AL42" i="73"/>
  <c r="AL44" i="73" s="1"/>
  <c r="AA42" i="73"/>
  <c r="AA44" i="73" s="1"/>
  <c r="P42" i="73"/>
  <c r="P44" i="73" s="1"/>
  <c r="AJ42" i="73"/>
  <c r="AJ44" i="73" s="1"/>
  <c r="BJ42" i="73"/>
  <c r="BJ44" i="73" s="1"/>
  <c r="T42" i="73"/>
  <c r="T44" i="73" s="1"/>
  <c r="X42" i="73"/>
  <c r="X44" i="73" s="1"/>
  <c r="BA42" i="73"/>
  <c r="BA44" i="73" s="1"/>
  <c r="I42" i="73"/>
  <c r="I44" i="73" s="1"/>
  <c r="AX42" i="73"/>
  <c r="AX44" i="73" s="1"/>
  <c r="AH42" i="73"/>
  <c r="AH44" i="73" s="1"/>
  <c r="AD42" i="73"/>
  <c r="AD44" i="73" s="1"/>
  <c r="BH42" i="73"/>
  <c r="BH44" i="73" s="1"/>
  <c r="AB42" i="73"/>
  <c r="AB44" i="73" s="1"/>
  <c r="AM42" i="73"/>
  <c r="AM44" i="73" s="1"/>
  <c r="AE42" i="73"/>
  <c r="AE44" i="73" s="1"/>
  <c r="AI42" i="73"/>
  <c r="AI44" i="73" s="1"/>
  <c r="AK42" i="73"/>
  <c r="AK44" i="73" s="1"/>
  <c r="Y42" i="73"/>
  <c r="Y44" i="73" s="1"/>
  <c r="AW42" i="73"/>
  <c r="AW44" i="73" s="1"/>
  <c r="BF42" i="73"/>
  <c r="BF44" i="73" s="1"/>
  <c r="AU42" i="73"/>
  <c r="AU44" i="73" s="1"/>
  <c r="V42" i="73"/>
  <c r="V44" i="73" s="1"/>
  <c r="AC42" i="73"/>
  <c r="AC44" i="73" s="1"/>
  <c r="BB42" i="73"/>
  <c r="BB44" i="73" s="1"/>
  <c r="G42" i="73"/>
  <c r="G44" i="73" s="1"/>
  <c r="AS42" i="73"/>
  <c r="AS44" i="73" s="1"/>
  <c r="BI42" i="73"/>
  <c r="BI44" i="73" s="1"/>
  <c r="AV42" i="73"/>
  <c r="AV44" i="73" s="1"/>
  <c r="S42" i="73"/>
  <c r="S44" i="73" s="1"/>
  <c r="AN42" i="73"/>
  <c r="AN44" i="73" s="1"/>
  <c r="U42" i="73"/>
  <c r="U44" i="73" s="1"/>
  <c r="AZ42" i="73"/>
  <c r="AZ44" i="73" s="1"/>
  <c r="O42" i="73"/>
  <c r="O44" i="73" s="1"/>
  <c r="AF42" i="73"/>
  <c r="AF44" i="73" s="1"/>
  <c r="AP42" i="73"/>
  <c r="AP44" i="73" s="1"/>
  <c r="AQ42" i="73"/>
  <c r="AQ44" i="73" s="1"/>
  <c r="AT42" i="73"/>
  <c r="AT44" i="73" s="1"/>
  <c r="F42" i="73"/>
  <c r="F44" i="73" s="1"/>
  <c r="BC42" i="73"/>
  <c r="BC44" i="73" s="1"/>
  <c r="M42" i="73"/>
  <c r="M44" i="73" s="1"/>
  <c r="R42" i="73"/>
  <c r="R44" i="73" s="1"/>
  <c r="J42" i="73"/>
  <c r="J44" i="73" s="1"/>
  <c r="BK42" i="73"/>
  <c r="BK44" i="73" s="1"/>
  <c r="AO42" i="73"/>
  <c r="AO44" i="73" s="1"/>
  <c r="BD42" i="73"/>
  <c r="BD44" i="73" s="1"/>
  <c r="K42" i="73"/>
  <c r="K44" i="73" s="1"/>
  <c r="N42" i="73"/>
  <c r="N44" i="73" s="1"/>
  <c r="D42" i="73"/>
  <c r="D44" i="73" s="1"/>
  <c r="H42" i="73"/>
  <c r="H44" i="73" s="1"/>
  <c r="Q42" i="73"/>
  <c r="Q44" i="73" s="1"/>
  <c r="BE42" i="73"/>
  <c r="BE44" i="73" s="1"/>
  <c r="BG42" i="73"/>
  <c r="BG44" i="73" s="1"/>
  <c r="Z42" i="73"/>
  <c r="Z44" i="73" s="1"/>
  <c r="X29" i="73"/>
  <c r="P29" i="73"/>
  <c r="AV29" i="73"/>
  <c r="AK29" i="73"/>
  <c r="AH29" i="73"/>
  <c r="AP29" i="73"/>
  <c r="C43" i="73"/>
  <c r="AF29" i="73"/>
  <c r="BD29" i="73"/>
  <c r="Y29" i="73"/>
  <c r="AZ29" i="73"/>
  <c r="AE29" i="73"/>
  <c r="BG29" i="73"/>
  <c r="Z29" i="73"/>
  <c r="AR29" i="73"/>
  <c r="BF29" i="73"/>
  <c r="W29" i="73"/>
  <c r="AM29" i="73"/>
  <c r="AG29" i="73"/>
  <c r="AW29" i="73"/>
  <c r="AU29" i="73"/>
  <c r="BH29" i="73"/>
  <c r="U29" i="73"/>
  <c r="AY29" i="73"/>
  <c r="O29" i="73"/>
  <c r="BI29" i="73"/>
  <c r="F29" i="73"/>
  <c r="AQ29" i="73"/>
  <c r="C50" i="73"/>
  <c r="K29" i="73"/>
  <c r="AL29" i="73"/>
  <c r="L29" i="73"/>
  <c r="R29" i="73"/>
  <c r="N29" i="73"/>
  <c r="AO29" i="73"/>
  <c r="BE29" i="73"/>
  <c r="AX29" i="73"/>
  <c r="C28" i="73"/>
  <c r="AC29" i="73"/>
  <c r="I29" i="73"/>
  <c r="AI29" i="73"/>
  <c r="D29" i="73"/>
  <c r="C27" i="73"/>
  <c r="S29" i="73"/>
  <c r="T29" i="73"/>
  <c r="BC29" i="73"/>
  <c r="BB29" i="73"/>
  <c r="AA29" i="73"/>
  <c r="J29" i="73"/>
  <c r="AD29" i="73"/>
  <c r="M29" i="73"/>
  <c r="G29" i="73"/>
  <c r="AJ29" i="73"/>
  <c r="AS29" i="73"/>
  <c r="BJ29" i="73"/>
  <c r="E29" i="73"/>
  <c r="BA29" i="73"/>
  <c r="Q29" i="73"/>
  <c r="AB29" i="73"/>
  <c r="V29" i="73"/>
  <c r="AT29" i="73"/>
  <c r="BH109" i="80"/>
  <c r="BF109" i="80"/>
  <c r="BD109" i="80"/>
  <c r="AT109" i="80"/>
  <c r="Q109" i="80"/>
  <c r="Y109" i="80"/>
  <c r="AG109" i="80"/>
  <c r="BA109" i="80"/>
  <c r="AW109" i="80"/>
  <c r="V109" i="80"/>
  <c r="AL109" i="80"/>
  <c r="AZ109" i="80"/>
  <c r="AX109" i="80"/>
  <c r="AV109" i="80"/>
  <c r="J109" i="80"/>
  <c r="R109" i="80"/>
  <c r="Z109" i="80"/>
  <c r="AH109" i="80"/>
  <c r="AU109" i="80"/>
  <c r="AR109" i="80"/>
  <c r="AP109" i="80"/>
  <c r="AN109" i="80"/>
  <c r="K109" i="80"/>
  <c r="S109" i="80"/>
  <c r="AA109" i="80"/>
  <c r="AI109" i="80"/>
  <c r="BQ109" i="80"/>
  <c r="BO109" i="80"/>
  <c r="BM109" i="80"/>
  <c r="BK109" i="80"/>
  <c r="L109" i="80"/>
  <c r="T109" i="80"/>
  <c r="AB109" i="80"/>
  <c r="AJ109" i="80"/>
  <c r="BI109" i="80"/>
  <c r="BG109" i="80"/>
  <c r="BE109" i="80"/>
  <c r="BC109" i="80"/>
  <c r="M109" i="80"/>
  <c r="U109" i="80"/>
  <c r="AC109" i="80"/>
  <c r="AK109" i="80"/>
  <c r="AY109" i="80"/>
  <c r="N109" i="80"/>
  <c r="AD109" i="80"/>
  <c r="AS109" i="80"/>
  <c r="AQ109" i="80"/>
  <c r="AO109" i="80"/>
  <c r="BJ109" i="80"/>
  <c r="O109" i="80"/>
  <c r="W109" i="80"/>
  <c r="AE109" i="80"/>
  <c r="AM109" i="80"/>
  <c r="BP109" i="80"/>
  <c r="BN109" i="80"/>
  <c r="BL109" i="80"/>
  <c r="BB109" i="80"/>
  <c r="P109" i="80"/>
  <c r="X109" i="80"/>
  <c r="AF109" i="80"/>
  <c r="H84" i="80"/>
  <c r="H85" i="80"/>
  <c r="H97" i="80"/>
  <c r="H98" i="80"/>
  <c r="H81" i="90"/>
  <c r="H70" i="90"/>
  <c r="H59" i="90"/>
  <c r="F108" i="80"/>
  <c r="G108" i="80" s="1"/>
  <c r="E110" i="80"/>
  <c r="C42" i="73" l="1"/>
  <c r="BG108" i="80"/>
  <c r="BE108" i="80"/>
  <c r="BC108" i="80"/>
  <c r="AS108" i="80"/>
  <c r="M108" i="80"/>
  <c r="U108" i="80"/>
  <c r="AC108" i="80"/>
  <c r="AK108" i="80"/>
  <c r="AX108" i="80"/>
  <c r="BQ108" i="80"/>
  <c r="Z108" i="80"/>
  <c r="AY108" i="80"/>
  <c r="AW108" i="80"/>
  <c r="AU108" i="80"/>
  <c r="BP108" i="80"/>
  <c r="N108" i="80"/>
  <c r="V108" i="80"/>
  <c r="AD108" i="80"/>
  <c r="AL108" i="80"/>
  <c r="R108" i="80"/>
  <c r="AQ108" i="80"/>
  <c r="AO108" i="80"/>
  <c r="BJ108" i="80"/>
  <c r="BH108" i="80"/>
  <c r="O108" i="80"/>
  <c r="W108" i="80"/>
  <c r="AE108" i="80"/>
  <c r="AM108" i="80"/>
  <c r="BN108" i="80"/>
  <c r="BL108" i="80"/>
  <c r="BB108" i="80"/>
  <c r="AZ108" i="80"/>
  <c r="P108" i="80"/>
  <c r="X108" i="80"/>
  <c r="AF108" i="80"/>
  <c r="BF108" i="80"/>
  <c r="BD108" i="80"/>
  <c r="AT108" i="80"/>
  <c r="AR108" i="80"/>
  <c r="Q108" i="80"/>
  <c r="Y108" i="80"/>
  <c r="AG108" i="80"/>
  <c r="AV108" i="80"/>
  <c r="K108" i="80"/>
  <c r="AH108" i="80"/>
  <c r="AP108" i="80"/>
  <c r="AN108" i="80"/>
  <c r="BI108" i="80"/>
  <c r="J108" i="80"/>
  <c r="S108" i="80"/>
  <c r="AA108" i="80"/>
  <c r="AI108" i="80"/>
  <c r="BO108" i="80"/>
  <c r="BM108" i="80"/>
  <c r="BK108" i="80"/>
  <c r="BA108" i="80"/>
  <c r="L108" i="80"/>
  <c r="T108" i="80"/>
  <c r="AB108" i="80"/>
  <c r="AJ108" i="80"/>
  <c r="H109" i="80"/>
  <c r="F110" i="80"/>
  <c r="G110" i="80" l="1"/>
  <c r="G111" i="80" s="1"/>
  <c r="C44" i="73" l="1"/>
  <c r="H108" i="80"/>
  <c r="BQ111" i="80"/>
  <c r="BQ110" i="80"/>
  <c r="BE111" i="80"/>
  <c r="BE110" i="80"/>
  <c r="AV110" i="80"/>
  <c r="AV111" i="80"/>
  <c r="Z110" i="80"/>
  <c r="Z111" i="80"/>
  <c r="AY110" i="80"/>
  <c r="AY111" i="80"/>
  <c r="AX111" i="80"/>
  <c r="AX110" i="80"/>
  <c r="BG111" i="80"/>
  <c r="BG110" i="80"/>
  <c r="BC111" i="80"/>
  <c r="BC110" i="80"/>
  <c r="BA110" i="80"/>
  <c r="BA111" i="80"/>
  <c r="V110" i="80"/>
  <c r="V111" i="80"/>
  <c r="AU110" i="80"/>
  <c r="AU111" i="80"/>
  <c r="W110" i="80"/>
  <c r="W111" i="80"/>
  <c r="AE110" i="80"/>
  <c r="AE111" i="80"/>
  <c r="BN111" i="80"/>
  <c r="BN110" i="80"/>
  <c r="P110" i="80"/>
  <c r="P111" i="80"/>
  <c r="BM110" i="80"/>
  <c r="BM111" i="80"/>
  <c r="BD110" i="80"/>
  <c r="BD111" i="80"/>
  <c r="AP110" i="80"/>
  <c r="AP111" i="80"/>
  <c r="AR110" i="80"/>
  <c r="AR111" i="80"/>
  <c r="BF110" i="80"/>
  <c r="BF111" i="80"/>
  <c r="AZ110" i="80"/>
  <c r="AZ111" i="80"/>
  <c r="BI110" i="80"/>
  <c r="BI111" i="80"/>
  <c r="AQ110" i="80"/>
  <c r="AQ111" i="80"/>
  <c r="U110" i="80"/>
  <c r="U111" i="80"/>
  <c r="Y110" i="80"/>
  <c r="Y111" i="80"/>
  <c r="AH110" i="80"/>
  <c r="AH111" i="80"/>
  <c r="BO111" i="80"/>
  <c r="BO110" i="80"/>
  <c r="AA110" i="80"/>
  <c r="AA111" i="80"/>
  <c r="BH110" i="80"/>
  <c r="BH111" i="80"/>
  <c r="AF111" i="80"/>
  <c r="AF110" i="80"/>
  <c r="R110" i="80"/>
  <c r="R111" i="80"/>
  <c r="S110" i="80"/>
  <c r="S111" i="80"/>
  <c r="M110" i="80"/>
  <c r="M111" i="80"/>
  <c r="AL110" i="80"/>
  <c r="AL111" i="80"/>
  <c r="BL110" i="80"/>
  <c r="BL111" i="80"/>
  <c r="BJ110" i="80"/>
  <c r="BJ111" i="80"/>
  <c r="X110" i="80"/>
  <c r="X111" i="80"/>
  <c r="N111" i="80"/>
  <c r="N110" i="80"/>
  <c r="AD110" i="80"/>
  <c r="AD111" i="80"/>
  <c r="AC111" i="80"/>
  <c r="AC110" i="80"/>
  <c r="L110" i="80"/>
  <c r="L111" i="80"/>
  <c r="AT111" i="80"/>
  <c r="AT110" i="80"/>
  <c r="AM110" i="80"/>
  <c r="AM111" i="80"/>
  <c r="BP110" i="80"/>
  <c r="BP111" i="80"/>
  <c r="AB110" i="80"/>
  <c r="AB111" i="80"/>
  <c r="K111" i="80"/>
  <c r="K110" i="80"/>
  <c r="Q110" i="80"/>
  <c r="Q111" i="80"/>
  <c r="AS110" i="80"/>
  <c r="AS111" i="80"/>
  <c r="AJ110" i="80"/>
  <c r="AJ111" i="80"/>
  <c r="AO110" i="80"/>
  <c r="AO111" i="80"/>
  <c r="BK110" i="80"/>
  <c r="BK111" i="80"/>
  <c r="O110" i="80"/>
  <c r="O111" i="80"/>
  <c r="AK110" i="80"/>
  <c r="AK111" i="80"/>
  <c r="T111" i="80"/>
  <c r="T110" i="80"/>
  <c r="AG110" i="80"/>
  <c r="AG111" i="80"/>
  <c r="AW110" i="80"/>
  <c r="AW111" i="80"/>
  <c r="AN111" i="80"/>
  <c r="AN110" i="80"/>
  <c r="J111" i="80"/>
  <c r="J110" i="80"/>
  <c r="AI110" i="80"/>
  <c r="AI111" i="80"/>
  <c r="BB110" i="80"/>
  <c r="BB111" i="80"/>
  <c r="BA49" i="73" l="1"/>
  <c r="BA51" i="73" s="1"/>
  <c r="P49" i="73"/>
  <c r="P51" i="73" s="1"/>
  <c r="AJ49" i="73"/>
  <c r="AJ51" i="73" s="1"/>
  <c r="AN49" i="73"/>
  <c r="AN51" i="73" s="1"/>
  <c r="Z49" i="73"/>
  <c r="Z51" i="73" s="1"/>
  <c r="BH49" i="73"/>
  <c r="BH51" i="73" s="1"/>
  <c r="AR49" i="73"/>
  <c r="AR51" i="73" s="1"/>
  <c r="AY49" i="73"/>
  <c r="AY51" i="73" s="1"/>
  <c r="BC49" i="73"/>
  <c r="BC51" i="73" s="1"/>
  <c r="D49" i="73"/>
  <c r="D51" i="73" s="1"/>
  <c r="H49" i="73"/>
  <c r="H51" i="73" s="1"/>
  <c r="AE49" i="73"/>
  <c r="AE51" i="73" s="1"/>
  <c r="AD49" i="73"/>
  <c r="AD51" i="73" s="1"/>
  <c r="V49" i="73"/>
  <c r="V51" i="73" s="1"/>
  <c r="F49" i="73"/>
  <c r="F51" i="73" s="1"/>
  <c r="R49" i="73"/>
  <c r="R51" i="73" s="1"/>
  <c r="G49" i="73"/>
  <c r="G51" i="73" s="1"/>
  <c r="BB49" i="73"/>
  <c r="BB51" i="73" s="1"/>
  <c r="S49" i="73"/>
  <c r="S51" i="73" s="1"/>
  <c r="AT49" i="73"/>
  <c r="AT51" i="73" s="1"/>
  <c r="AX49" i="73"/>
  <c r="AX51" i="73" s="1"/>
  <c r="Y49" i="73"/>
  <c r="Y51" i="73" s="1"/>
  <c r="AU49" i="73"/>
  <c r="AU51" i="73" s="1"/>
  <c r="AS49" i="73"/>
  <c r="AS51" i="73" s="1"/>
  <c r="AI49" i="73"/>
  <c r="AI51" i="73" s="1"/>
  <c r="AB49" i="73"/>
  <c r="AB51" i="73" s="1"/>
  <c r="AH49" i="73"/>
  <c r="AH51" i="73" s="1"/>
  <c r="BK49" i="73"/>
  <c r="BK51" i="73" s="1"/>
  <c r="E49" i="73"/>
  <c r="E51" i="73" s="1"/>
  <c r="AV49" i="73"/>
  <c r="AV51" i="73" s="1"/>
  <c r="AQ49" i="73"/>
  <c r="AQ51" i="73" s="1"/>
  <c r="I49" i="73"/>
  <c r="I51" i="73" s="1"/>
  <c r="AM49" i="73"/>
  <c r="AM51" i="73" s="1"/>
  <c r="BJ49" i="73"/>
  <c r="BJ51" i="73" s="1"/>
  <c r="BD49" i="73"/>
  <c r="BD51" i="73" s="1"/>
  <c r="M49" i="73"/>
  <c r="M51" i="73" s="1"/>
  <c r="U49" i="73"/>
  <c r="U51" i="73" s="1"/>
  <c r="O49" i="73"/>
  <c r="O51" i="73" s="1"/>
  <c r="AZ49" i="73"/>
  <c r="AZ51" i="73" s="1"/>
  <c r="BG49" i="73"/>
  <c r="BG51" i="73" s="1"/>
  <c r="Q49" i="73"/>
  <c r="Q51" i="73" s="1"/>
  <c r="T49" i="73"/>
  <c r="T51" i="73" s="1"/>
  <c r="BI49" i="73"/>
  <c r="BI51" i="73" s="1"/>
  <c r="W49" i="73"/>
  <c r="W51" i="73" s="1"/>
  <c r="AW49" i="73"/>
  <c r="AW51" i="73" s="1"/>
  <c r="AF49" i="73"/>
  <c r="AF51" i="73" s="1"/>
  <c r="N49" i="73"/>
  <c r="N51" i="73" s="1"/>
  <c r="AC49" i="73"/>
  <c r="AC51" i="73" s="1"/>
  <c r="AA49" i="73"/>
  <c r="AA51" i="73" s="1"/>
  <c r="BE49" i="73"/>
  <c r="BE51" i="73" s="1"/>
  <c r="K49" i="73"/>
  <c r="K51" i="73" s="1"/>
  <c r="AG49" i="73"/>
  <c r="AG51" i="73" s="1"/>
  <c r="X49" i="73"/>
  <c r="X51" i="73" s="1"/>
  <c r="BF49" i="73"/>
  <c r="BF51" i="73" s="1"/>
  <c r="L49" i="73"/>
  <c r="L51" i="73" s="1"/>
  <c r="AK49" i="73"/>
  <c r="AK51" i="73" s="1"/>
  <c r="AL49" i="73"/>
  <c r="AL51" i="73" s="1"/>
  <c r="J49" i="73"/>
  <c r="J51" i="73" s="1"/>
  <c r="AO49" i="73"/>
  <c r="AO51" i="73" s="1"/>
  <c r="AP49" i="73"/>
  <c r="AP51" i="73" s="1"/>
  <c r="H110" i="80"/>
  <c r="H111" i="80"/>
  <c r="C51" i="73" l="1"/>
  <c r="C49" i="73"/>
  <c r="C29" i="7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<sst xmlns="http://schemas.openxmlformats.org/spreadsheetml/2006/main" count="2642" uniqueCount="1233">
  <si>
    <t>Developed by:</t>
  </si>
  <si>
    <t>Version:</t>
  </si>
  <si>
    <t>Homes England - Measuring Social Value</t>
  </si>
  <si>
    <t>Last updated:</t>
  </si>
  <si>
    <t>Welcome to the home page of the Brownfield Development Values Tool</t>
  </si>
  <si>
    <t xml:space="preserve">The brownfield development values have been developed for Homes England to support the economic appraisal of housing development on brownfield land. The valuation approach used to quantify and value disamenity being removed for local residents is detailed in the Brownfield Development Values Report (eftec and SQW, 2023). 
This workbook supplements the Brownfield Development Values Report, providing a practical tool to estimate the values required for cost-benefit analysis. </t>
  </si>
  <si>
    <t>Category</t>
  </si>
  <si>
    <t>Tab name</t>
  </si>
  <si>
    <t>Description</t>
  </si>
  <si>
    <t>General and Background</t>
  </si>
  <si>
    <t>1. User guide</t>
  </si>
  <si>
    <t>The user guide provides an overview of the structure of this tool (workbook) and instructions for inputting project and option specific information.</t>
  </si>
  <si>
    <t>Inputs</t>
  </si>
  <si>
    <t>2. General project information</t>
  </si>
  <si>
    <t>Tab to input data that will not change between intervention options – such as the project name, site location, local population density, existing brownfield on the current site.</t>
  </si>
  <si>
    <t>3. Option specific inputs</t>
  </si>
  <si>
    <t>Tab to input data that is specific to an intervention option or options –  such as the number of homes, the brownfield removed, and the recreation features that are created.</t>
  </si>
  <si>
    <t>Impact summary</t>
  </si>
  <si>
    <t>4. Impacts</t>
  </si>
  <si>
    <t>A summary of the estimated brownfield impacts.</t>
  </si>
  <si>
    <t>Calculation tabs</t>
  </si>
  <si>
    <t>5.1 - Brownfield amenity</t>
  </si>
  <si>
    <t>Calculations for estimating the social value of outcomes due to brownfield disamenity removal</t>
  </si>
  <si>
    <t>5.2 - Feature amenity</t>
  </si>
  <si>
    <t>Calculations for estimating the social value of outcomes due to additional feature amenity</t>
  </si>
  <si>
    <t>Reference values and other tabs</t>
  </si>
  <si>
    <t>6.1 - Value look-up</t>
  </si>
  <si>
    <t>A list of the parameter values (such as monetary estimates of benefits) referenced and used in the tool</t>
  </si>
  <si>
    <t>6.2 - GDP deflators</t>
  </si>
  <si>
    <t>The HM Treasury GDP deflators used to adjust monetary values to the base price year</t>
  </si>
  <si>
    <t>6.3 - Discount rates</t>
  </si>
  <si>
    <t>The HM Treasury Green Book recommended discount rates</t>
  </si>
  <si>
    <t>6.4 - Hectares brownfield</t>
  </si>
  <si>
    <t>The hectares of brownfield by local authority (2019)</t>
  </si>
  <si>
    <t>6.5 - Housing densities</t>
  </si>
  <si>
    <t>The average housing density by local authority (2019)</t>
  </si>
  <si>
    <t>6.6 - Lists and lookups</t>
  </si>
  <si>
    <t>Reference sheet for the lists and lookups used within the workbook</t>
  </si>
  <si>
    <t>Version control</t>
  </si>
  <si>
    <t>Version number</t>
  </si>
  <si>
    <t>Date amended</t>
  </si>
  <si>
    <t>Description of amendment</t>
  </si>
  <si>
    <t>1.0</t>
  </si>
  <si>
    <t>Original published version</t>
  </si>
  <si>
    <t>Corrected an error in the formula for estimating the default year additional features are delivered (Tab 3. Option specific inputs, cells E58 to E66)</t>
  </si>
  <si>
    <t>Aligned formula estimating amenity benefit to ENHAT (Tab 5.1, row 51-71). Corrected error in the reference value formula in tab 5.1, cells D123-E123 and added explanation to cell G123. Aligned GDP deflators in tab 6.2 to those used in ENHAT. Corrected error in tab 6.1, cells M20-M22, as values should not be adjusted based on appraisal year.</t>
  </si>
  <si>
    <t>Prepared by</t>
  </si>
  <si>
    <t>Economics for the Environment Consultancy Ltd (eftec)</t>
  </si>
  <si>
    <t>SQW</t>
  </si>
  <si>
    <t>10F Printing House Yard</t>
  </si>
  <si>
    <t>Reuben House</t>
  </si>
  <si>
    <t>London</t>
  </si>
  <si>
    <t>Covent Garden, Cambridge</t>
  </si>
  <si>
    <t>E2 7PR</t>
  </si>
  <si>
    <t>CB1 2HT</t>
  </si>
  <si>
    <t>eftec.co.uk</t>
  </si>
  <si>
    <t>www.sqw.co.uk</t>
  </si>
  <si>
    <t>Whilst eftec and SQW have endeavoured to provide accurate and reliable information, eftec and SQW are reliant on the accuracy of underlying data provided and those readily available in the public domain. eftec and SQW will not be responsible for any loss or damage caused by relying on the content or outputs of this tool.</t>
  </si>
  <si>
    <t>Brownfield Development Values Tool</t>
  </si>
  <si>
    <t>CLICK to return to Welcome screen</t>
  </si>
  <si>
    <t>Tool guide</t>
  </si>
  <si>
    <t>1. Structure of the Brownfield Development Values Tool</t>
  </si>
  <si>
    <t>This tool contains several tabs and steps for the user to follow, as well as several automated steps that produce a set of outputs. The structure and dataflow are outlined in figure 1, below.</t>
  </si>
  <si>
    <t>Figure 1. Overview of the tab structure and dataflow of this tool</t>
  </si>
  <si>
    <t xml:space="preserve"> </t>
  </si>
  <si>
    <r>
      <rPr>
        <b/>
        <sz val="10"/>
        <color theme="3"/>
        <rFont val="Calibri"/>
        <family val="2"/>
        <scheme val="minor"/>
      </rPr>
      <t>Inputs (tabs 2 &amp; 3) -</t>
    </r>
    <r>
      <rPr>
        <sz val="10"/>
        <color theme="3"/>
        <rFont val="Calibri"/>
        <family val="2"/>
        <scheme val="minor"/>
      </rPr>
      <t xml:space="preserve"> These tabs contain all user input cells. Information about the site and the surrounding area, which stays the same for each option, are input into tab "2. General project information". Information that varies for each option, including the reference case (counterfactual) and any potential interventions, such as the development profile and new recreation features, are input into tab "3. Option specific inputs". Default values are estimated for some parameters, for example using Local Authority averages or reasonable assumptions, in case users are not able to estimate bespoke estimates. Guidance on how to populate cells and the methodologies used to estimate default figures is provided throughout both tabs.</t>
    </r>
  </si>
  <si>
    <r>
      <t xml:space="preserve">Impacts (tab 4) - </t>
    </r>
    <r>
      <rPr>
        <sz val="10"/>
        <color theme="3"/>
        <rFont val="Calibri"/>
        <family val="2"/>
        <scheme val="minor"/>
      </rPr>
      <t>The tool shows the overall estimates of the change to social value and by impact category (brownfield disamenity removal &amp; additional recreation features) on tab 4. Results are provided for the central estimate as well as low and high estimates, which can be used for sensitivity analysis.</t>
    </r>
  </si>
  <si>
    <r>
      <t xml:space="preserve">Calculations (tabs 5.1 &amp; 5.2) - </t>
    </r>
    <r>
      <rPr>
        <sz val="10"/>
        <color theme="3"/>
        <rFont val="Calibri"/>
        <family val="2"/>
        <scheme val="minor"/>
      </rPr>
      <t>The 'calculations' tabs automatically run calculations to produce estimates of monetary values in annual terms, based on the user's inputs for that reference case or intervention. These tabs set out the method, calculations, assumptions and evidence used to estimate the monetary values.</t>
    </r>
  </si>
  <si>
    <r>
      <rPr>
        <b/>
        <sz val="10"/>
        <color theme="3"/>
        <rFont val="Calibri"/>
        <family val="2"/>
        <scheme val="minor"/>
      </rPr>
      <t>Evidence (tabs 6.1 to 6.6) -</t>
    </r>
    <r>
      <rPr>
        <sz val="10"/>
        <color theme="3"/>
        <rFont val="Calibri"/>
        <family val="2"/>
        <scheme val="minor"/>
      </rPr>
      <t xml:space="preserve"> The evidence tabs include all the data used to estimate monetary values in the calculations tabs and default figures in the inputs tabs.</t>
    </r>
  </si>
  <si>
    <t>TO BEGIN A NEW PROJECT, PROCEED TO TAB 2 (LINK BELOW)</t>
  </si>
  <si>
    <t>Brownfield development values - General project input sheet</t>
  </si>
  <si>
    <t>General project information inputs</t>
  </si>
  <si>
    <t>Use this tab to input general project information for the site potentially being developed. These details will usually remain the same between intervention options, and include:
1. The project name, location, site aera and appraisal base year. 
2. The number of households locally; and
3. Brownfield site characteristics.
Once complete, please save this file as a base upon which values for each project option can be developed by completing tab 3.</t>
  </si>
  <si>
    <t>Cells are highlighted in the following colours:</t>
  </si>
  <si>
    <r>
      <t xml:space="preserve">Light green: input data </t>
    </r>
    <r>
      <rPr>
        <b/>
        <sz val="10"/>
        <color theme="3"/>
        <rFont val="Calibri"/>
        <family val="2"/>
        <scheme val="minor"/>
      </rPr>
      <t>must</t>
    </r>
    <r>
      <rPr>
        <sz val="10"/>
        <color theme="3"/>
        <rFont val="Calibri"/>
        <family val="2"/>
        <scheme val="minor"/>
      </rPr>
      <t xml:space="preserve"> be provided to run default calculations</t>
    </r>
  </si>
  <si>
    <r>
      <t xml:space="preserve">Light orange: input data is </t>
    </r>
    <r>
      <rPr>
        <b/>
        <sz val="10"/>
        <color theme="3"/>
        <rFont val="Calibri"/>
        <family val="2"/>
        <scheme val="minor"/>
      </rPr>
      <t xml:space="preserve">optional </t>
    </r>
    <r>
      <rPr>
        <sz val="10"/>
        <color theme="3"/>
        <rFont val="Calibri"/>
        <family val="2"/>
        <scheme val="minor"/>
      </rPr>
      <t>(i.e. to override default assumptions)</t>
    </r>
  </si>
  <si>
    <t>Grey or white: no local input data is required</t>
  </si>
  <si>
    <t>2.1 - General inputs: Overall project description</t>
  </si>
  <si>
    <t>Guidance:</t>
  </si>
  <si>
    <t>Input general site information (e.g. Local Authority, site area) and analysis parameters (e.g. appraisal base year, appraisal period)</t>
  </si>
  <si>
    <t>Inputs:</t>
  </si>
  <si>
    <t>Project name</t>
  </si>
  <si>
    <t>Site description (optional)</t>
  </si>
  <si>
    <t>Region</t>
  </si>
  <si>
    <t>Local Authority</t>
  </si>
  <si>
    <t>Urban / rural description</t>
  </si>
  <si>
    <t>Appraisal base year (financial year)</t>
  </si>
  <si>
    <t>Calendar year lookup:</t>
  </si>
  <si>
    <t>Appraisal period</t>
  </si>
  <si>
    <t>Years</t>
  </si>
  <si>
    <t>Project area</t>
  </si>
  <si>
    <t>Hectares</t>
  </si>
  <si>
    <t>Monetary value (£) scalar to be used throughout workbook</t>
  </si>
  <si>
    <t>Note: to not use a scalar, this option can be left blank</t>
  </si>
  <si>
    <t>Money scalar numeric:</t>
  </si>
  <si>
    <t>2.2 - General inputs: Local population (households)</t>
  </si>
  <si>
    <t>This section uses ONS (2021) household density data to estimate default household numbers by distance band. See tab 6.5 for further information. Users are able to override the default calculations with bespoke estimates, for example using GIS mapping or adjusting the defaults where the site location is not representative of the LA average household density. 
We recommend users consider whether all households within the distance band are affected by the disamenity associated with the site. For example, whether features such as rivers, estuaries or motorways result in segregation within the standard radius. Where this occurs the number of households impacted should be adjusted below to exclude households not deemed to be impacted.  Any areas excluded from household numbers should also be excluded from brownfield estimates in section 2.4, below.</t>
  </si>
  <si>
    <t>Approximate distance from centre to midpoint of boundary (assumes square shape) - Distance "A" in diagram</t>
  </si>
  <si>
    <t>Metres</t>
  </si>
  <si>
    <t>Diagram of distance bands:</t>
  </si>
  <si>
    <t>Households / sq mile</t>
  </si>
  <si>
    <t>Households</t>
  </si>
  <si>
    <t>Distance from site (distance to the edge of site)</t>
  </si>
  <si>
    <t>&lt;0.5 miles</t>
  </si>
  <si>
    <t>&lt;1 mile</t>
  </si>
  <si>
    <t>&lt;2 miles</t>
  </si>
  <si>
    <t>Max distance from site (miles, used in calculations)</t>
  </si>
  <si>
    <t>Local area within distance (square miles)</t>
  </si>
  <si>
    <t>Approx households within distance (using avg density)</t>
  </si>
  <si>
    <t>Actual households (user input)</t>
  </si>
  <si>
    <t>Estimated households within distance</t>
  </si>
  <si>
    <t>Distance bands (used in calculations)</t>
  </si>
  <si>
    <r>
      <t xml:space="preserve">&lt;0.5 miles
 </t>
    </r>
    <r>
      <rPr>
        <sz val="6"/>
        <color theme="3"/>
        <rFont val="Calibri"/>
        <family val="2"/>
        <scheme val="minor"/>
      </rPr>
      <t>(Area "B")</t>
    </r>
  </si>
  <si>
    <r>
      <t xml:space="preserve">0.5 - 1 mile 
</t>
    </r>
    <r>
      <rPr>
        <sz val="6"/>
        <color theme="3"/>
        <rFont val="Calibri"/>
        <family val="2"/>
        <scheme val="minor"/>
      </rPr>
      <t>(Area "C")</t>
    </r>
  </si>
  <si>
    <r>
      <t xml:space="preserve">1 - 2 miles 
</t>
    </r>
    <r>
      <rPr>
        <sz val="6"/>
        <color theme="3"/>
        <rFont val="Calibri"/>
        <family val="2"/>
        <scheme val="minor"/>
      </rPr>
      <t>(same method as "C")</t>
    </r>
  </si>
  <si>
    <t>Estimated households in band</t>
  </si>
  <si>
    <t>2.3 - General Inputs: Brownfield characteristics</t>
  </si>
  <si>
    <r>
      <t xml:space="preserve">This section is a set of input cells to describe the existing brownfield of the site.
</t>
    </r>
    <r>
      <rPr>
        <b/>
        <sz val="10"/>
        <rFont val="Calibri"/>
        <family val="2"/>
        <scheme val="minor"/>
      </rPr>
      <t>Current brownfield condition</t>
    </r>
    <r>
      <rPr>
        <sz val="10"/>
        <rFont val="Calibri"/>
        <family val="2"/>
        <scheme val="minor"/>
      </rPr>
      <t xml:space="preserve">: The user should select the status of the current buildings on the site i.e. will they be reused in the new development, will they need to be removed or have they already been removed.
</t>
    </r>
    <r>
      <rPr>
        <b/>
        <sz val="10"/>
        <rFont val="Calibri"/>
        <family val="2"/>
        <scheme val="minor"/>
      </rPr>
      <t>Current site type</t>
    </r>
    <r>
      <rPr>
        <sz val="10"/>
        <rFont val="Calibri"/>
        <family val="2"/>
        <scheme val="minor"/>
      </rPr>
      <t>: The user should enter the current or previous usage breakdown of the site, split between residential (e.g. empty houses or flats in poor condition), commercial  (e.g. empty shops, office buildings, car parks or hospitals) and industrial (e.g. abandoned warehouses and industrial buildings).</t>
    </r>
  </si>
  <si>
    <t>Current brownfield area on site:</t>
  </si>
  <si>
    <t>hectares</t>
  </si>
  <si>
    <t>Current brownfield condition:</t>
  </si>
  <si>
    <t>Current site type (primary usage breakdown for brownfield land):</t>
  </si>
  <si>
    <t>Residential</t>
  </si>
  <si>
    <t>Commercial</t>
  </si>
  <si>
    <t>Industrial</t>
  </si>
  <si>
    <t>Total</t>
  </si>
  <si>
    <t>2.4 - General Inputs: Local brownfield extent</t>
  </si>
  <si>
    <r>
      <t xml:space="preserve">This section estimates the local brownfield extent by distance band. 
</t>
    </r>
    <r>
      <rPr>
        <b/>
        <sz val="10"/>
        <color theme="3"/>
        <rFont val="Calibri"/>
        <family val="2"/>
        <scheme val="minor"/>
      </rPr>
      <t>Distance Band</t>
    </r>
    <r>
      <rPr>
        <sz val="10"/>
        <color theme="3"/>
        <rFont val="Calibri"/>
        <family val="2"/>
        <scheme val="minor"/>
      </rPr>
      <t xml:space="preserve">: The user must first select a distance band for the local brownfield extent. For dense urban areas use "2 mile radius" and for suburban or rural areas use a "4 mile radius". Where the local brownfield extent is very low (e.g. only 2 or 3 sites within 4 miles), use "local authority". We recommend testing the impact of this choice on the results through sensitivity analysis.
</t>
    </r>
    <r>
      <rPr>
        <b/>
        <sz val="10"/>
        <color theme="3"/>
        <rFont val="Calibri"/>
        <family val="2"/>
        <scheme val="minor"/>
      </rPr>
      <t>Local Brownfield Extent:</t>
    </r>
    <r>
      <rPr>
        <sz val="10"/>
        <color theme="3"/>
        <rFont val="Calibri"/>
        <family val="2"/>
        <scheme val="minor"/>
      </rPr>
      <t xml:space="preserve"> Default values use 2019 brownfield registers to estimate average brownfield densities by LA. See tab 6.4 for further information. Where available, users should override the default calculations with bespoke estimates. These estimates should consider: 
1. As per Section 2.2 above, do any features result in segregation that impact on the area that should be considered?
2. Is a more recent brownfield register available? 
3. Is the site on the brownfield register? If not, then it needs to be added onto the brownfield estimates.
4. Are the brownfield extent figures representative of local brownfield or disamenity sites? Brownfield registers only include sites which have been identified as suitable for development. If there are other sites causing disamenity in the local area then users should consider increasing the amount of local brownfield.
5. Can GIS mapping be used to provide site specific estimates that don't rely on LA average densities?</t>
    </r>
  </si>
  <si>
    <t>Brownfield distance band to use:</t>
  </si>
  <si>
    <t>square miles</t>
  </si>
  <si>
    <t>Ha brownfield / sq mile</t>
  </si>
  <si>
    <t>&lt;4 miles</t>
  </si>
  <si>
    <t>Max distance from site (used in calculations)</t>
  </si>
  <si>
    <t>miles</t>
  </si>
  <si>
    <t>Local area within distance</t>
  </si>
  <si>
    <t>Approx brownfield within distance (using avg density)</t>
  </si>
  <si>
    <t>Actual brownfield (user input)</t>
  </si>
  <si>
    <t>Estimated brownfield within distance</t>
  </si>
  <si>
    <t>2.5 - Input data validation</t>
  </si>
  <si>
    <t>This section displays the data status for each input area of this tab - please verify before continuing.</t>
  </si>
  <si>
    <t>Section</t>
  </si>
  <si>
    <t>Data validation statement</t>
  </si>
  <si>
    <t>Section 2.1</t>
  </si>
  <si>
    <t>Section 2.2</t>
  </si>
  <si>
    <t>Section 2.3</t>
  </si>
  <si>
    <t>Section 2.4</t>
  </si>
  <si>
    <t>IF THE INPUTS ABOVE ARE COMPLETE, PLEASE SAVE THIS WORKBOOK AS THE "SITE INFORMATION" VERSION. THEN CONTINUE TO TAB 3 (LINK BELOW)</t>
  </si>
  <si>
    <t>Brownfield development values - Option appraisal input sheets</t>
  </si>
  <si>
    <t>Development profile and brownfield removal</t>
  </si>
  <si>
    <t>Use this tab to input the overall development profile for either the reference case or an intervention option, which includes:
1. The name and description of the option;
2. The number of homes delivered in each year;
3. The brownfield removed as part of the development by year; and 
4. Any additional features that are created as part of the development and the year they are delivered.</t>
  </si>
  <si>
    <t>3.1 - Option description</t>
  </si>
  <si>
    <t>Input the option name and description. For example, this could be the reference case or another of the shortlisted project options.</t>
  </si>
  <si>
    <t>Option name</t>
  </si>
  <si>
    <t>Short description (Optional)</t>
  </si>
  <si>
    <t>3.2 - Overall development profile</t>
  </si>
  <si>
    <t>Input the number of units completed in each financial year</t>
  </si>
  <si>
    <t>Number of homes on site</t>
  </si>
  <si>
    <t>Total Homes Delivered</t>
  </si>
  <si>
    <t>Homes delivered</t>
  </si>
  <si>
    <t>Cumulative homes delivered</t>
  </si>
  <si>
    <t>3.3 - Brownfield removal</t>
  </si>
  <si>
    <t>Input the brownfield area being removed under this option. Default calculations assume that the brownfield area is removed in line with the housing delivery profile. Users are able to override the profile of brownfield removal if the default profile is not representative of the actual removal. For example, where only part of a site is considered to be brownfield and this is delivered before/after housing on the greenfield elements or where public or green space is delivered before/after housing.</t>
  </si>
  <si>
    <t>Total brownfield area removed (ha)</t>
  </si>
  <si>
    <t>Brownfield removed as part of project delivery.</t>
  </si>
  <si>
    <t>Brownfield area removed (default, in line with homes delivered)</t>
  </si>
  <si>
    <t>Brownfield area removed (user input)</t>
  </si>
  <si>
    <t>Estimated brownfield area removed</t>
  </si>
  <si>
    <t>Amount at end of year</t>
  </si>
  <si>
    <t>3.4 - Additional features included as a part of the development</t>
  </si>
  <si>
    <t>Input which, if any, of the additional features are being delivered under this option. Default calculations assume these are delivered in the final year that housing is delivered. This can be overridden if the feature is expected to be delivered sooner/later.</t>
  </si>
  <si>
    <t>Feature</t>
  </si>
  <si>
    <t>Included?</t>
  </si>
  <si>
    <t>Year delivered (default, last year)</t>
  </si>
  <si>
    <t>Year delivered (user input)</t>
  </si>
  <si>
    <t>Children's play area</t>
  </si>
  <si>
    <t>No</t>
  </si>
  <si>
    <t>Cycle path</t>
  </si>
  <si>
    <t>Green open space</t>
  </si>
  <si>
    <t>Hardscaped space</t>
  </si>
  <si>
    <t>Multi use</t>
  </si>
  <si>
    <t>Outdoor workout area</t>
  </si>
  <si>
    <t>Sports pitch</t>
  </si>
  <si>
    <t>Walking path</t>
  </si>
  <si>
    <t>Wildlife space</t>
  </si>
  <si>
    <t>3.5 - Input data validation</t>
  </si>
  <si>
    <t>Section 3.1</t>
  </si>
  <si>
    <t>Section 3.2</t>
  </si>
  <si>
    <t>Section 3.3</t>
  </si>
  <si>
    <t>Section 3.4</t>
  </si>
  <si>
    <t>ONCE THE INPUTS ABOVE ARE COMPLETE AND HAVE BEEN VERIFIED, PLEASE SAVE THIS WORKBOOK AS AN "OPTION" VERSION. THEN CONTINUE TO EITHER TAB "4. Impacts" TO REVIEW THE OUTPUTS, OR CONTINUE TO TAB "5.1 - Brownfield amenity" TO REVIEW THE CALCULATIONS (LINKS BELOW)</t>
  </si>
  <si>
    <t>Impacts - Brownfield development</t>
  </si>
  <si>
    <t>Summary of impacts from brownfield development</t>
  </si>
  <si>
    <t>General information</t>
  </si>
  <si>
    <t>This section provides selected general information on the brownfield development in this intervention.</t>
  </si>
  <si>
    <t>Total project area</t>
  </si>
  <si>
    <t>Total brownfield land at start of intervention</t>
  </si>
  <si>
    <t>Change in amount of brownfield land</t>
  </si>
  <si>
    <t>Total brownfield land at end of intervention</t>
  </si>
  <si>
    <t>Social value impact of brownfield development (central estimates)</t>
  </si>
  <si>
    <t>This table provides the central estimates of the social value impact from the brownfield development of the option (in monetary terms) to use in the main cost-benefit analysis. Please see the individual calculations tabs for further information.</t>
  </si>
  <si>
    <t>Results:</t>
  </si>
  <si>
    <t>Year 0</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</si>
  <si>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</si>
  <si>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</si>
  <si>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</si>
  <si>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</si>
  <si>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</si>
  <si>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</si>
  <si>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</si>
  <si>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</si>
  <si>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</si>
  <si>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</si>
  <si>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</si>
  <si>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</si>
  <si>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</si>
  <si>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</si>
  <si>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</si>
  <si>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</si>
  <si>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</si>
  <si>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</si>
  <si>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</si>
  <si>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</si>
  <si>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</si>
  <si>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</si>
  <si>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</si>
  <si>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</si>
  <si>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</si>
  <si>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</si>
  <si>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</si>
  <si>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</si>
  <si>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</si>
  <si>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</si>
  <si>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</si>
  <si>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</si>
  <si>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</si>
  <si>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</si>
  <si>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</si>
  <si>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</si>
  <si>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</si>
  <si>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</si>
  <si>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</si>
  <si>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</si>
  <si>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</si>
  <si>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</si>
  <si>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</si>
  <si>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</si>
  <si>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</si>
  <si>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</si>
  <si>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</si>
  <si>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</si>
  <si>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</si>
  <si>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</si>
  <si>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</si>
  <si>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</si>
  <si>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</si>
  <si>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</si>
  <si>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</si>
  <si>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</si>
  <si>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</si>
  <si>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</si>
  <si>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</si>
  <si>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5.1 - Brownfield amenity (central estimate)</t>
  </si>
  <si>
    <t>5.2 - Additional feature amenity (central estimate)</t>
  </si>
  <si>
    <t>NET ENVIRONMENTAL IMPACT TOTAL (central estimate)</t>
  </si>
  <si>
    <t>Social value impact of brownfield development (low and high sensitivity estimates)</t>
  </si>
  <si>
    <t>These tables provide high and low estimates of the social value impact from the brownfield development of the option (in monetary terms) to use in sensitivity testing. The high and low estimates are based on the 95th percentile confidence intervals of household WTP estimates. Please see the individual calculations tabs for further information.</t>
  </si>
  <si>
    <t>5.1 - Brownfield amenity (low estimate)</t>
  </si>
  <si>
    <t>5.2 - Additional feature amenity (low estimate)</t>
  </si>
  <si>
    <t>NET ENVIRONMENTAL IMPACT TOTAL (low estimate)</t>
  </si>
  <si>
    <t>5.1 - Brownfield amenity (high estimate)</t>
  </si>
  <si>
    <t>5.2 - Additional feature amenity (high estimate)</t>
  </si>
  <si>
    <t>NET ENVIRONMENTAL IMPACT TOTAL (high estimate)</t>
  </si>
  <si>
    <t>Land Take - Brownfield amenity</t>
  </si>
  <si>
    <t>This tab contains the calculations for the social value impact of outcomes relating to brownfield disamenity removal.</t>
  </si>
  <si>
    <t>Method:
Step 1 – The user inputs the amount of brownfield land that will be removed in hectares (completed in tab 3).
Step 2 – The user inputs the condition of that brownfield land (i.e. structures will be remodelled/refurbished, will be removed/demolished, already removed/demolished) and the previous use of that site (residential, commercial, or industrial) (completed in tab 2).
Step 3 – The user inputs an estimate of the amount of brownfield land near the site (either by 2 mile radius, 4 mile radius, or LA area depending on the density of development near the site). Note that a default estimate for brownfield land in the LA area is applied if project-specific data is not available (completed in tab 3).
Step 4 – The tool calculates and applies the per household brownfield disamenity removal value from the lookup tables developed in the brownfield development research (eftec and SQW, 2022).
Step 5 – The tool estimates the affected population as the number of local households by distance bands from the intervention site, based on the (average) household density for the LA area, or uses the user-specified estimates if provided (tab 2).
Step 6 – The tool aggregates the per household disamenity removal values over the estimate of the affected population by distance to estimate the total annual impact value.
Step 7 – The tool takes this annual value, calculates a 10-year present value, and then amortises that figure in an equivalent annual value that can be used to estimate benefits over a longer time horizon. These benefits are discounted and aggregated over the appraisal period. Note: the original research (eftec and SQW, 2022) used a 10-year time horizon for benefits aggregation - see technical report for further explanation.</t>
  </si>
  <si>
    <r>
      <t xml:space="preserve">Key evidence: </t>
    </r>
    <r>
      <rPr>
        <sz val="10"/>
        <color theme="3"/>
        <rFont val="Calibri"/>
        <family val="2"/>
        <scheme val="minor"/>
      </rPr>
      <t>Brownfield development values (eftec and SQW, 2022)</t>
    </r>
  </si>
  <si>
    <r>
      <t xml:space="preserve">Sensitivities included in low, central, high estimates: </t>
    </r>
    <r>
      <rPr>
        <sz val="10"/>
        <color theme="3"/>
        <rFont val="Calibri"/>
        <family val="2"/>
        <scheme val="minor"/>
      </rPr>
      <t>Per household values used. Other sensitivities may also apply (see guidance document).</t>
    </r>
  </si>
  <si>
    <r>
      <t xml:space="preserve">RAG rating: </t>
    </r>
    <r>
      <rPr>
        <sz val="10"/>
        <color theme="3"/>
        <rFont val="Calibri"/>
        <family val="2"/>
        <scheme val="minor"/>
      </rPr>
      <t>Green. The brownfield values are based on recent (2022) research from a large scale study conducted specifically for Homes England.</t>
    </r>
  </si>
  <si>
    <t>Please refer to the brownfield development values technical report for further information.</t>
  </si>
  <si>
    <t>Calculations</t>
  </si>
  <si>
    <t>Steps 1-3: Inputs - brownfield currently on site</t>
  </si>
  <si>
    <t>Brownfield at project start</t>
  </si>
  <si>
    <t>Current conditon of buildings on site</t>
  </si>
  <si>
    <t>Profile of brownfield:</t>
  </si>
  <si>
    <t>Brownfield in the local area:</t>
  </si>
  <si>
    <t>Total Brownfield in the local authority</t>
  </si>
  <si>
    <t>Brownfield within 2 miles</t>
  </si>
  <si>
    <t>Brownfield within 4 miles</t>
  </si>
  <si>
    <t>Step 4: Estimated per household amenity values for brownfield redevelopment</t>
  </si>
  <si>
    <t>Central value</t>
  </si>
  <si>
    <t>Low value</t>
  </si>
  <si>
    <t>High value</t>
  </si>
  <si>
    <t>Base for brownfield disamenity value 
(£ / year)</t>
  </si>
  <si>
    <t>Local Brownfield to the site</t>
  </si>
  <si>
    <t>Area (hectares)</t>
  </si>
  <si>
    <t>Site as % of total</t>
  </si>
  <si>
    <t>Value (£ / year, central estimate)</t>
  </si>
  <si>
    <t>Value (£ / year, low estimate)</t>
  </si>
  <si>
    <t>Value (£ / year, high estimate)</t>
  </si>
  <si>
    <t>Local brownfield -  within a 2 mile radius of the site</t>
  </si>
  <si>
    <t>Local brownfield - within a 4 mile radius of the site</t>
  </si>
  <si>
    <t>Local authority brownfield</t>
  </si>
  <si>
    <t>Estimated amenity benefit for brownfield redevelopment - household values by distance (central estimate)</t>
  </si>
  <si>
    <t>Distance Band</t>
  </si>
  <si>
    <t>0-0.5 miles</t>
  </si>
  <si>
    <t>0.5-1 miles</t>
  </si>
  <si>
    <t>1-2 miles</t>
  </si>
  <si>
    <t>Units:</t>
  </si>
  <si>
    <t>Primary previous 
site use</t>
  </si>
  <si>
    <t>£/hh/year</t>
  </si>
  <si>
    <t>Note 1: All values are per year per household affected (within the distance band)</t>
  </si>
  <si>
    <t>Estimated amenity benefit for brownfield redevelopment - household values by distance (low estimate)</t>
  </si>
  <si>
    <t>Estimated amenity benefit for brownfield redevelopment - household values by distance (high estimate)</t>
  </si>
  <si>
    <t>Step 5-7: Amenity benefit for brownfield redevelopment - central estimates</t>
  </si>
  <si>
    <t>Value per household (£/hh/yr)</t>
  </si>
  <si>
    <t>Appraisal year</t>
  </si>
  <si>
    <t>Financial year</t>
  </si>
  <si>
    <t>Appraisal period toggle</t>
  </si>
  <si>
    <t>Brownfield removed (%)</t>
  </si>
  <si>
    <t>N/A</t>
  </si>
  <si>
    <t>Step 5-7: Amenity benefit for brownfield redevelopment - low estimates</t>
  </si>
  <si>
    <t>Step 5-7: Amenity benefit for brownfield redevelopment - high estimates</t>
  </si>
  <si>
    <t>Reference values - see "8.1 - Value look-up" for further detail and source</t>
  </si>
  <si>
    <t>Parameter / attribute</t>
  </si>
  <si>
    <t>WTP</t>
  </si>
  <si>
    <t>95% CI Lower Bound</t>
  </si>
  <si>
    <t>95% CI Upper Bound</t>
  </si>
  <si>
    <t>Unit</t>
  </si>
  <si>
    <t>residential</t>
  </si>
  <si>
    <t>commercial</t>
  </si>
  <si>
    <t>industrial</t>
  </si>
  <si>
    <t>will_be_removed</t>
  </si>
  <si>
    <t>al_removed</t>
  </si>
  <si>
    <t>reused</t>
  </si>
  <si>
    <t>log (dist)</t>
  </si>
  <si>
    <t>NOTE: The log(dist) parameters are applied to a ln function that takes a negative value. Therefore, the "lower" value is flipped with the "higher" value.</t>
  </si>
  <si>
    <t>log (Area)</t>
  </si>
  <si>
    <t>log (Area*Disance)</t>
  </si>
  <si>
    <t>SQ</t>
  </si>
  <si>
    <t>E</t>
  </si>
  <si>
    <t>Land take - Feature amenity</t>
  </si>
  <si>
    <t>This tab contains the calculations for the social value impact of outcomes relating to recreation feature amenity.</t>
  </si>
  <si>
    <t>Method: 
Step 1 – The user inputs the recreation features that will be added (completed in tab 3). The tool identifies which of those features has the greatest value using the lookup table results from eftec and SQW (2022).
Step 2 – The tool estimates the affected population as the number of local households by distance bands from the intervention site, based on the (average) household density for the LA area, or uses the user-specified estimates if provided (tab 2).
Step 3 – The tool aggregates the per household value over the estimate of the affected population to estimate the total annual impact value.
Step 4 – The tool takes this annual value, calculates a 10-year present value, and then amortises that figure in an equivalent annual value that can be used to estimate benefits over a longer time horizon. These benefits are discounted and aggregated over the appraisal period. Note: the original research (eftec and SQW, 2022) used a 10-year time horizon for benefits aggregation - see technical report for further explanation.</t>
  </si>
  <si>
    <r>
      <t xml:space="preserve">Key evidence: </t>
    </r>
    <r>
      <rPr>
        <sz val="10"/>
        <color theme="3"/>
        <rFont val="Calibri"/>
        <family val="2"/>
        <scheme val="minor"/>
      </rPr>
      <t>Brownfield development values, eftec and SQW (2022)</t>
    </r>
  </si>
  <si>
    <r>
      <t xml:space="preserve">RAG rating: </t>
    </r>
    <r>
      <rPr>
        <sz val="10"/>
        <color theme="3"/>
        <rFont val="Calibri"/>
        <family val="2"/>
        <scheme val="minor"/>
      </rPr>
      <t>Green. The additional and community feature values are based on recent (2022) research from a large scale study conducted specifically for Homes England.</t>
    </r>
  </si>
  <si>
    <t>Please refer to the appraisal guidance document for further information.</t>
  </si>
  <si>
    <t>Step 1a: Inputs - features added</t>
  </si>
  <si>
    <t>Additional features to be included on the redeveloped site:</t>
  </si>
  <si>
    <t>Year</t>
  </si>
  <si>
    <t>Childrens play area</t>
  </si>
  <si>
    <t>Step 1b: Amenity benefit from features on site - household value estimates</t>
  </si>
  <si>
    <t>Added Feature</t>
  </si>
  <si>
    <t>Per household annual value (central)</t>
  </si>
  <si>
    <t>Per household annual value (low)</t>
  </si>
  <si>
    <t>Per household annual value (high)</t>
  </si>
  <si>
    <t>Year Implemented</t>
  </si>
  <si>
    <t>YEAR</t>
  </si>
  <si>
    <t>Step 2-4: Amenity benefit from features on site - central estimate</t>
  </si>
  <si>
    <t>Value (£/hh/yr)</t>
  </si>
  <si>
    <t>Step 2-4: Amenity benefit from features on site - low estimate</t>
  </si>
  <si>
    <t>Step 2-4: Amenity benefit from features on site - high estimate</t>
  </si>
  <si>
    <t>WTP estimates - feature values</t>
  </si>
  <si>
    <t>Reference values</t>
  </si>
  <si>
    <t>Quantification and valuation data</t>
  </si>
  <si>
    <t>This tab is the general reference for monetary flows that are used throughout the calculation tabs.</t>
  </si>
  <si>
    <t>Key</t>
  </si>
  <si>
    <t>Valuation or monetary data</t>
  </si>
  <si>
    <t>Scaling factor or other function input</t>
  </si>
  <si>
    <t>Factors or coefficients used within equations or functions</t>
  </si>
  <si>
    <t>Other Look-up</t>
  </si>
  <si>
    <t>Unit look-ups are stored in separate look-up tabs in the workbook.</t>
  </si>
  <si>
    <t>Values in price year from original research / source</t>
  </si>
  <si>
    <t>Source of data and recommend updates</t>
  </si>
  <si>
    <t>Use of the value and other notes</t>
  </si>
  <si>
    <t>Impact Area</t>
  </si>
  <si>
    <t>Data description</t>
  </si>
  <si>
    <t>Original Value</t>
  </si>
  <si>
    <t>Lower CI</t>
  </si>
  <si>
    <t>Upper CI</t>
  </si>
  <si>
    <t>Source year (price year if relevant)</t>
  </si>
  <si>
    <t>Data type</t>
  </si>
  <si>
    <t>Data source</t>
  </si>
  <si>
    <t>Recommend value update</t>
  </si>
  <si>
    <t>Should be adjusted?</t>
  </si>
  <si>
    <t>Adjusted Value</t>
  </si>
  <si>
    <t>Check for whether the values are currently used in the workbook</t>
  </si>
  <si>
    <t>Other notes</t>
  </si>
  <si>
    <t>Brownfield amenity</t>
  </si>
  <si>
    <t>Value per hectare of residential land</t>
  </si>
  <si>
    <t>£ / hh / year</t>
  </si>
  <si>
    <t>Modelled household valuation data</t>
  </si>
  <si>
    <t>eftec and SQW (2022)</t>
  </si>
  <si>
    <t>Yes</t>
  </si>
  <si>
    <t>Value per hectare of commercial land</t>
  </si>
  <si>
    <t>Value per hectare of industrial land</t>
  </si>
  <si>
    <t>Value per hectare of brownfield land that requires buildings to be removed</t>
  </si>
  <si>
    <t>Value per hectare of brownfield land with structures that are already removed</t>
  </si>
  <si>
    <t>Value per hectare of brownfield land with structures that will be recused</t>
  </si>
  <si>
    <t>Brownfield disamenity value function parameter for the log of distance</t>
  </si>
  <si>
    <t>function parameter</t>
  </si>
  <si>
    <t>Brownfield disamenity value function parameter for the log of area</t>
  </si>
  <si>
    <t>Brownfield disamenity value function parameter for the log of area*distance</t>
  </si>
  <si>
    <t>The brownfield disamenity removal parameter - to be modified by the percentage of local brownfield</t>
  </si>
  <si>
    <t>Feature amenity</t>
  </si>
  <si>
    <t>Value for green open space as a part of a development</t>
  </si>
  <si>
    <t>Value for wildlife space as a part of a development</t>
  </si>
  <si>
    <t>Value for new walking path as a part of a development</t>
  </si>
  <si>
    <t>Value for new children's play area as a part of a development</t>
  </si>
  <si>
    <t>Value for new hardscaped space as a part of a development</t>
  </si>
  <si>
    <t>Value for new multi-use sports area as a part of a development</t>
  </si>
  <si>
    <t>Value for new sports pitch as a part of a development</t>
  </si>
  <si>
    <t>Value for new cycle path as a part of a development</t>
  </si>
  <si>
    <t>Value for new workout area as a part of a development</t>
  </si>
  <si>
    <t>Multiple</t>
  </si>
  <si>
    <t>GDP Deflators</t>
  </si>
  <si>
    <t>SEE TAB "6.2 - GDP deflators"</t>
  </si>
  <si>
    <t>Discount rates</t>
  </si>
  <si>
    <t>SEE TAB "6.3 - Discount rates"</t>
  </si>
  <si>
    <t>Number of brownfield sites and hectares of brownfield by local authority</t>
  </si>
  <si>
    <t>SEE TAB "6.4 - Hectares brownfield"</t>
  </si>
  <si>
    <t>Housing densities by local authority</t>
  </si>
  <si>
    <t>SEE TAB "6.5 - Housing densities"</t>
  </si>
  <si>
    <t>GDP deflator</t>
  </si>
  <si>
    <t>This tab provides the GDP deflators used throughout the tool when converting values to prices for the base appraisal year (as specified). This version of the tool uses the latest series available (March 2023) the source for which can be found below.</t>
  </si>
  <si>
    <t>Source: HM Treasury (2023)</t>
  </si>
  <si>
    <t>https://www.gov.uk/government/collections/gdp-deflators-at-market-prices-and-money-gdp</t>
  </si>
  <si>
    <t>GDP DEFLATORS AT MARKET PRICES, AND MONEY GDP</t>
  </si>
  <si>
    <t>Outturn data are as at the Quarterly National Accounts from ONS - last updated 22 December 2023.</t>
  </si>
  <si>
    <t>Forecast data are consistent with OBR Autumn Statement EFO data as at 22 November 2023.</t>
  </si>
  <si>
    <t>Calendar year</t>
  </si>
  <si>
    <t xml:space="preserve">GDP deflator at market prices </t>
  </si>
  <si>
    <r>
      <t>Money GDP</t>
    </r>
    <r>
      <rPr>
        <vertAlign val="superscript"/>
        <sz val="10"/>
        <rFont val="Calibri"/>
        <family val="2"/>
        <scheme val="minor"/>
      </rPr>
      <t xml:space="preserve"> (3), (4)</t>
    </r>
  </si>
  <si>
    <r>
      <t>Money GDP</t>
    </r>
    <r>
      <rPr>
        <vertAlign val="superscript"/>
        <sz val="10"/>
        <rFont val="Calibri"/>
        <family val="2"/>
        <scheme val="minor"/>
      </rPr>
      <t xml:space="preserve"> (3)</t>
    </r>
  </si>
  <si>
    <t>Calendar year lookup</t>
  </si>
  <si>
    <t>2022/23 = 100</t>
  </si>
  <si>
    <t>percent change on previous year</t>
  </si>
  <si>
    <t>Cash £ million
Non-Season-ally Adjusted</t>
  </si>
  <si>
    <t>Cash £ million
Seasonally Adjusted</t>
  </si>
  <si>
    <t>For 2022 = 100</t>
  </si>
  <si>
    <t>per cent change on previous year</t>
  </si>
  <si>
    <t>Cash £ million
Non-Seasonally Adjusted</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</si>
  <si>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</si>
  <si>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</si>
  <si>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</si>
  <si>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</si>
  <si>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</si>
  <si>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</si>
  <si>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</si>
  <si>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</si>
  <si>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</si>
  <si>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</si>
  <si>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</si>
  <si>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</si>
  <si>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</si>
  <si>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</si>
  <si>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</si>
  <si>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</si>
  <si>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</si>
  <si>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</si>
  <si>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</si>
  <si>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</si>
  <si>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</si>
  <si>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</si>
  <si>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</si>
  <si>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</si>
  <si>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</si>
  <si>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</si>
  <si>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</si>
  <si>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</si>
  <si>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</si>
  <si>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</si>
  <si>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</si>
  <si>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</si>
  <si>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</si>
  <si>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</si>
  <si>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</si>
  <si>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</si>
  <si>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</si>
  <si>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</si>
  <si>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</si>
  <si>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</si>
  <si>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</si>
  <si>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</si>
  <si>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</si>
  <si>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</si>
  <si>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</si>
  <si>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</si>
  <si>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</si>
  <si>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 xml:space="preserve">  </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</si>
  <si>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</si>
  <si>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</si>
  <si>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</si>
  <si>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</si>
  <si>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</si>
  <si>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</si>
  <si>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</si>
  <si>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</si>
  <si>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</si>
  <si>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</si>
  <si>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</si>
  <si>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</si>
  <si>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</si>
  <si>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</si>
  <si>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</si>
  <si>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</si>
  <si>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</si>
  <si>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</si>
  <si>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</si>
  <si>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</si>
  <si>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</si>
  <si>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</si>
  <si>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</si>
  <si>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</si>
  <si>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</si>
  <si>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</si>
  <si>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</si>
  <si>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Labelling edited</t>
  </si>
  <si>
    <t>Forecasted</t>
  </si>
  <si>
    <t>Sources and footnotes:</t>
  </si>
  <si>
    <t>GDP Deflator:</t>
  </si>
  <si>
    <t>Financial years 1955-56 to 2022-23 taken from ONS series L8GG in data tables: Table N.</t>
  </si>
  <si>
    <t>https://www.ons.gov.uk/file?uri=/economy/grossdomesticproductgdp/datasets/uksecondestimateofgdpdatatables/quarter3julytosept2023quarterlynationalaccounts/quarterlynationalaccountsdatatables.xlsx</t>
  </si>
  <si>
    <t>Calendar years 1955 to 2022 taken from ONS series MNF2 in data tables: Table O.</t>
  </si>
  <si>
    <t>For years 2023-24 to 2028-29 (2023 to 2028): taken from the Office for Budget Responsibility (OBR) GDP deflator forecasts as of November 2023 Economy Supplementary tables.</t>
  </si>
  <si>
    <t>https://obr.uk/efo/economic-and-fiscal-outlook-november-2023/</t>
  </si>
  <si>
    <t>Money GDP:</t>
  </si>
  <si>
    <t>For years 1955-56 to 2022-23 (1955 to 2022): ONS data for money GDP not seasonally adjusted series BKTL in data tables: Table N.</t>
  </si>
  <si>
    <t>For years 1955-56 to 2022-23: ONS data for money GDP seasonally adjusted series YBHA in data tables: Table N.</t>
  </si>
  <si>
    <t>For years 2023-24 to 2028-29 (2023 to 2028): taken from the Office for Budget Responsibility (OBR) GDP forecasts as of November 2023 Economy Supplementary tables.</t>
  </si>
  <si>
    <t>Footnotes:</t>
  </si>
  <si>
    <t>(1)</t>
  </si>
  <si>
    <t>For years 2023-24 to 2028-29 (2023 to 2028), this presentation only shows percentage changes in line with OBR data as of the Autumn Statement, November 2023.</t>
  </si>
  <si>
    <t>(2)</t>
  </si>
  <si>
    <t>For years 2023-24 to 2028-29 (2023 to 2028), money GDP forecasts from the OBR as of the Autumn Statement, November 2023.</t>
  </si>
  <si>
    <t>(3)</t>
  </si>
  <si>
    <t>Non-Seasonally adjusted money GDP (BKTL) from 1955-56 to 2022-23 (1955 to 2022) consistent with ONS Quarterly National Accounts release of 22 December 2023.</t>
  </si>
  <si>
    <t>(4)</t>
  </si>
  <si>
    <t>Seasonally adjusted money GDP (YBHA) from 1955-56 to 2022-23 consistent with ONS Quarterly National Accounts release of 22 December 2023.</t>
  </si>
  <si>
    <t>(5)</t>
  </si>
  <si>
    <t xml:space="preserve">For further information and the 'User's Guide' to these series, please visit the following page on the GOV.UK website at: </t>
  </si>
  <si>
    <t>https://www.gov.uk/government/publications/gross-domestic-product-gdp-deflators-user-guide</t>
  </si>
  <si>
    <t>(6)</t>
  </si>
  <si>
    <t xml:space="preserve">For practical examples of how to use the GDP deflator series, please visit the following page on the GOV.UK website at: </t>
  </si>
  <si>
    <t>https://www.gov.uk/government/publications/how-to-use-the-gdp-deflator-series-practical-examples</t>
  </si>
  <si>
    <t>Discount rates (per HM Treasury Green Book)</t>
  </si>
  <si>
    <t>Financial Year</t>
  </si>
  <si>
    <t>Year from base</t>
  </si>
  <si>
    <t>Standard discount rate</t>
  </si>
  <si>
    <t>3.5% Declining rate</t>
  </si>
  <si>
    <t>Discount factor</t>
  </si>
  <si>
    <t>Total discount factor</t>
  </si>
  <si>
    <t>Appraisal period (years)</t>
  </si>
  <si>
    <t>Brownfield sites by local authority</t>
  </si>
  <si>
    <t>Please see LA Brownfield Registers (2019) for original data. Available at: https://www.data.gov.uk/</t>
  </si>
  <si>
    <t>2021 Census Code</t>
  </si>
  <si>
    <t>2021 Census LA</t>
  </si>
  <si>
    <t># of brownfield sites</t>
  </si>
  <si>
    <t>% of total developable sites within LA</t>
  </si>
  <si>
    <t>Ha. of brownfield land available</t>
  </si>
  <si>
    <t>% of total developable area within LA</t>
  </si>
  <si>
    <t>Minimum new dwellings</t>
  </si>
  <si>
    <t>% of total within LA</t>
  </si>
  <si>
    <t>List validation check</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</si>
  <si>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</si>
  <si>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</si>
  <si>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</si>
  <si>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</si>
  <si>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</si>
  <si>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</si>
  <si>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</si>
  <si>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</si>
  <si>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</si>
  <si>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</si>
  <si>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</si>
  <si>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</si>
  <si>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</si>
  <si>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</si>
  <si>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</si>
  <si>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</si>
  <si>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</si>
  <si>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</si>
  <si>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</si>
  <si>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</si>
  <si>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</si>
  <si>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</si>
  <si>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</si>
  <si>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</si>
  <si>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</si>
  <si>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</si>
  <si>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</si>
  <si>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</si>
  <si>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</si>
  <si>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</si>
  <si>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</si>
  <si>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</si>
  <si>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</si>
  <si>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</si>
  <si>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</si>
  <si>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</si>
  <si>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</si>
  <si>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</si>
  <si>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</si>
  <si>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</si>
  <si>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</si>
  <si>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</si>
  <si>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</si>
  <si>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</si>
  <si>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</si>
  <si>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</si>
  <si>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</si>
  <si>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</si>
  <si>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</si>
  <si>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</si>
  <si>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</si>
  <si>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</si>
  <si>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</si>
  <si>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</si>
  <si>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</si>
  <si>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</si>
  <si>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</si>
  <si>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</si>
  <si>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</si>
  <si>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</si>
  <si>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</si>
  <si>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</si>
  <si>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</si>
  <si>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</si>
  <si>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</si>
  <si>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</si>
  <si>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</si>
  <si>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</si>
  <si>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</si>
  <si>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</si>
  <si>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</si>
  <si>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</si>
  <si>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</si>
  <si>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</si>
  <si>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</si>
  <si>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</si>
  <si>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</si>
  <si>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</si>
  <si>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</si>
  <si>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</si>
  <si>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</si>
  <si>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</si>
  <si>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</si>
  <si>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</si>
  <si>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</si>
  <si>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</si>
  <si>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</si>
  <si>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</si>
  <si>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</si>
  <si>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</si>
  <si>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</si>
  <si>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</si>
  <si>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</si>
  <si>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</si>
  <si>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</si>
  <si>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</si>
  <si>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</si>
  <si>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</si>
  <si>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E06000053</t>
  </si>
  <si>
    <t>Isles of Scilly</t>
  </si>
  <si>
    <t>E06000054</t>
  </si>
  <si>
    <t>Wiltshire</t>
  </si>
  <si>
    <t>E06000055</t>
  </si>
  <si>
    <t>Bedford</t>
  </si>
  <si>
    <t>E06000056</t>
  </si>
  <si>
    <t>Central Bedfordshire</t>
  </si>
  <si>
    <t>E06000057</t>
  </si>
  <si>
    <t>Northumberland</t>
  </si>
  <si>
    <t>E06000058</t>
  </si>
  <si>
    <t>Bournemouth, Christchurch and Poole</t>
  </si>
  <si>
    <t>E06000059</t>
  </si>
  <si>
    <t>Dorset</t>
  </si>
  <si>
    <t>E06000060</t>
  </si>
  <si>
    <t>Buckinghamshire</t>
  </si>
  <si>
    <t>Data not available</t>
  </si>
  <si>
    <t>E06000061</t>
  </si>
  <si>
    <t>North Northamptonshire</t>
  </si>
  <si>
    <t>E06000062</t>
  </si>
  <si>
    <t>West Northamptonshire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</si>
  <si>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</si>
  <si>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</si>
  <si>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</si>
  <si>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</si>
  <si>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</si>
  <si>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</si>
  <si>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</si>
  <si>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</si>
  <si>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</si>
  <si>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</si>
  <si>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</si>
  <si>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</si>
  <si>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</si>
  <si>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</si>
  <si>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</si>
  <si>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</si>
  <si>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</si>
  <si>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</si>
  <si>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</si>
  <si>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</si>
  <si>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</si>
  <si>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</si>
  <si>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</si>
  <si>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</si>
  <si>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</si>
  <si>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</si>
  <si>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</si>
  <si>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</si>
  <si>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</si>
  <si>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</si>
  <si>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</si>
  <si>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</si>
  <si>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</si>
  <si>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</si>
  <si>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</si>
  <si>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</si>
  <si>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</si>
  <si>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</si>
  <si>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</si>
  <si>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</si>
  <si>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</si>
  <si>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</si>
  <si>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</si>
  <si>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</si>
  <si>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</si>
  <si>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</si>
  <si>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</si>
  <si>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</si>
  <si>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</si>
  <si>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</si>
  <si>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</si>
  <si>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</si>
  <si>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</si>
  <si>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</si>
  <si>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</si>
  <si>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</si>
  <si>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</si>
  <si>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</si>
  <si>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</si>
  <si>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</si>
  <si>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</si>
  <si>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</si>
  <si>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</si>
  <si>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</si>
  <si>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</si>
  <si>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</si>
  <si>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</si>
  <si>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</si>
  <si>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</si>
  <si>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</si>
  <si>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</si>
  <si>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</si>
  <si>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</si>
  <si>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</si>
  <si>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</si>
  <si>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</si>
  <si>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</si>
  <si>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</si>
  <si>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</si>
  <si>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</si>
  <si>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</si>
  <si>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</si>
  <si>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</si>
  <si>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</si>
  <si>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</si>
  <si>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</si>
  <si>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</si>
  <si>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</si>
  <si>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</si>
  <si>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</si>
  <si>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</si>
  <si>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</si>
  <si>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</si>
  <si>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</si>
  <si>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</si>
  <si>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</si>
  <si>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</si>
  <si>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</si>
  <si>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</si>
  <si>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</si>
  <si>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</si>
  <si>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</si>
  <si>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</si>
  <si>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</si>
  <si>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</si>
  <si>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</si>
  <si>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</si>
  <si>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</si>
  <si>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</si>
  <si>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</si>
  <si>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</si>
  <si>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</si>
  <si>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</si>
  <si>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</si>
  <si>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</si>
  <si>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</si>
  <si>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</si>
  <si>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</si>
  <si>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</si>
  <si>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</si>
  <si>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</si>
  <si>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</si>
  <si>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</si>
  <si>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</si>
  <si>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</si>
  <si>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</si>
  <si>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</si>
  <si>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</si>
  <si>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</si>
  <si>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</si>
  <si>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</si>
  <si>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</si>
  <si>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</si>
  <si>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</si>
  <si>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</si>
  <si>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</si>
  <si>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</si>
  <si>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</si>
  <si>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</si>
  <si>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</si>
  <si>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</si>
  <si>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</si>
  <si>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</si>
  <si>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</si>
  <si>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</si>
  <si>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</si>
  <si>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</si>
  <si>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</si>
  <si>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</si>
  <si>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</si>
  <si>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</si>
  <si>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</si>
  <si>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</si>
  <si>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</si>
  <si>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</si>
  <si>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</si>
  <si>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</si>
  <si>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</si>
  <si>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</si>
  <si>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</si>
  <si>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</si>
  <si>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</si>
  <si>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</si>
  <si>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</si>
  <si>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</si>
  <si>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</si>
  <si>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</si>
  <si>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</si>
  <si>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</si>
  <si>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</si>
  <si>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</si>
  <si>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</si>
  <si>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</si>
  <si>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</si>
  <si>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</si>
  <si>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</si>
  <si>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</si>
  <si>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</si>
  <si>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</si>
  <si>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</si>
  <si>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</si>
  <si>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</si>
  <si>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</si>
  <si>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</si>
  <si>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</si>
  <si>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</si>
  <si>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</si>
  <si>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</si>
  <si>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</si>
  <si>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</si>
  <si>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</si>
  <si>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</si>
  <si>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</si>
  <si>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</si>
  <si>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</si>
  <si>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</si>
  <si>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</si>
  <si>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</si>
  <si>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</si>
  <si>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</si>
  <si>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</si>
  <si>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</si>
  <si>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</si>
  <si>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</si>
  <si>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</si>
  <si>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</si>
  <si>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</si>
  <si>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</si>
  <si>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</si>
  <si>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</si>
  <si>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</si>
  <si>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</si>
  <si>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</si>
  <si>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</si>
  <si>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</si>
  <si>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</si>
  <si>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</si>
  <si>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</si>
  <si>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</si>
  <si>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</si>
  <si>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</si>
  <si>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</si>
  <si>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</si>
  <si>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</si>
  <si>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</si>
  <si>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</si>
  <si>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</si>
  <si>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</si>
  <si>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</si>
  <si>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</si>
  <si>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</si>
  <si>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</si>
  <si>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</si>
  <si>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</si>
  <si>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</si>
  <si>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</si>
  <si>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</si>
  <si>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</si>
  <si>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</si>
  <si>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</si>
  <si>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</si>
  <si>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</si>
  <si>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</si>
  <si>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</si>
  <si>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</si>
  <si>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</si>
  <si>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</si>
  <si>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</si>
  <si>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</si>
  <si>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</si>
  <si>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</si>
  <si>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</si>
  <si>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</si>
  <si>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</si>
  <si>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</si>
  <si>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</si>
  <si>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</si>
  <si>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</si>
  <si>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</si>
  <si>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</si>
  <si>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</si>
  <si>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</si>
  <si>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</si>
  <si>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</si>
  <si>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</si>
  <si>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</si>
  <si>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</si>
  <si>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</si>
  <si>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</si>
  <si>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</si>
  <si>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</si>
  <si>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</si>
  <si>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</si>
  <si>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</si>
  <si>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</si>
  <si>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</si>
  <si>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</si>
  <si>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</si>
  <si>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</si>
  <si>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</si>
  <si>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</si>
  <si>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</si>
  <si>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</si>
  <si>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</si>
  <si>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</si>
  <si>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</si>
  <si>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</si>
  <si>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</si>
  <si>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</si>
  <si>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</si>
  <si>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</si>
  <si>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</si>
  <si>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</si>
  <si>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</si>
  <si>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</si>
  <si>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</si>
  <si>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</si>
  <si>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</si>
  <si>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</si>
  <si>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</si>
  <si>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</si>
  <si>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</si>
  <si>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</si>
  <si>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</si>
  <si>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</si>
  <si>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</si>
  <si>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</si>
  <si>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</si>
  <si>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</si>
  <si>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</si>
  <si>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</si>
  <si>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</si>
  <si>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</si>
  <si>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</si>
  <si>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</si>
  <si>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</si>
  <si>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</si>
  <si>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</si>
  <si>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</si>
  <si>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</si>
  <si>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</si>
  <si>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</si>
  <si>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</si>
  <si>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</si>
  <si>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</si>
  <si>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</si>
  <si>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</si>
  <si>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</si>
  <si>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</si>
  <si>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</si>
  <si>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</si>
  <si>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</si>
  <si>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</si>
  <si>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</si>
  <si>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</si>
  <si>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</si>
  <si>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</si>
  <si>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</si>
  <si>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</si>
  <si>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</si>
  <si>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</si>
  <si>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</si>
  <si>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</si>
  <si>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</si>
  <si>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</si>
  <si>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</si>
  <si>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</si>
  <si>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</si>
  <si>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</si>
  <si>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</si>
  <si>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</si>
  <si>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</si>
  <si>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</si>
  <si>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</si>
  <si>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</si>
  <si>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</si>
  <si>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</si>
  <si>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</si>
  <si>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</si>
  <si>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</si>
  <si>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</si>
  <si>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</si>
  <si>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</si>
  <si>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</si>
  <si>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</si>
  <si>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</si>
  <si>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</si>
  <si>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</si>
  <si>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</si>
  <si>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</si>
  <si>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</si>
  <si>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</si>
  <si>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</si>
  <si>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</si>
  <si>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</si>
  <si>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</si>
  <si>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</si>
  <si>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</si>
  <si>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</si>
  <si>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</si>
  <si>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</si>
  <si>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</si>
  <si>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</si>
  <si>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</si>
  <si>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</si>
  <si>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</si>
  <si>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</si>
  <si>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</si>
  <si>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</si>
  <si>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</si>
  <si>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</si>
  <si>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</si>
  <si>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</si>
  <si>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</si>
  <si>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</si>
  <si>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</si>
  <si>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</si>
  <si>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</si>
  <si>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</si>
  <si>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</si>
  <si>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</si>
  <si>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</si>
  <si>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</si>
  <si>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</si>
  <si>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</si>
  <si>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</si>
  <si>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</si>
  <si>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</si>
  <si>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</si>
  <si>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</si>
  <si>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</si>
  <si>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</si>
  <si>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</si>
  <si>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</si>
  <si>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</si>
  <si>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</si>
  <si>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</si>
  <si>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</si>
  <si>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</si>
  <si>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</si>
  <si>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</si>
  <si>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</si>
  <si>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</si>
  <si>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</si>
  <si>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</si>
  <si>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</si>
  <si>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</si>
  <si>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</si>
  <si>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</si>
  <si>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</si>
  <si>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</si>
  <si>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</si>
  <si>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</si>
  <si>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</si>
  <si>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</si>
  <si>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</si>
  <si>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</si>
  <si>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</si>
  <si>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</si>
  <si>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</si>
  <si>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</si>
  <si>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</si>
  <si>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</si>
  <si>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</si>
  <si>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</si>
  <si>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</si>
  <si>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</si>
  <si>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</si>
  <si>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</si>
  <si>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</si>
  <si>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</si>
  <si>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</si>
  <si>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</si>
  <si>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</si>
  <si>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</si>
  <si>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</si>
  <si>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</si>
  <si>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</si>
  <si>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</si>
  <si>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</si>
  <si>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</si>
  <si>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</si>
  <si>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</si>
  <si>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</si>
  <si>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</si>
  <si>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</si>
  <si>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</si>
  <si>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</si>
  <si>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</si>
  <si>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</si>
  <si>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</si>
  <si>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</si>
  <si>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</si>
  <si>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</si>
  <si>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</si>
  <si>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</si>
  <si>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</si>
  <si>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</si>
  <si>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</si>
  <si>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</si>
  <si>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</si>
  <si>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</si>
  <si>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</si>
  <si>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</si>
  <si>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</si>
  <si>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</si>
  <si>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</si>
  <si>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</si>
  <si>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</si>
  <si>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</si>
  <si>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</si>
  <si>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</si>
  <si>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</si>
  <si>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</si>
  <si>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</si>
  <si>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</si>
  <si>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</si>
  <si>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</si>
  <si>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</si>
  <si>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</si>
  <si>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Household densities by local authority and by region</t>
  </si>
  <si>
    <t>Population density based on ONS (2022) data for population data. Available at: https://www.ons.gov.uk/datasets/TS006/editions/2021/versions/4</t>
  </si>
  <si>
    <t>Households based on ONS data (2019) on households by area. Available at: https://www.ons.gov.uk/peoplepopulationandcommunity/birthsdeathsandmarriages/families/adhocs/13586estimatednumberofhouseholdsbyselectedhouseholdtypeslocalauthoritiesinenglandandwalescountiesandregionsofenglandscottishcouncilareasandgreatbritainconstituentcountries2004to2019</t>
  </si>
  <si>
    <t>Total area (square kilometres; ONS, 2022)</t>
  </si>
  <si>
    <t>Total area (square miles; ONS, 2022)</t>
  </si>
  <si>
    <t>Estimated total households</t>
  </si>
  <si>
    <t>Estimated households per square mile</t>
  </si>
  <si>
    <t>Estimated Pop (ONS, 2021 estimates)</t>
  </si>
  <si>
    <t>Persons per square mile</t>
  </si>
  <si>
    <t>Estimated persons per household</t>
  </si>
  <si>
    <t>Lookup lists</t>
  </si>
  <si>
    <t>Lists for data validation and lookups</t>
  </si>
  <si>
    <t>List of local authorities by region</t>
  </si>
  <si>
    <t>List of regions</t>
  </si>
  <si>
    <t>North East</t>
  </si>
  <si>
    <t>North West</t>
  </si>
  <si>
    <t>Yorkshire &amp; Humber</t>
  </si>
  <si>
    <t>East Midlands</t>
  </si>
  <si>
    <t>West Midlands</t>
  </si>
  <si>
    <t>East of England</t>
  </si>
  <si>
    <t>South East</t>
  </si>
  <si>
    <t>South West</t>
  </si>
  <si>
    <t>LA_Lookup_Northeast</t>
  </si>
  <si>
    <t>LA_Lookup_Northwest</t>
  </si>
  <si>
    <t>LA_Lookup_Yorkshire</t>
  </si>
  <si>
    <t>LA_Lookup_Eastmidlands</t>
  </si>
  <si>
    <t>LA_Lookup_Westmidlands</t>
  </si>
  <si>
    <t>LA_Lookup_EastEngland</t>
  </si>
  <si>
    <t>LA_Lookup_London</t>
  </si>
  <si>
    <t>LA_Lookup_Southeast</t>
  </si>
  <si>
    <t>LA_Lookup_Southwest</t>
  </si>
  <si>
    <t>List of appraisal periods</t>
  </si>
  <si>
    <t>List of appraisal and project start years</t>
  </si>
  <si>
    <t>2029/30</t>
  </si>
  <si>
    <t>2030/31</t>
  </si>
  <si>
    <t>2031/32</t>
  </si>
  <si>
    <t>2032/33</t>
  </si>
  <si>
    <t>2033/34</t>
  </si>
  <si>
    <t>2034/35</t>
  </si>
  <si>
    <t>2035/36</t>
  </si>
  <si>
    <t>2036/37</t>
  </si>
  <si>
    <t>2037/38</t>
  </si>
  <si>
    <t>2038/39</t>
  </si>
  <si>
    <t>2039/40</t>
  </si>
  <si>
    <t>2040/41</t>
  </si>
  <si>
    <t>2041/42</t>
  </si>
  <si>
    <t>2042/43</t>
  </si>
  <si>
    <t>Financial year and calendar year ranges</t>
  </si>
  <si>
    <t>Years from appraisal year</t>
  </si>
  <si>
    <t>Calendar Year</t>
  </si>
  <si>
    <t>Financial year - shortened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</si>
</sst>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Red]\-&quot;£&quot;#,##0.00"/>
    <numFmt numFmtId="41" formatCode="_-* #,##0_-;\-* #,##0_-;_-* &quot;-&quot;_-;_-@_-"/>
    <numFmt numFmtId="44" formatCode="_-&quot;£&quot;* #,##0.00_-;\-&quot;£&quot;* #,##0.00_-;_-&quot;£&quot;* &quot;-&quot;??_-;_-@_-"/>
    <numFmt numFmtId="43" formatCode="_-* #,##0.00_-;\-* #,##0.00_-;_-* &quot;-&quot;??_-;_-@_-"/>
    <numFmt numFmtId="164" formatCode="0.0"/>
    <numFmt numFmtId="165" formatCode="0.0%"/>
    <numFmt numFmtId="166" formatCode="0.000"/>
    <numFmt numFmtId="167" formatCode="0.0000"/>
    <numFmt numFmtId="168" formatCode="#\ ##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s>
  <fonts count="139" x14ac:knownFonts="1">
    <font>
      <sz val="11"/>
      <color theme="1"/>
      <name val="Calibri"/>
      <family val="2"/>
      <scheme val="minor"/>
    </font>
    <font>
      <u/>
      <sz val="11"/>
      <color theme="10"/>
      <name val="Calibri"/>
      <family val="2"/>
      <scheme val="minor"/>
    </font>
    <font>
      <sz val="10"/>
      <color theme="3"/>
      <name val="Open Sans"/>
      <family val="2"/>
    </font>
    <font>
      <sz val="10"/>
      <color theme="0"/>
      <name val="Open Sans"/>
      <family val="2"/>
    </font>
    <font>
      <b/>
      <sz val="10"/>
      <color theme="0"/>
      <name val="Open Sans"/>
      <family val="2"/>
    </font>
    <font>
      <b/>
      <sz val="14"/>
      <color theme="0"/>
      <name val="Open Sans"/>
      <family val="2"/>
    </font>
    <font>
      <b/>
      <sz val="10"/>
      <color theme="10"/>
      <name val="Open Sans"/>
      <family val="2"/>
    </font>
    <font>
      <sz val="10"/>
      <color theme="1"/>
      <name val="Open Sans"/>
      <family val="2"/>
    </font>
    <font>
      <b/>
      <sz val="10"/>
      <color theme="1"/>
      <name val="Open Sans"/>
      <family val="2"/>
    </font>
    <font>
      <sz val="11"/>
      <color theme="1"/>
      <name val="Calibri"/>
      <family val="2"/>
      <scheme val="minor"/>
    </font>
    <font>
      <sz val="8"/>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color theme="3"/>
      <name val="Calibri"/>
      <family val="2"/>
      <scheme val="minor"/>
    </font>
    <font>
      <b/>
      <sz val="10"/>
      <name val="Open Sans"/>
      <family val="2"/>
    </font>
    <font>
      <b/>
      <i/>
      <sz val="10"/>
      <color theme="3"/>
      <name val="Open Sans"/>
      <family val="2"/>
    </font>
    <font>
      <sz val="8"/>
      <name val="Arial"/>
      <family val="2"/>
    </font>
    <font>
      <sz val="10"/>
      <name val="Open Sans"/>
      <family val="2"/>
    </font>
    <font>
      <sz val="11"/>
      <color rgb="FF000000"/>
      <name val="Calibri"/>
      <family val="2"/>
      <scheme val="minor"/>
    </font>
    <font>
      <sz val="12"/>
      <color theme="1"/>
      <name val="Arial"/>
      <family val="2"/>
    </font>
    <font>
      <u/>
      <sz val="12"/>
      <color theme="10"/>
      <name val="Arial"/>
      <family val="2"/>
    </font>
    <font>
      <u/>
      <sz val="10"/>
      <color indexed="12"/>
      <name val="Arial"/>
      <family val="2"/>
    </font>
    <font>
      <sz val="10"/>
      <name val="Arial"/>
      <family val="2"/>
    </font>
    <font>
      <sz val="11"/>
      <color indexed="8"/>
      <name val="Calibri"/>
      <family val="2"/>
    </font>
    <font>
      <b/>
      <sz val="10"/>
      <name val="Arial"/>
      <family val="2"/>
    </font>
    <font>
      <i/>
      <sz val="10"/>
      <name val="Arial"/>
      <family val="2"/>
    </font>
    <font>
      <sz val="10"/>
      <name val="System"/>
    </font>
    <font>
      <sz val="10"/>
      <name val="System"/>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System"/>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0"/>
      <color theme="10"/>
      <name val="System"/>
      <family val="2"/>
    </font>
    <font>
      <u/>
      <sz val="11"/>
      <color theme="10"/>
      <name val="Calibri"/>
      <family val="2"/>
    </font>
    <font>
      <u/>
      <sz val="10"/>
      <color theme="10"/>
      <name val="Arial"/>
      <family val="2"/>
    </font>
    <font>
      <sz val="11"/>
      <name val="Calibri"/>
      <family val="2"/>
      <scheme val="minor"/>
    </font>
    <font>
      <sz val="11"/>
      <color rgb="FFFF0000"/>
      <name val="Calibri"/>
      <family val="2"/>
      <scheme val="minor"/>
    </font>
    <font>
      <sz val="10"/>
      <color theme="3"/>
      <name val="Calibri"/>
      <family val="2"/>
      <scheme val="minor"/>
    </font>
    <font>
      <b/>
      <sz val="10"/>
      <color theme="3"/>
      <name val="Calibri"/>
      <family val="2"/>
      <scheme val="minor"/>
    </font>
    <font>
      <b/>
      <sz val="14"/>
      <color theme="0"/>
      <name val="Calibri"/>
      <family val="2"/>
      <scheme val="minor"/>
    </font>
    <font>
      <b/>
      <sz val="10"/>
      <color theme="0"/>
      <name val="Calibri"/>
      <family val="2"/>
      <scheme val="minor"/>
    </font>
    <font>
      <b/>
      <sz val="10"/>
      <color theme="10"/>
      <name val="Calibri"/>
      <family val="2"/>
      <scheme val="minor"/>
    </font>
    <font>
      <b/>
      <sz val="10"/>
      <color theme="2"/>
      <name val="Calibri"/>
      <family val="2"/>
      <scheme val="minor"/>
    </font>
    <font>
      <sz val="10"/>
      <color theme="2"/>
      <name val="Calibri"/>
      <family val="2"/>
      <scheme val="minor"/>
    </font>
    <font>
      <sz val="10"/>
      <name val="Calibri"/>
      <family val="2"/>
      <scheme val="minor"/>
    </font>
    <font>
      <sz val="10"/>
      <color theme="0"/>
      <name val="Calibri"/>
      <family val="2"/>
      <scheme val="minor"/>
    </font>
    <font>
      <b/>
      <i/>
      <sz val="10"/>
      <color theme="3"/>
      <name val="Calibri"/>
      <family val="2"/>
      <scheme val="minor"/>
    </font>
    <font>
      <sz val="12"/>
      <color theme="3"/>
      <name val="Calibri"/>
      <family val="2"/>
      <scheme val="minor"/>
    </font>
    <font>
      <sz val="12"/>
      <name val="Calibri"/>
      <family val="2"/>
      <scheme val="minor"/>
    </font>
    <font>
      <u/>
      <sz val="10"/>
      <color theme="3"/>
      <name val="Calibri"/>
      <family val="2"/>
      <scheme val="minor"/>
    </font>
    <font>
      <b/>
      <i/>
      <sz val="12"/>
      <color theme="1"/>
      <name val="Calibri"/>
      <family val="2"/>
      <scheme val="minor"/>
    </font>
    <font>
      <b/>
      <sz val="12"/>
      <color theme="6"/>
      <name val="Calibri"/>
      <family val="2"/>
      <scheme val="minor"/>
    </font>
    <font>
      <i/>
      <sz val="10"/>
      <color theme="3"/>
      <name val="Calibri"/>
      <family val="2"/>
      <scheme val="minor"/>
    </font>
    <font>
      <b/>
      <i/>
      <sz val="10"/>
      <color theme="9" tint="-0.249977111117893"/>
      <name val="Calibri"/>
      <family val="2"/>
      <scheme val="minor"/>
    </font>
    <font>
      <b/>
      <sz val="12"/>
      <color rgb="FF005C59"/>
      <name val="Calibri"/>
      <family val="2"/>
      <scheme val="minor"/>
    </font>
    <font>
      <b/>
      <sz val="12"/>
      <color theme="2"/>
      <name val="Calibri"/>
      <family val="2"/>
      <scheme val="minor"/>
    </font>
    <font>
      <sz val="10"/>
      <color theme="1"/>
      <name val="Calibri"/>
      <family val="2"/>
      <scheme val="minor"/>
    </font>
    <font>
      <sz val="6"/>
      <color theme="3"/>
      <name val="Calibri"/>
      <family val="2"/>
      <scheme val="minor"/>
    </font>
    <font>
      <b/>
      <i/>
      <sz val="10"/>
      <color theme="1"/>
      <name val="Calibri"/>
      <family val="2"/>
      <scheme val="minor"/>
    </font>
    <font>
      <sz val="12"/>
      <color theme="1"/>
      <name val="Calibri"/>
      <family val="2"/>
      <scheme val="minor"/>
    </font>
    <font>
      <b/>
      <sz val="14"/>
      <color theme="2"/>
      <name val="Calibri"/>
      <family val="2"/>
      <scheme val="minor"/>
    </font>
    <font>
      <b/>
      <sz val="10"/>
      <color theme="1"/>
      <name val="Calibri"/>
      <family val="2"/>
      <scheme val="minor"/>
    </font>
    <font>
      <i/>
      <sz val="8"/>
      <color theme="3"/>
      <name val="Calibri"/>
      <family val="2"/>
      <scheme val="minor"/>
    </font>
    <font>
      <sz val="10"/>
      <color rgb="FF000000"/>
      <name val="Calibri"/>
      <family val="2"/>
      <scheme val="minor"/>
    </font>
    <font>
      <b/>
      <sz val="10"/>
      <name val="Calibri"/>
      <family val="2"/>
      <scheme val="minor"/>
    </font>
    <font>
      <sz val="24"/>
      <color rgb="FF008631"/>
      <name val="Calibri"/>
      <family val="2"/>
      <scheme val="minor"/>
    </font>
    <font>
      <u/>
      <sz val="10"/>
      <color theme="10"/>
      <name val="Calibri"/>
      <family val="2"/>
      <scheme val="minor"/>
    </font>
    <font>
      <b/>
      <u/>
      <sz val="10"/>
      <name val="Calibri"/>
      <family val="2"/>
      <scheme val="minor"/>
    </font>
    <font>
      <vertAlign val="superscript"/>
      <sz val="10"/>
      <name val="Calibri"/>
      <family val="2"/>
      <scheme val="minor"/>
    </font>
    <font>
      <vertAlign val="superscript"/>
      <sz val="10"/>
      <color theme="3"/>
      <name val="Calibri"/>
      <family val="2"/>
      <scheme val="minor"/>
    </font>
    <font>
      <sz val="10"/>
      <color rgb="FFFFFFFF"/>
      <name val="Calibri"/>
      <family val="2"/>
      <scheme val="minor"/>
    </font>
    <font>
      <b/>
      <i/>
      <sz val="10"/>
      <color rgb="FFFF0000"/>
      <name val="Calibri"/>
      <family val="2"/>
      <scheme val="minor"/>
    </font>
    <font>
      <b/>
      <sz val="11"/>
      <color rgb="FF005C59"/>
      <name val="Calibri"/>
      <family val="2"/>
      <scheme val="minor"/>
    </font>
    <font>
      <sz val="10"/>
      <color rgb="FFFF0000"/>
      <name val="Calibri"/>
      <family val="2"/>
      <scheme val="minor"/>
    </font>
    <font>
      <b/>
      <sz val="20"/>
      <color rgb="FF005C59"/>
      <name val="Calibri"/>
      <family val="2"/>
      <scheme val="minor"/>
    </font>
    <font>
      <b/>
      <sz val="9"/>
      <color theme="1"/>
      <name val="Calibri"/>
      <family val="2"/>
      <scheme val="minor"/>
    </font>
    <font>
      <i/>
      <sz val="10"/>
      <name val="Calibri"/>
      <family val="2"/>
      <scheme val="minor"/>
    </font>
    <font>
      <i/>
      <sz val="11"/>
      <color rgb="FF000000"/>
      <name val="Calibri"/>
      <family val="2"/>
      <scheme val="minor"/>
    </font>
  </fonts>
  <fills count="10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indexed="26"/>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9"/>
        <bgColor indexed="64"/>
      </patternFill>
    </fill>
    <fill>
      <patternFill patternType="solid">
        <fgColor rgb="FFFFCCCC"/>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0"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medium">
        <color rgb="FF005C59"/>
      </bottom>
      <diagonal/>
    </border>
  </borders>
  <cellStyleXfs count="483">
    <xf numFmtId="0" fontId="0" fillId="0" borderId="0"/>
    <xf numFmtId="0" fontId="1" fillId="0" borderId="0" applyNumberForma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5" applyNumberFormat="0" applyAlignment="0" applyProtection="0"/>
    <xf numFmtId="0" fontId="16"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6"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6"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6"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6"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6"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7" fillId="0" borderId="0"/>
    <xf numFmtId="0" fontId="18" fillId="35" borderId="7" applyNumberFormat="0" applyAlignment="0" applyProtection="0"/>
    <xf numFmtId="0" fontId="20" fillId="36" borderId="8" applyNumberFormat="0" applyProtection="0">
      <alignment vertical="center"/>
    </xf>
    <xf numFmtId="43" fontId="17" fillId="0" borderId="0" applyFont="0" applyFill="0" applyBorder="0" applyAlignment="0" applyProtection="0"/>
    <xf numFmtId="43" fontId="17"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alignment vertical="top"/>
      <protection locked="0"/>
    </xf>
    <xf numFmtId="0" fontId="18" fillId="37" borderId="4" applyNumberFormat="0" applyBorder="0" applyAlignment="0" applyProtection="0"/>
    <xf numFmtId="0" fontId="18" fillId="38" borderId="0">
      <alignment vertical="center"/>
    </xf>
    <xf numFmtId="0" fontId="18" fillId="39" borderId="9" applyNumberFormat="0" applyAlignment="0" applyProtection="0"/>
    <xf numFmtId="0" fontId="17" fillId="10" borderId="6" applyNumberFormat="0" applyFont="0" applyAlignment="0" applyProtection="0"/>
    <xf numFmtId="0" fontId="23" fillId="40" borderId="10" applyNumberFormat="0" applyAlignment="0" applyProtection="0"/>
    <xf numFmtId="9" fontId="24" fillId="0" borderId="0" applyFont="0" applyFill="0" applyBorder="0" applyAlignment="0" applyProtection="0"/>
    <xf numFmtId="0" fontId="18" fillId="41" borderId="11" applyNumberFormat="0" applyProtection="0">
      <alignment vertical="center"/>
    </xf>
    <xf numFmtId="0" fontId="23" fillId="42" borderId="0" applyNumberFormat="0" applyBorder="0" applyAlignment="0" applyProtection="0"/>
    <xf numFmtId="43" fontId="1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0" fontId="28" fillId="49" borderId="1" applyNumberFormat="0" applyBorder="0" applyAlignment="0" applyProtection="0"/>
    <xf numFmtId="0" fontId="9" fillId="0" borderId="0"/>
    <xf numFmtId="0" fontId="31" fillId="0" borderId="0"/>
    <xf numFmtId="0" fontId="18" fillId="0" borderId="0"/>
    <xf numFmtId="0" fontId="9" fillId="0" borderId="0"/>
    <xf numFmtId="0" fontId="32" fillId="0" borderId="0" applyNumberFormat="0" applyFill="0" applyBorder="0" applyAlignment="0" applyProtection="0"/>
    <xf numFmtId="0" fontId="9" fillId="0" borderId="0"/>
    <xf numFmtId="0" fontId="1" fillId="0" borderId="0" applyNumberFormat="0" applyFill="0" applyBorder="0" applyAlignment="0" applyProtection="0"/>
    <xf numFmtId="43" fontId="18" fillId="0" borderId="0" applyFont="0" applyFill="0" applyBorder="0" applyAlignment="0" applyProtection="0"/>
    <xf numFmtId="0" fontId="33" fillId="0" borderId="0" applyNumberFormat="0" applyFill="0" applyBorder="0" applyAlignment="0" applyProtection="0">
      <alignment vertical="top"/>
      <protection locked="0"/>
    </xf>
    <xf numFmtId="43" fontId="31" fillId="0" borderId="0" applyFont="0" applyFill="0" applyBorder="0" applyAlignment="0" applyProtection="0"/>
    <xf numFmtId="43" fontId="9" fillId="0" borderId="0" applyFont="0" applyFill="0" applyBorder="0" applyAlignment="0" applyProtection="0"/>
    <xf numFmtId="0" fontId="18" fillId="0" borderId="0"/>
    <xf numFmtId="0" fontId="9" fillId="0" borderId="0"/>
    <xf numFmtId="0" fontId="34" fillId="0" borderId="0"/>
    <xf numFmtId="0" fontId="18" fillId="0" borderId="0"/>
    <xf numFmtId="0" fontId="18" fillId="0" borderId="0"/>
    <xf numFmtId="0" fontId="18" fillId="0" borderId="0"/>
    <xf numFmtId="0" fontId="18" fillId="0" borderId="0"/>
    <xf numFmtId="0" fontId="57" fillId="0" borderId="79" applyNumberFormat="0" applyFill="0" applyProtection="0">
      <alignment horizontal="center"/>
    </xf>
    <xf numFmtId="164" fontId="18" fillId="0" borderId="0" applyFont="0" applyFill="0" applyBorder="0" applyProtection="0">
      <alignment horizontal="right"/>
    </xf>
    <xf numFmtId="164" fontId="18" fillId="0" borderId="0" applyFont="0" applyFill="0" applyBorder="0" applyProtection="0">
      <alignment horizontal="right"/>
    </xf>
    <xf numFmtId="0" fontId="35" fillId="58"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166" fontId="18" fillId="0" borderId="0" applyFont="0" applyFill="0" applyBorder="0" applyProtection="0">
      <alignment horizontal="right"/>
    </xf>
    <xf numFmtId="166" fontId="18" fillId="0" borderId="0" applyFont="0" applyFill="0" applyBorder="0" applyProtection="0">
      <alignment horizontal="right"/>
    </xf>
    <xf numFmtId="0" fontId="35" fillId="64"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167" fontId="18" fillId="0" borderId="0" applyFont="0" applyFill="0" applyBorder="0" applyProtection="0">
      <alignment horizontal="right"/>
    </xf>
    <xf numFmtId="167" fontId="18" fillId="0" borderId="0" applyFont="0" applyFill="0" applyBorder="0" applyProtection="0">
      <alignment horizontal="right"/>
    </xf>
    <xf numFmtId="0" fontId="40" fillId="68"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5" borderId="0" applyNumberFormat="0" applyBorder="0" applyAlignment="0" applyProtection="0"/>
    <xf numFmtId="0" fontId="41" fillId="59" borderId="0" applyNumberFormat="0" applyBorder="0" applyAlignment="0" applyProtection="0"/>
    <xf numFmtId="178" fontId="18" fillId="0" borderId="0" applyBorder="0"/>
    <xf numFmtId="0" fontId="42" fillId="76" borderId="80" applyNumberFormat="0" applyAlignment="0" applyProtection="0"/>
    <xf numFmtId="0" fontId="43" fillId="77" borderId="81" applyNumberFormat="0" applyAlignment="0" applyProtection="0"/>
    <xf numFmtId="167" fontId="58" fillId="0" borderId="0" applyFont="0" applyFill="0" applyBorder="0" applyProtection="0">
      <alignment horizontal="right"/>
    </xf>
    <xf numFmtId="169" fontId="58" fillId="0" borderId="0" applyFont="0" applyFill="0" applyBorder="0" applyProtection="0">
      <alignment horizontal="left"/>
    </xf>
    <xf numFmtId="43" fontId="18"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73" fillId="0" borderId="19" applyNumberFormat="0" applyBorder="0" applyAlignment="0" applyProtection="0">
      <alignment horizontal="right" vertical="center"/>
    </xf>
    <xf numFmtId="179" fontId="18" fillId="0" borderId="0" applyFont="0" applyFill="0" applyBorder="0" applyAlignment="0" applyProtection="0"/>
    <xf numFmtId="0" fontId="44" fillId="0" borderId="0" applyNumberFormat="0" applyFill="0" applyBorder="0" applyAlignment="0" applyProtection="0"/>
    <xf numFmtId="0" fontId="74" fillId="0" borderId="0">
      <alignment horizontal="right"/>
      <protection locked="0"/>
    </xf>
    <xf numFmtId="0" fontId="59" fillId="0" borderId="0">
      <alignment horizontal="left"/>
    </xf>
    <xf numFmtId="0" fontId="60"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0" fontId="45" fillId="60" borderId="0" applyNumberFormat="0" applyBorder="0" applyAlignment="0" applyProtection="0"/>
    <xf numFmtId="38" fontId="28" fillId="78" borderId="0" applyNumberFormat="0" applyBorder="0" applyAlignment="0" applyProtection="0"/>
    <xf numFmtId="0" fontId="61" fillId="79" borderId="82" applyProtection="0">
      <alignment horizontal="right"/>
    </xf>
    <xf numFmtId="0" fontId="62" fillId="79" borderId="0" applyProtection="0">
      <alignment horizontal="left"/>
    </xf>
    <xf numFmtId="0" fontId="46" fillId="0" borderId="83" applyNumberFormat="0" applyFill="0" applyAlignment="0" applyProtection="0"/>
    <xf numFmtId="0" fontId="75" fillId="0" borderId="0">
      <alignment vertical="top" wrapText="1"/>
    </xf>
    <xf numFmtId="0" fontId="75" fillId="0" borderId="0">
      <alignment vertical="top" wrapText="1"/>
    </xf>
    <xf numFmtId="0" fontId="75" fillId="0" borderId="0">
      <alignment vertical="top" wrapText="1"/>
    </xf>
    <xf numFmtId="0" fontId="75" fillId="0" borderId="0">
      <alignment vertical="top" wrapText="1"/>
    </xf>
    <xf numFmtId="0" fontId="47" fillId="0" borderId="84" applyNumberFormat="0" applyFill="0" applyAlignment="0" applyProtection="0"/>
    <xf numFmtId="170" fontId="76" fillId="0" borderId="0" applyNumberFormat="0" applyFill="0" applyAlignment="0" applyProtection="0"/>
    <xf numFmtId="0" fontId="48" fillId="0" borderId="85" applyNumberFormat="0" applyFill="0" applyAlignment="0" applyProtection="0"/>
    <xf numFmtId="170" fontId="77" fillId="0" borderId="0" applyNumberFormat="0" applyFill="0" applyAlignment="0" applyProtection="0"/>
    <xf numFmtId="0" fontId="48" fillId="0" borderId="0" applyNumberFormat="0" applyFill="0" applyBorder="0" applyAlignment="0" applyProtection="0"/>
    <xf numFmtId="170" fontId="36" fillId="0" borderId="0" applyNumberFormat="0" applyFill="0" applyAlignment="0" applyProtection="0"/>
    <xf numFmtId="170" fontId="63" fillId="0" borderId="0" applyNumberFormat="0" applyFill="0" applyAlignment="0" applyProtection="0"/>
    <xf numFmtId="170" fontId="37" fillId="0" borderId="0" applyNumberFormat="0" applyFill="0" applyAlignment="0" applyProtection="0"/>
    <xf numFmtId="170" fontId="37" fillId="0" borderId="0" applyNumberFormat="0" applyFont="0" applyFill="0" applyBorder="0" applyAlignment="0" applyProtection="0"/>
    <xf numFmtId="170" fontId="37" fillId="0" borderId="0" applyNumberFormat="0" applyFont="0" applyFill="0" applyBorder="0" applyAlignment="0" applyProtection="0"/>
    <xf numFmtId="0" fontId="9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4" fillId="0" borderId="0" applyFill="0" applyBorder="0" applyProtection="0">
      <alignment horizontal="left"/>
    </xf>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49" fillId="63" borderId="80" applyNumberFormat="0" applyAlignment="0" applyProtection="0"/>
    <xf numFmtId="0" fontId="61" fillId="0" borderId="86" applyProtection="0">
      <alignment horizontal="right"/>
    </xf>
    <xf numFmtId="0" fontId="61" fillId="0" borderId="82" applyProtection="0">
      <alignment horizontal="right"/>
    </xf>
    <xf numFmtId="0" fontId="61" fillId="0" borderId="87" applyProtection="0">
      <alignment horizontal="center"/>
      <protection locked="0"/>
    </xf>
    <xf numFmtId="0" fontId="50" fillId="0" borderId="88" applyNumberFormat="0" applyFill="0" applyAlignment="0" applyProtection="0"/>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51" fillId="80"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168" fontId="39" fillId="0" borderId="0"/>
    <xf numFmtId="0" fontId="18" fillId="0" borderId="0">
      <alignment vertical="top"/>
    </xf>
    <xf numFmtId="0" fontId="9" fillId="0" borderId="0"/>
    <xf numFmtId="0" fontId="9" fillId="0" borderId="0"/>
    <xf numFmtId="0" fontId="9" fillId="0" borderId="0"/>
    <xf numFmtId="0" fontId="9" fillId="0" borderId="0"/>
    <xf numFmtId="0" fontId="1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alignment vertical="top"/>
    </xf>
    <xf numFmtId="0" fontId="9" fillId="0" borderId="0"/>
    <xf numFmtId="0" fontId="18" fillId="0" borderId="0">
      <alignment vertical="top"/>
    </xf>
    <xf numFmtId="0" fontId="9" fillId="0" borderId="0"/>
    <xf numFmtId="0" fontId="18" fillId="0" borderId="0">
      <alignment vertical="top"/>
    </xf>
    <xf numFmtId="0" fontId="9" fillId="0" borderId="0"/>
    <xf numFmtId="0" fontId="18" fillId="0" borderId="0">
      <alignment vertical="top"/>
    </xf>
    <xf numFmtId="0" fontId="9" fillId="0" borderId="0"/>
    <xf numFmtId="168" fontId="39" fillId="0" borderId="0"/>
    <xf numFmtId="0" fontId="18" fillId="0" borderId="0">
      <alignment vertical="top"/>
    </xf>
    <xf numFmtId="0" fontId="9" fillId="0" borderId="0"/>
    <xf numFmtId="0" fontId="18" fillId="0" borderId="0">
      <alignment vertical="top"/>
    </xf>
    <xf numFmtId="168" fontId="38" fillId="0" borderId="0"/>
    <xf numFmtId="0" fontId="9" fillId="0" borderId="0"/>
    <xf numFmtId="0" fontId="18" fillId="0" borderId="0">
      <alignment vertical="top"/>
    </xf>
    <xf numFmtId="0" fontId="9" fillId="0" borderId="0"/>
    <xf numFmtId="0" fontId="9" fillId="0" borderId="0"/>
    <xf numFmtId="0" fontId="18" fillId="0" borderId="0">
      <alignment vertical="top"/>
    </xf>
    <xf numFmtId="0" fontId="34" fillId="0" borderId="0"/>
    <xf numFmtId="168" fontId="39" fillId="0" borderId="0"/>
    <xf numFmtId="0" fontId="35" fillId="0" borderId="0"/>
    <xf numFmtId="0" fontId="18" fillId="0" borderId="0"/>
    <xf numFmtId="0" fontId="9" fillId="0" borderId="0"/>
    <xf numFmtId="0" fontId="18" fillId="0" borderId="0">
      <alignment vertical="top"/>
    </xf>
    <xf numFmtId="0" fontId="9"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18" fillId="0" borderId="0"/>
    <xf numFmtId="168" fontId="39" fillId="0" borderId="0"/>
    <xf numFmtId="0" fontId="65" fillId="0" borderId="0"/>
    <xf numFmtId="0" fontId="17" fillId="0" borderId="0"/>
    <xf numFmtId="168" fontId="39" fillId="0" borderId="0"/>
    <xf numFmtId="0" fontId="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168" fontId="39"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18" fillId="0" borderId="0"/>
    <xf numFmtId="0" fontId="9" fillId="0" borderId="0"/>
    <xf numFmtId="168" fontId="39" fillId="0" borderId="0"/>
    <xf numFmtId="0" fontId="18" fillId="0" borderId="0"/>
    <xf numFmtId="168" fontId="38" fillId="0" borderId="0"/>
    <xf numFmtId="0" fontId="18" fillId="0" borderId="0"/>
    <xf numFmtId="0" fontId="18" fillId="0" borderId="0"/>
    <xf numFmtId="168" fontId="39" fillId="0" borderId="0"/>
    <xf numFmtId="0" fontId="18" fillId="0" borderId="0">
      <alignment vertical="top"/>
    </xf>
    <xf numFmtId="168" fontId="39" fillId="0" borderId="0"/>
    <xf numFmtId="0" fontId="18" fillId="0" borderId="0">
      <alignment vertical="top"/>
    </xf>
    <xf numFmtId="168" fontId="39" fillId="0" borderId="0"/>
    <xf numFmtId="0" fontId="18" fillId="0" borderId="0">
      <alignment vertical="top"/>
    </xf>
    <xf numFmtId="168" fontId="39" fillId="0" borderId="0"/>
    <xf numFmtId="0" fontId="18" fillId="0" borderId="0">
      <alignment vertical="top"/>
    </xf>
    <xf numFmtId="0" fontId="18" fillId="81" borderId="89" applyNumberFormat="0" applyFont="0" applyAlignment="0" applyProtection="0"/>
    <xf numFmtId="0" fontId="9" fillId="10" borderId="6" applyNumberFormat="0" applyFont="0" applyAlignment="0" applyProtection="0"/>
    <xf numFmtId="0" fontId="52" fillId="76" borderId="90" applyNumberFormat="0" applyAlignment="0" applyProtection="0"/>
    <xf numFmtId="40" fontId="79" fillId="82" borderId="0">
      <alignment horizontal="right"/>
    </xf>
    <xf numFmtId="0" fontId="80" fillId="82" borderId="0">
      <alignment horizontal="right"/>
    </xf>
    <xf numFmtId="0" fontId="81" fillId="82" borderId="17"/>
    <xf numFmtId="0" fontId="81" fillId="0" borderId="0" applyBorder="0">
      <alignment horizontal="centerContinuous"/>
    </xf>
    <xf numFmtId="0" fontId="82" fillId="0" borderId="0" applyBorder="0">
      <alignment horizontal="centerContinuous"/>
    </xf>
    <xf numFmtId="171" fontId="18" fillId="0" borderId="0" applyFont="0" applyFill="0" applyBorder="0" applyProtection="0">
      <alignment horizontal="right"/>
    </xf>
    <xf numFmtId="171"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8" fillId="0" borderId="0"/>
    <xf numFmtId="2" fontId="83" fillId="83" borderId="3" applyAlignment="0" applyProtection="0">
      <protection locked="0"/>
    </xf>
    <xf numFmtId="0" fontId="84" fillId="49" borderId="3" applyNumberFormat="0" applyAlignment="0" applyProtection="0"/>
    <xf numFmtId="0" fontId="85" fillId="84" borderId="1" applyNumberFormat="0" applyAlignment="0" applyProtection="0">
      <alignment horizontal="center" vertical="center"/>
    </xf>
    <xf numFmtId="4" fontId="65" fillId="85" borderId="90" applyNumberFormat="0" applyProtection="0">
      <alignment vertical="center"/>
    </xf>
    <xf numFmtId="4" fontId="86" fillId="85" borderId="90" applyNumberFormat="0" applyProtection="0">
      <alignment vertical="center"/>
    </xf>
    <xf numFmtId="4" fontId="65" fillId="85" borderId="90" applyNumberFormat="0" applyProtection="0">
      <alignment horizontal="left" vertical="center" indent="1"/>
    </xf>
    <xf numFmtId="4" fontId="65" fillId="85" borderId="90" applyNumberFormat="0" applyProtection="0">
      <alignment horizontal="left" vertical="center" indent="1"/>
    </xf>
    <xf numFmtId="0" fontId="18" fillId="86" borderId="90" applyNumberFormat="0" applyProtection="0">
      <alignment horizontal="left" vertical="center" indent="1"/>
    </xf>
    <xf numFmtId="4" fontId="65" fillId="87" borderId="90" applyNumberFormat="0" applyProtection="0">
      <alignment horizontal="right" vertical="center"/>
    </xf>
    <xf numFmtId="4" fontId="65" fillId="88" borderId="90" applyNumberFormat="0" applyProtection="0">
      <alignment horizontal="right" vertical="center"/>
    </xf>
    <xf numFmtId="4" fontId="65" fillId="89" borderId="90" applyNumberFormat="0" applyProtection="0">
      <alignment horizontal="right" vertical="center"/>
    </xf>
    <xf numFmtId="4" fontId="65" fillId="90" borderId="90" applyNumberFormat="0" applyProtection="0">
      <alignment horizontal="right" vertical="center"/>
    </xf>
    <xf numFmtId="4" fontId="65" fillId="91" borderId="90" applyNumberFormat="0" applyProtection="0">
      <alignment horizontal="right" vertical="center"/>
    </xf>
    <xf numFmtId="4" fontId="65" fillId="92" borderId="90" applyNumberFormat="0" applyProtection="0">
      <alignment horizontal="right" vertical="center"/>
    </xf>
    <xf numFmtId="4" fontId="65" fillId="93" borderId="90" applyNumberFormat="0" applyProtection="0">
      <alignment horizontal="right" vertical="center"/>
    </xf>
    <xf numFmtId="4" fontId="65" fillId="94" borderId="90" applyNumberFormat="0" applyProtection="0">
      <alignment horizontal="right" vertical="center"/>
    </xf>
    <xf numFmtId="4" fontId="65" fillId="95" borderId="90" applyNumberFormat="0" applyProtection="0">
      <alignment horizontal="right" vertical="center"/>
    </xf>
    <xf numFmtId="4" fontId="87" fillId="96" borderId="90" applyNumberFormat="0" applyProtection="0">
      <alignment horizontal="left" vertical="center" indent="1"/>
    </xf>
    <xf numFmtId="4" fontId="65" fillId="97" borderId="91" applyNumberFormat="0" applyProtection="0">
      <alignment horizontal="left" vertical="center" indent="1"/>
    </xf>
    <xf numFmtId="4" fontId="88" fillId="98" borderId="0" applyNumberFormat="0" applyProtection="0">
      <alignment horizontal="left" vertical="center" indent="1"/>
    </xf>
    <xf numFmtId="0" fontId="18" fillId="86" borderId="90" applyNumberFormat="0" applyProtection="0">
      <alignment horizontal="left" vertical="center" indent="1"/>
    </xf>
    <xf numFmtId="4" fontId="65" fillId="97" borderId="90" applyNumberFormat="0" applyProtection="0">
      <alignment horizontal="left" vertical="center" indent="1"/>
    </xf>
    <xf numFmtId="4" fontId="65" fillId="99" borderId="90" applyNumberFormat="0" applyProtection="0">
      <alignment horizontal="left" vertical="center" indent="1"/>
    </xf>
    <xf numFmtId="0" fontId="18" fillId="99" borderId="90" applyNumberFormat="0" applyProtection="0">
      <alignment horizontal="left" vertical="center" indent="1"/>
    </xf>
    <xf numFmtId="0" fontId="18" fillId="99" borderId="90" applyNumberFormat="0" applyProtection="0">
      <alignment horizontal="left" vertical="center" indent="1"/>
    </xf>
    <xf numFmtId="0" fontId="18" fillId="84" borderId="90" applyNumberFormat="0" applyProtection="0">
      <alignment horizontal="left" vertical="center" indent="1"/>
    </xf>
    <xf numFmtId="0" fontId="18" fillId="84" borderId="90" applyNumberFormat="0" applyProtection="0">
      <alignment horizontal="left" vertical="center" indent="1"/>
    </xf>
    <xf numFmtId="0" fontId="18" fillId="78" borderId="90" applyNumberFormat="0" applyProtection="0">
      <alignment horizontal="left" vertical="center" indent="1"/>
    </xf>
    <xf numFmtId="0" fontId="18" fillId="78" borderId="90" applyNumberFormat="0" applyProtection="0">
      <alignment horizontal="left" vertical="center" indent="1"/>
    </xf>
    <xf numFmtId="0" fontId="18" fillId="86" borderId="90" applyNumberFormat="0" applyProtection="0">
      <alignment horizontal="left" vertical="center" indent="1"/>
    </xf>
    <xf numFmtId="0" fontId="18" fillId="86" borderId="90" applyNumberFormat="0" applyProtection="0">
      <alignment horizontal="left" vertical="center" indent="1"/>
    </xf>
    <xf numFmtId="4" fontId="65" fillId="49" borderId="90" applyNumberFormat="0" applyProtection="0">
      <alignment vertical="center"/>
    </xf>
    <xf numFmtId="4" fontId="86" fillId="49" borderId="90" applyNumberFormat="0" applyProtection="0">
      <alignment vertical="center"/>
    </xf>
    <xf numFmtId="4" fontId="65" fillId="49" borderId="90" applyNumberFormat="0" applyProtection="0">
      <alignment horizontal="left" vertical="center" indent="1"/>
    </xf>
    <xf numFmtId="4" fontId="65" fillId="49" borderId="90" applyNumberFormat="0" applyProtection="0">
      <alignment horizontal="left" vertical="center" indent="1"/>
    </xf>
    <xf numFmtId="4" fontId="65" fillId="97" borderId="90" applyNumberFormat="0" applyProtection="0">
      <alignment horizontal="right" vertical="center"/>
    </xf>
    <xf numFmtId="4" fontId="86" fillId="97" borderId="90" applyNumberFormat="0" applyProtection="0">
      <alignment horizontal="right" vertical="center"/>
    </xf>
    <xf numFmtId="0" fontId="18" fillId="86" borderId="90" applyNumberFormat="0" applyProtection="0">
      <alignment horizontal="left" vertical="center" indent="1"/>
    </xf>
    <xf numFmtId="0" fontId="18" fillId="86" borderId="90" applyNumberFormat="0" applyProtection="0">
      <alignment horizontal="left" vertical="center" indent="1"/>
    </xf>
    <xf numFmtId="0" fontId="89" fillId="0" borderId="0"/>
    <xf numFmtId="4" fontId="90" fillId="97" borderId="90" applyNumberFormat="0" applyProtection="0">
      <alignment horizontal="right" vertical="center"/>
    </xf>
    <xf numFmtId="0" fontId="18" fillId="0" borderId="0"/>
    <xf numFmtId="0" fontId="66" fillId="82" borderId="16">
      <alignment horizontal="center"/>
    </xf>
    <xf numFmtId="3" fontId="67" fillId="82" borderId="0"/>
    <xf numFmtId="3" fontId="66" fillId="82" borderId="0"/>
    <xf numFmtId="0" fontId="67" fillId="82" borderId="0"/>
    <xf numFmtId="0" fontId="66" fillId="82" borderId="0"/>
    <xf numFmtId="0" fontId="67" fillId="82" borderId="0">
      <alignment horizontal="center"/>
    </xf>
    <xf numFmtId="0" fontId="68" fillId="0" borderId="0">
      <alignment wrapText="1"/>
    </xf>
    <xf numFmtId="0" fontId="68" fillId="0" borderId="0">
      <alignment wrapText="1"/>
    </xf>
    <xf numFmtId="0" fontId="68" fillId="0" borderId="0">
      <alignment wrapText="1"/>
    </xf>
    <xf numFmtId="0" fontId="68" fillId="0" borderId="0">
      <alignment wrapText="1"/>
    </xf>
    <xf numFmtId="0" fontId="69" fillId="100" borderId="0">
      <alignment horizontal="right" vertical="top" wrapText="1"/>
    </xf>
    <xf numFmtId="0" fontId="69" fillId="100" borderId="0">
      <alignment horizontal="right" vertical="top" wrapText="1"/>
    </xf>
    <xf numFmtId="0" fontId="69" fillId="100" borderId="0">
      <alignment horizontal="right" vertical="top" wrapText="1"/>
    </xf>
    <xf numFmtId="0" fontId="69" fillId="100" borderId="0">
      <alignment horizontal="right" vertical="top" wrapText="1"/>
    </xf>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2" fillId="0" borderId="0"/>
    <xf numFmtId="0" fontId="72" fillId="0" borderId="0"/>
    <xf numFmtId="0" fontId="72" fillId="0" borderId="0"/>
    <xf numFmtId="172" fontId="28" fillId="0" borderId="0">
      <alignment wrapText="1"/>
      <protection locked="0"/>
    </xf>
    <xf numFmtId="172" fontId="28" fillId="0" borderId="0">
      <alignment wrapText="1"/>
      <protection locked="0"/>
    </xf>
    <xf numFmtId="172" fontId="69" fillId="101" borderId="0">
      <alignment wrapText="1"/>
      <protection locked="0"/>
    </xf>
    <xf numFmtId="172" fontId="69" fillId="101" borderId="0">
      <alignment wrapText="1"/>
      <protection locked="0"/>
    </xf>
    <xf numFmtId="172" fontId="69" fillId="101" borderId="0">
      <alignment wrapText="1"/>
      <protection locked="0"/>
    </xf>
    <xf numFmtId="172" fontId="69" fillId="101" borderId="0">
      <alignment wrapText="1"/>
      <protection locked="0"/>
    </xf>
    <xf numFmtId="172" fontId="28" fillId="0" borderId="0">
      <alignment wrapText="1"/>
      <protection locked="0"/>
    </xf>
    <xf numFmtId="173" fontId="28" fillId="0" borderId="0">
      <alignment wrapText="1"/>
      <protection locked="0"/>
    </xf>
    <xf numFmtId="173" fontId="28" fillId="0" borderId="0">
      <alignment wrapText="1"/>
      <protection locked="0"/>
    </xf>
    <xf numFmtId="173" fontId="28" fillId="0" borderId="0">
      <alignment wrapText="1"/>
      <protection locked="0"/>
    </xf>
    <xf numFmtId="173" fontId="69" fillId="101" borderId="0">
      <alignment wrapText="1"/>
      <protection locked="0"/>
    </xf>
    <xf numFmtId="173" fontId="69" fillId="101" borderId="0">
      <alignment wrapText="1"/>
      <protection locked="0"/>
    </xf>
    <xf numFmtId="173" fontId="69" fillId="101" borderId="0">
      <alignment wrapText="1"/>
      <protection locked="0"/>
    </xf>
    <xf numFmtId="173" fontId="69" fillId="101" borderId="0">
      <alignment wrapText="1"/>
      <protection locked="0"/>
    </xf>
    <xf numFmtId="173" fontId="69" fillId="101" borderId="0">
      <alignment wrapText="1"/>
      <protection locked="0"/>
    </xf>
    <xf numFmtId="173" fontId="28" fillId="0" borderId="0">
      <alignment wrapText="1"/>
      <protection locked="0"/>
    </xf>
    <xf numFmtId="174" fontId="28" fillId="0" borderId="0">
      <alignment wrapText="1"/>
      <protection locked="0"/>
    </xf>
    <xf numFmtId="174" fontId="28" fillId="0" borderId="0">
      <alignment wrapText="1"/>
      <protection locked="0"/>
    </xf>
    <xf numFmtId="174" fontId="69" fillId="101" borderId="0">
      <alignment wrapText="1"/>
      <protection locked="0"/>
    </xf>
    <xf numFmtId="174" fontId="69" fillId="101" borderId="0">
      <alignment wrapText="1"/>
      <protection locked="0"/>
    </xf>
    <xf numFmtId="174" fontId="69" fillId="101" borderId="0">
      <alignment wrapText="1"/>
      <protection locked="0"/>
    </xf>
    <xf numFmtId="174" fontId="69" fillId="101" borderId="0">
      <alignment wrapText="1"/>
      <protection locked="0"/>
    </xf>
    <xf numFmtId="174" fontId="28" fillId="0" borderId="0">
      <alignment wrapText="1"/>
      <protection locked="0"/>
    </xf>
    <xf numFmtId="175" fontId="69" fillId="100" borderId="92">
      <alignment wrapText="1"/>
    </xf>
    <xf numFmtId="175" fontId="69" fillId="100" borderId="92">
      <alignment wrapText="1"/>
    </xf>
    <xf numFmtId="175" fontId="69" fillId="100" borderId="92">
      <alignment wrapText="1"/>
    </xf>
    <xf numFmtId="176" fontId="69" fillId="100" borderId="92">
      <alignment wrapText="1"/>
    </xf>
    <xf numFmtId="176" fontId="69" fillId="100" borderId="92">
      <alignment wrapText="1"/>
    </xf>
    <xf numFmtId="176" fontId="69" fillId="100" borderId="92">
      <alignment wrapText="1"/>
    </xf>
    <xf numFmtId="176" fontId="69" fillId="100" borderId="92">
      <alignment wrapText="1"/>
    </xf>
    <xf numFmtId="177" fontId="69" fillId="100" borderId="92">
      <alignment wrapText="1"/>
    </xf>
    <xf numFmtId="177" fontId="69" fillId="100" borderId="92">
      <alignment wrapText="1"/>
    </xf>
    <xf numFmtId="177" fontId="69" fillId="100" borderId="92">
      <alignment wrapText="1"/>
    </xf>
    <xf numFmtId="0" fontId="70" fillId="0" borderId="93">
      <alignment horizontal="right"/>
    </xf>
    <xf numFmtId="0" fontId="70" fillId="0" borderId="93">
      <alignment horizontal="right"/>
    </xf>
    <xf numFmtId="0" fontId="70" fillId="0" borderId="93">
      <alignment horizontal="right"/>
    </xf>
    <xf numFmtId="0" fontId="70" fillId="0" borderId="93">
      <alignment horizontal="right"/>
    </xf>
    <xf numFmtId="40" fontId="91" fillId="0" borderId="0"/>
    <xf numFmtId="0" fontId="53" fillId="0" borderId="0" applyNumberFormat="0" applyFill="0" applyBorder="0" applyAlignment="0" applyProtection="0"/>
    <xf numFmtId="0" fontId="92" fillId="0" borderId="0" applyNumberFormat="0" applyFill="0" applyBorder="0" applyProtection="0">
      <alignment horizontal="left" vertical="center" indent="10"/>
    </xf>
    <xf numFmtId="0" fontId="92" fillId="0" borderId="0" applyNumberFormat="0" applyFill="0" applyBorder="0" applyProtection="0">
      <alignment horizontal="left" vertical="center" indent="10"/>
    </xf>
    <xf numFmtId="0" fontId="54" fillId="0" borderId="94" applyNumberFormat="0" applyFill="0" applyAlignment="0" applyProtection="0"/>
    <xf numFmtId="0" fontId="55" fillId="0" borderId="0" applyNumberFormat="0" applyFill="0" applyBorder="0" applyAlignment="0" applyProtection="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4" fillId="0" borderId="0"/>
    <xf numFmtId="0" fontId="34" fillId="0" borderId="0"/>
    <xf numFmtId="0" fontId="34"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7" fillId="0" borderId="0"/>
    <xf numFmtId="4" fontId="96" fillId="103" borderId="0" applyBorder="0">
      <alignment horizontal="center" vertical="center" wrapText="1"/>
    </xf>
    <xf numFmtId="0" fontId="9" fillId="0" borderId="0"/>
    <xf numFmtId="0" fontId="9" fillId="0" borderId="0"/>
    <xf numFmtId="0" fontId="9" fillId="0" borderId="0"/>
    <xf numFmtId="0" fontId="9" fillId="0" borderId="0"/>
    <xf numFmtId="9" fontId="17" fillId="0" borderId="0" applyFont="0" applyFill="0" applyBorder="0" applyAlignment="0" applyProtection="0"/>
    <xf numFmtId="0" fontId="95" fillId="0" borderId="0" applyNumberFormat="0" applyFill="0" applyBorder="0" applyAlignment="0" applyProtection="0">
      <alignment vertical="top"/>
      <protection locked="0"/>
    </xf>
    <xf numFmtId="0" fontId="17"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cellStyleXfs>
  <cellXfs count="726">
    <xf numFmtId="0" fontId="0" fillId="0" borderId="0" xfId="0"/>
    <xf numFmtId="0" fontId="7" fillId="0" borderId="0" xfId="0" applyFont="1"/>
    <xf numFmtId="0" fontId="2" fillId="0" borderId="0" xfId="0" applyFont="1" applyProtection="1">
      <protection hidden="1"/>
    </xf>
    <xf numFmtId="0" fontId="2" fillId="0" borderId="0" xfId="0" applyFont="1" applyAlignment="1" applyProtection="1">
      <alignment horizontal="left"/>
      <protection hidden="1"/>
    </xf>
    <xf numFmtId="0" fontId="8" fillId="0" borderId="0" xfId="0" applyFont="1"/>
    <xf numFmtId="0" fontId="3" fillId="0" borderId="0" xfId="0" applyFont="1" applyProtection="1">
      <protection hidden="1"/>
    </xf>
    <xf numFmtId="0" fontId="25" fillId="0" borderId="0" xfId="0" applyFont="1"/>
    <xf numFmtId="0" fontId="30" fillId="0" borderId="0" xfId="0" applyFont="1" applyAlignment="1">
      <alignment vertical="center"/>
    </xf>
    <xf numFmtId="0" fontId="30" fillId="0" borderId="0" xfId="0" applyFont="1" applyAlignment="1">
      <alignment horizontal="right" vertical="center"/>
    </xf>
    <xf numFmtId="0" fontId="0" fillId="0" borderId="16" xfId="0" applyBorder="1"/>
    <xf numFmtId="0" fontId="4" fillId="0" borderId="0" xfId="0" applyFont="1" applyAlignment="1" applyProtection="1">
      <alignment horizontal="left"/>
      <protection hidden="1"/>
    </xf>
    <xf numFmtId="0" fontId="27" fillId="0" borderId="0" xfId="0" applyFont="1" applyAlignment="1" applyProtection="1">
      <alignment horizontal="left"/>
      <protection hidden="1"/>
    </xf>
    <xf numFmtId="0" fontId="26" fillId="0" borderId="1" xfId="52" applyFont="1" applyBorder="1" applyAlignment="1">
      <alignment horizontal="left" vertical="center"/>
    </xf>
    <xf numFmtId="0" fontId="26" fillId="0" borderId="1" xfId="52" applyFont="1" applyBorder="1"/>
    <xf numFmtId="0" fontId="2" fillId="0" borderId="0" xfId="52" applyFont="1"/>
    <xf numFmtId="0" fontId="29" fillId="0" borderId="0" xfId="52" applyFont="1"/>
    <xf numFmtId="0" fontId="2" fillId="0" borderId="26" xfId="52" applyFont="1" applyBorder="1" applyAlignment="1">
      <alignment wrapText="1"/>
    </xf>
    <xf numFmtId="0" fontId="29" fillId="0" borderId="57" xfId="52" applyFont="1" applyBorder="1" applyAlignment="1">
      <alignment wrapText="1"/>
    </xf>
    <xf numFmtId="0" fontId="2" fillId="0" borderId="57" xfId="0" applyFont="1" applyBorder="1" applyAlignment="1">
      <alignment wrapText="1"/>
    </xf>
    <xf numFmtId="0" fontId="2" fillId="0" borderId="57" xfId="52" applyFont="1" applyBorder="1" applyAlignment="1">
      <alignment wrapText="1"/>
    </xf>
    <xf numFmtId="0" fontId="2" fillId="0" borderId="57" xfId="0" applyFont="1" applyBorder="1" applyAlignment="1">
      <alignment horizontal="center" wrapText="1"/>
    </xf>
    <xf numFmtId="0" fontId="2" fillId="0" borderId="57" xfId="0" applyFont="1" applyBorder="1" applyAlignment="1">
      <alignment horizontal="left" wrapText="1"/>
    </xf>
    <xf numFmtId="0" fontId="2" fillId="48" borderId="1" xfId="52" applyFont="1" applyFill="1" applyBorder="1"/>
    <xf numFmtId="0" fontId="2" fillId="50" borderId="1" xfId="52" applyFont="1" applyFill="1" applyBorder="1"/>
    <xf numFmtId="0" fontId="2" fillId="48" borderId="47" xfId="52" applyFont="1" applyFill="1" applyBorder="1"/>
    <xf numFmtId="0" fontId="2" fillId="48" borderId="3" xfId="0" applyFont="1" applyFill="1" applyBorder="1"/>
    <xf numFmtId="44" fontId="2" fillId="48" borderId="3" xfId="49" applyFont="1" applyFill="1" applyBorder="1"/>
    <xf numFmtId="0" fontId="2" fillId="48" borderId="3" xfId="0" applyFont="1" applyFill="1" applyBorder="1" applyAlignment="1">
      <alignment horizontal="center"/>
    </xf>
    <xf numFmtId="0" fontId="2" fillId="48" borderId="3" xfId="52" applyFont="1" applyFill="1" applyBorder="1"/>
    <xf numFmtId="0" fontId="2" fillId="48" borderId="60" xfId="0" applyFont="1" applyFill="1" applyBorder="1"/>
    <xf numFmtId="0" fontId="2" fillId="50" borderId="50" xfId="52" applyFont="1" applyFill="1" applyBorder="1"/>
    <xf numFmtId="0" fontId="2" fillId="50" borderId="1" xfId="0" applyFont="1" applyFill="1" applyBorder="1"/>
    <xf numFmtId="0" fontId="2" fillId="48" borderId="70" xfId="52" applyFont="1" applyFill="1" applyBorder="1"/>
    <xf numFmtId="0" fontId="2" fillId="48" borderId="2" xfId="0" applyFont="1" applyFill="1" applyBorder="1"/>
    <xf numFmtId="44" fontId="2" fillId="48" borderId="2" xfId="49" applyFont="1" applyFill="1" applyBorder="1"/>
    <xf numFmtId="0" fontId="2" fillId="48" borderId="2" xfId="0" applyFont="1" applyFill="1" applyBorder="1" applyAlignment="1">
      <alignment horizontal="center"/>
    </xf>
    <xf numFmtId="0" fontId="2" fillId="48" borderId="2" xfId="52" applyFont="1" applyFill="1" applyBorder="1"/>
    <xf numFmtId="0" fontId="2" fillId="48" borderId="72" xfId="0" applyFont="1" applyFill="1" applyBorder="1"/>
    <xf numFmtId="0" fontId="2" fillId="48" borderId="45" xfId="52" applyFont="1" applyFill="1" applyBorder="1"/>
    <xf numFmtId="0" fontId="2" fillId="48" borderId="75" xfId="0" applyFont="1" applyFill="1" applyBorder="1"/>
    <xf numFmtId="44" fontId="2" fillId="48" borderId="75" xfId="49" applyFont="1" applyFill="1" applyBorder="1"/>
    <xf numFmtId="0" fontId="2" fillId="48" borderId="75" xfId="0" applyFont="1" applyFill="1" applyBorder="1" applyAlignment="1">
      <alignment horizontal="center"/>
    </xf>
    <xf numFmtId="0" fontId="2" fillId="48" borderId="75" xfId="52" applyFont="1" applyFill="1" applyBorder="1"/>
    <xf numFmtId="0" fontId="2" fillId="48" borderId="76" xfId="0" applyFont="1" applyFill="1" applyBorder="1"/>
    <xf numFmtId="0" fontId="2" fillId="50" borderId="78" xfId="52" applyFont="1" applyFill="1" applyBorder="1"/>
    <xf numFmtId="0" fontId="2" fillId="0" borderId="27" xfId="0" applyFont="1" applyBorder="1" applyAlignment="1">
      <alignment horizontal="center" wrapText="1"/>
    </xf>
    <xf numFmtId="0" fontId="2" fillId="0" borderId="76" xfId="0" applyFont="1" applyBorder="1"/>
    <xf numFmtId="0" fontId="2" fillId="0" borderId="60" xfId="0" applyFont="1" applyBorder="1"/>
    <xf numFmtId="0" fontId="2" fillId="0" borderId="45" xfId="0" applyFont="1" applyBorder="1"/>
    <xf numFmtId="0" fontId="2" fillId="0" borderId="47" xfId="0" applyFont="1" applyBorder="1"/>
    <xf numFmtId="0" fontId="2" fillId="0" borderId="78" xfId="0" applyFont="1" applyBorder="1"/>
    <xf numFmtId="0" fontId="2" fillId="0" borderId="70" xfId="0" applyFont="1" applyBorder="1"/>
    <xf numFmtId="0" fontId="2" fillId="0" borderId="74" xfId="0" applyFont="1" applyBorder="1"/>
    <xf numFmtId="0" fontId="2" fillId="0" borderId="72" xfId="0" applyFont="1" applyBorder="1"/>
    <xf numFmtId="0" fontId="2" fillId="0" borderId="35" xfId="52" applyFont="1" applyBorder="1"/>
    <xf numFmtId="0" fontId="2" fillId="0" borderId="54" xfId="0" applyFont="1" applyBorder="1"/>
    <xf numFmtId="0" fontId="2" fillId="0" borderId="1" xfId="52" applyFont="1" applyBorder="1"/>
    <xf numFmtId="0" fontId="98" fillId="0" borderId="0" xfId="0" applyFont="1" applyAlignment="1" applyProtection="1">
      <alignment vertical="center"/>
      <protection hidden="1"/>
    </xf>
    <xf numFmtId="0" fontId="99" fillId="0" borderId="0" xfId="0" applyFont="1" applyAlignment="1" applyProtection="1">
      <alignment horizontal="right" vertical="center"/>
      <protection hidden="1"/>
    </xf>
    <xf numFmtId="0" fontId="99" fillId="0" borderId="0" xfId="0" applyFont="1" applyAlignment="1" applyProtection="1">
      <alignment horizontal="left" vertical="center"/>
      <protection hidden="1"/>
    </xf>
    <xf numFmtId="14" fontId="99" fillId="0" borderId="0" xfId="0" applyNumberFormat="1" applyFont="1" applyAlignment="1" applyProtection="1">
      <alignment horizontal="right" vertical="top"/>
      <protection hidden="1"/>
    </xf>
    <xf numFmtId="14" fontId="98" fillId="0" borderId="0" xfId="0" applyNumberFormat="1" applyFont="1" applyAlignment="1" applyProtection="1">
      <alignment vertical="top"/>
      <protection hidden="1"/>
    </xf>
    <xf numFmtId="0" fontId="98" fillId="4" borderId="0" xfId="0" applyFont="1" applyFill="1" applyAlignment="1" applyProtection="1">
      <alignment vertical="center"/>
      <protection hidden="1"/>
    </xf>
    <xf numFmtId="0" fontId="100" fillId="4" borderId="0" xfId="0" applyFont="1" applyFill="1" applyAlignment="1" applyProtection="1">
      <alignment vertical="center"/>
      <protection hidden="1"/>
    </xf>
    <xf numFmtId="0" fontId="98" fillId="0" borderId="0" xfId="0" applyFont="1" applyAlignment="1" applyProtection="1">
      <alignment horizontal="left" vertical="center" wrapText="1"/>
      <protection hidden="1"/>
    </xf>
    <xf numFmtId="0" fontId="98" fillId="0" borderId="0" xfId="0" applyFont="1" applyAlignment="1" applyProtection="1">
      <alignment vertical="center" wrapText="1"/>
      <protection hidden="1"/>
    </xf>
    <xf numFmtId="0" fontId="98" fillId="0" borderId="0" xfId="0" applyFont="1" applyAlignment="1" applyProtection="1">
      <alignment horizontal="center" vertical="center" wrapText="1"/>
      <protection hidden="1"/>
    </xf>
    <xf numFmtId="0" fontId="99" fillId="0" borderId="0" xfId="0" applyFont="1" applyAlignment="1" applyProtection="1">
      <alignment horizontal="left" vertical="center" wrapText="1"/>
      <protection hidden="1"/>
    </xf>
    <xf numFmtId="0" fontId="99" fillId="0" borderId="0" xfId="0" applyFont="1" applyAlignment="1" applyProtection="1">
      <alignment vertical="center"/>
      <protection hidden="1"/>
    </xf>
    <xf numFmtId="0" fontId="99" fillId="0" borderId="0" xfId="0" applyFont="1" applyAlignment="1" applyProtection="1">
      <alignment horizontal="center" vertical="center"/>
      <protection hidden="1"/>
    </xf>
    <xf numFmtId="0" fontId="101" fillId="0" borderId="0" xfId="0" applyFont="1" applyAlignment="1" applyProtection="1">
      <alignment vertical="center"/>
      <protection hidden="1"/>
    </xf>
    <xf numFmtId="0" fontId="101" fillId="0" borderId="0" xfId="0" applyFont="1" applyAlignment="1" applyProtection="1">
      <alignment horizontal="center" vertical="center" wrapText="1"/>
      <protection hidden="1"/>
    </xf>
    <xf numFmtId="0" fontId="103" fillId="0" borderId="0" xfId="0" applyFont="1" applyAlignment="1" applyProtection="1">
      <alignment vertical="center"/>
      <protection hidden="1"/>
    </xf>
    <xf numFmtId="0" fontId="104" fillId="0" borderId="0" xfId="0" applyFont="1" applyAlignment="1" applyProtection="1">
      <alignment vertical="center"/>
      <protection hidden="1"/>
    </xf>
    <xf numFmtId="0" fontId="105" fillId="0" borderId="0" xfId="0" applyFont="1"/>
    <xf numFmtId="0" fontId="98" fillId="2" borderId="0" xfId="0" applyFont="1" applyFill="1" applyProtection="1">
      <protection hidden="1"/>
    </xf>
    <xf numFmtId="0" fontId="98" fillId="2" borderId="0" xfId="0" applyFont="1" applyFill="1" applyAlignment="1" applyProtection="1">
      <alignment horizontal="left"/>
      <protection hidden="1"/>
    </xf>
    <xf numFmtId="0" fontId="106" fillId="2" borderId="0" xfId="0" applyFont="1" applyFill="1" applyProtection="1">
      <protection hidden="1"/>
    </xf>
    <xf numFmtId="0" fontId="98" fillId="0" borderId="0" xfId="0" applyFont="1" applyProtection="1">
      <protection hidden="1"/>
    </xf>
    <xf numFmtId="0" fontId="98" fillId="0" borderId="0" xfId="0" applyFont="1" applyAlignment="1" applyProtection="1">
      <alignment horizontal="left"/>
      <protection hidden="1"/>
    </xf>
    <xf numFmtId="0" fontId="98" fillId="0" borderId="0" xfId="0" applyFont="1" applyAlignment="1">
      <alignment vertical="top" wrapText="1"/>
    </xf>
    <xf numFmtId="0" fontId="99" fillId="0" borderId="0" xfId="0" applyFont="1"/>
    <xf numFmtId="0" fontId="98" fillId="0" borderId="0" xfId="0" applyFont="1"/>
    <xf numFmtId="0" fontId="98" fillId="0" borderId="0" xfId="0" applyFont="1" applyAlignment="1">
      <alignment horizontal="left" vertical="top" wrapText="1"/>
    </xf>
    <xf numFmtId="0" fontId="98" fillId="0" borderId="0" xfId="0" applyFont="1" applyAlignment="1">
      <alignment horizontal="left" vertical="center"/>
    </xf>
    <xf numFmtId="0" fontId="108" fillId="52" borderId="1" xfId="0" applyFont="1" applyFill="1" applyBorder="1" applyAlignment="1">
      <alignment horizontal="left" vertical="center"/>
    </xf>
    <xf numFmtId="0" fontId="98" fillId="0" borderId="0" xfId="0" applyFont="1" applyAlignment="1">
      <alignment horizontal="left" vertical="center" wrapText="1"/>
    </xf>
    <xf numFmtId="0" fontId="105" fillId="0" borderId="0" xfId="0" applyFont="1" applyAlignment="1">
      <alignment wrapText="1"/>
    </xf>
    <xf numFmtId="0" fontId="97" fillId="0" borderId="0" xfId="0" applyFont="1"/>
    <xf numFmtId="44" fontId="98" fillId="0" borderId="0" xfId="0" applyNumberFormat="1" applyFont="1"/>
    <xf numFmtId="0" fontId="97" fillId="0" borderId="16" xfId="0" applyFont="1" applyBorder="1"/>
    <xf numFmtId="0" fontId="111" fillId="0" borderId="16" xfId="0" applyFont="1" applyBorder="1"/>
    <xf numFmtId="0" fontId="98" fillId="0" borderId="16" xfId="0" applyFont="1" applyBorder="1"/>
    <xf numFmtId="0" fontId="111" fillId="0" borderId="0" xfId="0" applyFont="1"/>
    <xf numFmtId="0" fontId="99" fillId="48" borderId="0" xfId="0" applyFont="1" applyFill="1" applyAlignment="1" applyProtection="1">
      <alignment horizontal="center" vertical="center" wrapText="1"/>
      <protection hidden="1"/>
    </xf>
    <xf numFmtId="0" fontId="99" fillId="48" borderId="0" xfId="0" applyFont="1" applyFill="1" applyAlignment="1" applyProtection="1">
      <alignment horizontal="left" vertical="center" wrapText="1"/>
      <protection hidden="1"/>
    </xf>
    <xf numFmtId="0" fontId="101" fillId="0" borderId="0" xfId="1" applyFont="1" applyFill="1" applyAlignment="1" applyProtection="1">
      <alignment vertical="center"/>
      <protection hidden="1"/>
    </xf>
    <xf numFmtId="0" fontId="106" fillId="0" borderId="0" xfId="0" applyFont="1" applyAlignment="1" applyProtection="1">
      <alignment vertical="center"/>
      <protection hidden="1"/>
    </xf>
    <xf numFmtId="0" fontId="108" fillId="55" borderId="1" xfId="0" applyFont="1" applyFill="1" applyBorder="1" applyAlignment="1">
      <alignment horizontal="left" vertical="center"/>
    </xf>
    <xf numFmtId="0" fontId="101" fillId="3" borderId="0" xfId="1" applyFont="1" applyFill="1" applyAlignment="1" applyProtection="1">
      <alignment vertical="center"/>
      <protection hidden="1"/>
    </xf>
    <xf numFmtId="0" fontId="15" fillId="104" borderId="0" xfId="1" applyFont="1" applyFill="1" applyAlignment="1" applyProtection="1">
      <alignment vertical="center"/>
      <protection hidden="1"/>
    </xf>
    <xf numFmtId="0" fontId="15" fillId="102" borderId="0" xfId="0" applyFont="1" applyFill="1" applyAlignment="1" applyProtection="1">
      <alignment horizontal="center" vertical="center" wrapText="1"/>
      <protection hidden="1"/>
    </xf>
    <xf numFmtId="0" fontId="15" fillId="102" borderId="0" xfId="1" applyFont="1" applyFill="1" applyAlignment="1" applyProtection="1">
      <alignment horizontal="left" vertical="center"/>
      <protection hidden="1"/>
    </xf>
    <xf numFmtId="0" fontId="15" fillId="104" borderId="0" xfId="1" applyFont="1" applyFill="1" applyAlignment="1" applyProtection="1">
      <alignment horizontal="left" vertical="center" wrapText="1"/>
      <protection hidden="1"/>
    </xf>
    <xf numFmtId="0" fontId="106" fillId="104" borderId="0" xfId="0" applyFont="1" applyFill="1" applyProtection="1">
      <protection hidden="1"/>
    </xf>
    <xf numFmtId="0" fontId="100" fillId="104" borderId="0" xfId="0" applyFont="1" applyFill="1" applyAlignment="1" applyProtection="1">
      <alignment horizontal="left"/>
      <protection hidden="1"/>
    </xf>
    <xf numFmtId="0" fontId="106" fillId="0" borderId="0" xfId="0" applyFont="1" applyProtection="1">
      <protection hidden="1"/>
    </xf>
    <xf numFmtId="0" fontId="106" fillId="54" borderId="0" xfId="0" applyFont="1" applyFill="1" applyProtection="1">
      <protection hidden="1"/>
    </xf>
    <xf numFmtId="0" fontId="101" fillId="54" borderId="0" xfId="0" applyFont="1" applyFill="1" applyAlignment="1" applyProtection="1">
      <alignment horizontal="left"/>
      <protection hidden="1"/>
    </xf>
    <xf numFmtId="0" fontId="98" fillId="0" borderId="0" xfId="0" applyFont="1" applyAlignment="1">
      <alignment horizontal="left" wrapText="1"/>
    </xf>
    <xf numFmtId="0" fontId="98" fillId="0" borderId="16" xfId="0" applyFont="1" applyBorder="1" applyAlignment="1">
      <alignment horizontal="left"/>
    </xf>
    <xf numFmtId="0" fontId="98" fillId="0" borderId="16" xfId="0" applyFont="1" applyBorder="1" applyAlignment="1">
      <alignment horizontal="center"/>
    </xf>
    <xf numFmtId="0" fontId="98" fillId="0" borderId="0" xfId="0" applyFont="1" applyAlignment="1">
      <alignment horizontal="center"/>
    </xf>
    <xf numFmtId="0" fontId="1" fillId="0" borderId="0" xfId="1"/>
    <xf numFmtId="0" fontId="113" fillId="0" borderId="0" xfId="0" applyFont="1"/>
    <xf numFmtId="0" fontId="114" fillId="0" borderId="0" xfId="0" applyFont="1" applyAlignment="1">
      <alignment horizontal="left"/>
    </xf>
    <xf numFmtId="0" fontId="98" fillId="0" borderId="29" xfId="0" applyFont="1" applyBorder="1"/>
    <xf numFmtId="0" fontId="99" fillId="45" borderId="23" xfId="0" applyFont="1" applyFill="1" applyBorder="1"/>
    <xf numFmtId="0" fontId="98" fillId="45" borderId="36" xfId="0" applyFont="1" applyFill="1" applyBorder="1" applyAlignment="1">
      <alignment vertical="center"/>
    </xf>
    <xf numFmtId="0" fontId="98" fillId="45" borderId="38" xfId="0" applyFont="1" applyFill="1" applyBorder="1" applyAlignment="1">
      <alignment vertical="center"/>
    </xf>
    <xf numFmtId="0" fontId="98" fillId="0" borderId="0" xfId="0" applyFont="1" applyAlignment="1">
      <alignment vertical="center" wrapText="1"/>
    </xf>
    <xf numFmtId="0" fontId="99" fillId="0" borderId="0" xfId="0" applyFont="1" applyAlignment="1">
      <alignment horizontal="center"/>
    </xf>
    <xf numFmtId="0" fontId="98" fillId="0" borderId="0" xfId="0" applyFont="1" applyAlignment="1">
      <alignment wrapText="1"/>
    </xf>
    <xf numFmtId="0" fontId="99" fillId="0" borderId="0" xfId="0" applyFont="1" applyAlignment="1">
      <alignment wrapText="1"/>
    </xf>
    <xf numFmtId="0" fontId="99" fillId="0" borderId="0" xfId="0" applyFont="1" applyAlignment="1">
      <alignment horizontal="center" wrapText="1"/>
    </xf>
    <xf numFmtId="0" fontId="98" fillId="0" borderId="23" xfId="0" applyFont="1" applyBorder="1"/>
    <xf numFmtId="0" fontId="98" fillId="0" borderId="42" xfId="0" applyFont="1" applyBorder="1"/>
    <xf numFmtId="0" fontId="99" fillId="0" borderId="0" xfId="0" applyFont="1" applyAlignment="1">
      <alignment horizontal="left"/>
    </xf>
    <xf numFmtId="0" fontId="98" fillId="0" borderId="0" xfId="0" applyFont="1" applyAlignment="1">
      <alignment horizontal="left"/>
    </xf>
    <xf numFmtId="0" fontId="98" fillId="0" borderId="0" xfId="0" applyFont="1" applyAlignment="1">
      <alignment horizontal="right" vertical="center" wrapText="1"/>
    </xf>
    <xf numFmtId="0" fontId="98" fillId="0" borderId="0" xfId="0" applyFont="1" applyAlignment="1">
      <alignment horizontal="right" vertical="center"/>
    </xf>
    <xf numFmtId="0" fontId="99" fillId="0" borderId="21" xfId="0" applyFont="1" applyBorder="1" applyAlignment="1">
      <alignment wrapText="1"/>
    </xf>
    <xf numFmtId="0" fontId="99" fillId="0" borderId="18" xfId="0" applyFont="1" applyBorder="1"/>
    <xf numFmtId="0" fontId="98" fillId="0" borderId="21" xfId="0" applyFont="1" applyBorder="1" applyAlignment="1">
      <alignment horizontal="center"/>
    </xf>
    <xf numFmtId="0" fontId="98" fillId="0" borderId="21" xfId="0" applyFont="1" applyBorder="1"/>
    <xf numFmtId="0" fontId="98" fillId="0" borderId="15" xfId="0" applyFont="1" applyBorder="1" applyAlignment="1">
      <alignment horizontal="left"/>
    </xf>
    <xf numFmtId="0" fontId="112" fillId="0" borderId="16" xfId="0" applyFont="1" applyBorder="1" applyAlignment="1">
      <alignment horizontal="left"/>
    </xf>
    <xf numFmtId="0" fontId="115" fillId="0" borderId="16" xfId="0" applyFont="1" applyBorder="1"/>
    <xf numFmtId="0" fontId="115" fillId="0" borderId="16" xfId="0" applyFont="1" applyBorder="1" applyAlignment="1">
      <alignment horizontal="left"/>
    </xf>
    <xf numFmtId="0" fontId="3" fillId="102" borderId="0" xfId="0" applyFont="1" applyFill="1" applyProtection="1">
      <protection hidden="1"/>
    </xf>
    <xf numFmtId="0" fontId="5" fillId="102" borderId="0" xfId="0" applyFont="1" applyFill="1" applyAlignment="1" applyProtection="1">
      <alignment horizontal="left"/>
      <protection hidden="1"/>
    </xf>
    <xf numFmtId="0" fontId="4" fillId="105" borderId="0" xfId="0" applyFont="1" applyFill="1" applyAlignment="1" applyProtection="1">
      <alignment horizontal="left"/>
      <protection hidden="1"/>
    </xf>
    <xf numFmtId="0" fontId="3" fillId="105" borderId="0" xfId="0" applyFont="1" applyFill="1" applyProtection="1">
      <protection hidden="1"/>
    </xf>
    <xf numFmtId="0" fontId="106" fillId="5" borderId="0" xfId="0" applyFont="1" applyFill="1" applyProtection="1">
      <protection hidden="1"/>
    </xf>
    <xf numFmtId="0" fontId="100" fillId="5" borderId="0" xfId="0" applyFont="1" applyFill="1" applyAlignment="1" applyProtection="1">
      <alignment horizontal="left"/>
      <protection hidden="1"/>
    </xf>
    <xf numFmtId="0" fontId="106" fillId="51" borderId="0" xfId="0" applyFont="1" applyFill="1" applyProtection="1">
      <protection hidden="1"/>
    </xf>
    <xf numFmtId="0" fontId="101" fillId="51" borderId="0" xfId="0" applyFont="1" applyFill="1" applyAlignment="1" applyProtection="1">
      <alignment horizontal="left"/>
      <protection hidden="1"/>
    </xf>
    <xf numFmtId="0" fontId="99" fillId="45" borderId="23" xfId="0" applyFont="1" applyFill="1" applyBorder="1" applyAlignment="1">
      <alignment horizontal="center" vertical="center"/>
    </xf>
    <xf numFmtId="0" fontId="0" fillId="5" borderId="0" xfId="0" applyFill="1"/>
    <xf numFmtId="0" fontId="116" fillId="5" borderId="0" xfId="0" applyFont="1" applyFill="1" applyAlignment="1">
      <alignment horizontal="left" vertical="center"/>
    </xf>
    <xf numFmtId="0" fontId="116" fillId="0" borderId="0" xfId="0" applyFont="1" applyAlignment="1">
      <alignment horizontal="left" vertical="center"/>
    </xf>
    <xf numFmtId="0" fontId="98" fillId="0" borderId="44" xfId="0" applyFont="1" applyBorder="1"/>
    <xf numFmtId="0" fontId="113" fillId="0" borderId="0" xfId="0" applyFont="1" applyAlignment="1">
      <alignment horizontal="left" vertical="center"/>
    </xf>
    <xf numFmtId="0" fontId="117" fillId="0" borderId="0" xfId="0" applyFont="1"/>
    <xf numFmtId="0" fontId="99" fillId="0" borderId="0" xfId="0" applyFont="1" applyAlignment="1">
      <alignment horizontal="left" vertical="center"/>
    </xf>
    <xf numFmtId="0" fontId="98" fillId="45" borderId="23" xfId="0" applyFont="1" applyFill="1" applyBorder="1" applyAlignment="1">
      <alignment horizontal="center" vertical="center"/>
    </xf>
    <xf numFmtId="0" fontId="98" fillId="45" borderId="23" xfId="0" applyFont="1" applyFill="1" applyBorder="1" applyAlignment="1">
      <alignment horizontal="center"/>
    </xf>
    <xf numFmtId="0" fontId="98" fillId="45" borderId="23" xfId="0" applyFont="1" applyFill="1" applyBorder="1" applyAlignment="1">
      <alignment horizontal="center" wrapText="1"/>
    </xf>
    <xf numFmtId="1" fontId="98" fillId="45" borderId="24" xfId="48" applyNumberFormat="1" applyFont="1" applyFill="1" applyBorder="1" applyAlignment="1">
      <alignment horizontal="center" vertical="center"/>
    </xf>
    <xf numFmtId="1" fontId="98" fillId="45" borderId="52" xfId="48" applyNumberFormat="1" applyFont="1" applyFill="1" applyBorder="1" applyAlignment="1">
      <alignment horizontal="center" vertical="center"/>
    </xf>
    <xf numFmtId="1" fontId="98" fillId="45" borderId="53" xfId="48" applyNumberFormat="1" applyFont="1" applyFill="1" applyBorder="1" applyAlignment="1">
      <alignment horizontal="center" vertical="center"/>
    </xf>
    <xf numFmtId="0" fontId="98" fillId="45" borderId="29" xfId="0" applyFont="1" applyFill="1" applyBorder="1"/>
    <xf numFmtId="44" fontId="98" fillId="45" borderId="29" xfId="0" applyNumberFormat="1" applyFont="1" applyFill="1" applyBorder="1"/>
    <xf numFmtId="44" fontId="98" fillId="45" borderId="42" xfId="0" applyNumberFormat="1" applyFont="1" applyFill="1" applyBorder="1"/>
    <xf numFmtId="0" fontId="98" fillId="45" borderId="30" xfId="0" applyFont="1" applyFill="1" applyBorder="1"/>
    <xf numFmtId="44" fontId="98" fillId="45" borderId="30" xfId="0" applyNumberFormat="1" applyFont="1" applyFill="1" applyBorder="1"/>
    <xf numFmtId="0" fontId="119" fillId="0" borderId="0" xfId="0" applyFont="1"/>
    <xf numFmtId="44" fontId="119" fillId="0" borderId="0" xfId="0" applyNumberFormat="1" applyFont="1" applyAlignment="1">
      <alignment horizontal="center"/>
    </xf>
    <xf numFmtId="44" fontId="107" fillId="0" borderId="0" xfId="0" applyNumberFormat="1" applyFont="1" applyAlignment="1">
      <alignment horizontal="center"/>
    </xf>
    <xf numFmtId="44" fontId="98" fillId="0" borderId="0" xfId="0" applyNumberFormat="1" applyFont="1" applyAlignment="1">
      <alignment horizontal="center"/>
    </xf>
    <xf numFmtId="44" fontId="0" fillId="0" borderId="0" xfId="0" applyNumberFormat="1"/>
    <xf numFmtId="0" fontId="102" fillId="104" borderId="0" xfId="1" applyFont="1" applyFill="1" applyAlignment="1" applyProtection="1">
      <alignment vertical="center"/>
      <protection hidden="1"/>
    </xf>
    <xf numFmtId="0" fontId="106" fillId="0" borderId="0" xfId="0" applyFont="1"/>
    <xf numFmtId="0" fontId="98" fillId="52" borderId="1" xfId="0" applyFont="1" applyFill="1" applyBorder="1" applyAlignment="1" applyProtection="1">
      <alignment horizontal="center"/>
      <protection locked="0"/>
    </xf>
    <xf numFmtId="0" fontId="104" fillId="0" borderId="0" xfId="0" applyFont="1" applyAlignment="1">
      <alignment horizontal="right"/>
    </xf>
    <xf numFmtId="0" fontId="104" fillId="0" borderId="0" xfId="0" applyFont="1"/>
    <xf numFmtId="0" fontId="104" fillId="0" borderId="0" xfId="0" applyFont="1" applyAlignment="1">
      <alignment horizontal="center"/>
    </xf>
    <xf numFmtId="0" fontId="113" fillId="0" borderId="0" xfId="0" applyFont="1" applyAlignment="1">
      <alignment horizontal="left"/>
    </xf>
    <xf numFmtId="0" fontId="99" fillId="0" borderId="0" xfId="0" applyFont="1" applyAlignment="1">
      <alignment horizontal="left" wrapText="1"/>
    </xf>
    <xf numFmtId="0" fontId="98" fillId="52" borderId="1" xfId="0" applyFont="1" applyFill="1" applyBorder="1" applyAlignment="1" applyProtection="1">
      <alignment horizontal="center" vertical="center"/>
      <protection locked="0"/>
    </xf>
    <xf numFmtId="0" fontId="98" fillId="0" borderId="0" xfId="0" applyFont="1" applyAlignment="1">
      <alignment horizontal="right"/>
    </xf>
    <xf numFmtId="1" fontId="98" fillId="0" borderId="0" xfId="0" applyNumberFormat="1" applyFont="1" applyAlignment="1">
      <alignment horizontal="center"/>
    </xf>
    <xf numFmtId="0" fontId="107" fillId="0" borderId="0" xfId="0" applyFont="1" applyAlignment="1">
      <alignment vertical="top"/>
    </xf>
    <xf numFmtId="0" fontId="98" fillId="0" borderId="23" xfId="0" applyFont="1" applyBorder="1" applyAlignment="1">
      <alignment horizontal="center"/>
    </xf>
    <xf numFmtId="1" fontId="98" fillId="0" borderId="0" xfId="0" applyNumberFormat="1" applyFont="1"/>
    <xf numFmtId="1" fontId="99" fillId="0" borderId="0" xfId="0" applyNumberFormat="1" applyFont="1" applyAlignment="1">
      <alignment horizontal="center" vertical="center"/>
    </xf>
    <xf numFmtId="0" fontId="99" fillId="0" borderId="23" xfId="0" applyFont="1" applyBorder="1"/>
    <xf numFmtId="0" fontId="98" fillId="0" borderId="0" xfId="0" applyFont="1" applyAlignment="1">
      <alignment horizontal="center" vertical="center"/>
    </xf>
    <xf numFmtId="0" fontId="105" fillId="0" borderId="0" xfId="0" applyFont="1" applyAlignment="1">
      <alignment horizontal="center"/>
    </xf>
    <xf numFmtId="0" fontId="106" fillId="0" borderId="0" xfId="0" applyFont="1" applyAlignment="1">
      <alignment horizontal="center"/>
    </xf>
    <xf numFmtId="0" fontId="117" fillId="0" borderId="0" xfId="0" applyFont="1" applyAlignment="1">
      <alignment horizontal="center"/>
    </xf>
    <xf numFmtId="0" fontId="98" fillId="56" borderId="0" xfId="0" applyFont="1" applyFill="1"/>
    <xf numFmtId="44" fontId="98" fillId="45" borderId="32" xfId="0" applyNumberFormat="1" applyFont="1" applyFill="1" applyBorder="1"/>
    <xf numFmtId="44" fontId="98" fillId="45" borderId="0" xfId="0" applyNumberFormat="1" applyFont="1" applyFill="1"/>
    <xf numFmtId="0" fontId="98" fillId="45" borderId="0" xfId="0" applyFont="1" applyFill="1"/>
    <xf numFmtId="0" fontId="98" fillId="45" borderId="52" xfId="0" applyFont="1" applyFill="1" applyBorder="1" applyAlignment="1">
      <alignment horizontal="center"/>
    </xf>
    <xf numFmtId="0" fontId="98" fillId="46" borderId="0" xfId="0" applyFont="1" applyFill="1" applyProtection="1">
      <protection hidden="1"/>
    </xf>
    <xf numFmtId="0" fontId="121" fillId="46" borderId="0" xfId="0" applyFont="1" applyFill="1" applyAlignment="1" applyProtection="1">
      <alignment horizontal="left"/>
      <protection hidden="1"/>
    </xf>
    <xf numFmtId="0" fontId="104" fillId="46" borderId="0" xfId="0" applyFont="1" applyFill="1" applyProtection="1">
      <protection hidden="1"/>
    </xf>
    <xf numFmtId="0" fontId="122" fillId="0" borderId="0" xfId="0" applyFont="1" applyAlignment="1">
      <alignment horizontal="left"/>
    </xf>
    <xf numFmtId="0" fontId="106" fillId="47" borderId="0" xfId="0" applyFont="1" applyFill="1" applyProtection="1">
      <protection hidden="1"/>
    </xf>
    <xf numFmtId="0" fontId="101" fillId="47" borderId="0" xfId="0" applyFont="1" applyFill="1" applyAlignment="1" applyProtection="1">
      <alignment horizontal="left"/>
      <protection hidden="1"/>
    </xf>
    <xf numFmtId="0" fontId="101" fillId="0" borderId="0" xfId="0" applyFont="1" applyAlignment="1" applyProtection="1">
      <alignment horizontal="left"/>
      <protection hidden="1"/>
    </xf>
    <xf numFmtId="9" fontId="98" fillId="0" borderId="0" xfId="50" applyFont="1" applyFill="1" applyBorder="1" applyAlignment="1"/>
    <xf numFmtId="0" fontId="98" fillId="45" borderId="24" xfId="0" applyFont="1" applyFill="1" applyBorder="1" applyAlignment="1">
      <alignment horizontal="left" vertical="center" wrapText="1"/>
    </xf>
    <xf numFmtId="44" fontId="98" fillId="45" borderId="23" xfId="0" applyNumberFormat="1" applyFont="1" applyFill="1" applyBorder="1" applyAlignment="1">
      <alignment horizontal="center" vertical="center"/>
    </xf>
    <xf numFmtId="165" fontId="98" fillId="0" borderId="0" xfId="50" applyNumberFormat="1" applyFont="1" applyFill="1" applyBorder="1" applyAlignment="1">
      <alignment horizontal="right"/>
    </xf>
    <xf numFmtId="0" fontId="98" fillId="45" borderId="23" xfId="0" applyFont="1" applyFill="1" applyBorder="1" applyAlignment="1">
      <alignment horizontal="center" vertical="center" wrapText="1"/>
    </xf>
    <xf numFmtId="0" fontId="98" fillId="45" borderId="63" xfId="0" applyFont="1" applyFill="1" applyBorder="1" applyAlignment="1">
      <alignment wrapText="1"/>
    </xf>
    <xf numFmtId="0" fontId="98" fillId="45" borderId="35" xfId="0" applyFont="1" applyFill="1" applyBorder="1" applyAlignment="1">
      <alignment wrapText="1"/>
    </xf>
    <xf numFmtId="0" fontId="98" fillId="45" borderId="37" xfId="0" applyFont="1" applyFill="1" applyBorder="1" applyAlignment="1">
      <alignment horizontal="left" vertical="center" wrapText="1"/>
    </xf>
    <xf numFmtId="44" fontId="99" fillId="0" borderId="0" xfId="0" applyNumberFormat="1" applyFont="1"/>
    <xf numFmtId="44" fontId="98" fillId="0" borderId="0" xfId="49" applyFont="1" applyFill="1" applyBorder="1"/>
    <xf numFmtId="0" fontId="98" fillId="45" borderId="41" xfId="0" applyFont="1" applyFill="1" applyBorder="1"/>
    <xf numFmtId="0" fontId="98" fillId="45" borderId="37" xfId="0" applyFont="1" applyFill="1" applyBorder="1" applyAlignment="1">
      <alignment horizontal="center"/>
    </xf>
    <xf numFmtId="0" fontId="98" fillId="45" borderId="20" xfId="0" applyFont="1" applyFill="1" applyBorder="1" applyAlignment="1">
      <alignment horizontal="center"/>
    </xf>
    <xf numFmtId="0" fontId="98" fillId="45" borderId="69" xfId="0" applyFont="1" applyFill="1" applyBorder="1" applyAlignment="1">
      <alignment horizontal="center"/>
    </xf>
    <xf numFmtId="0" fontId="98" fillId="45" borderId="44" xfId="0" applyFont="1" applyFill="1" applyBorder="1"/>
    <xf numFmtId="0" fontId="98" fillId="45" borderId="24" xfId="0" applyFont="1" applyFill="1" applyBorder="1" applyAlignment="1">
      <alignment horizontal="center"/>
    </xf>
    <xf numFmtId="0" fontId="98" fillId="45" borderId="53" xfId="0" applyFont="1" applyFill="1" applyBorder="1" applyAlignment="1">
      <alignment horizontal="center"/>
    </xf>
    <xf numFmtId="0" fontId="98" fillId="45" borderId="42" xfId="0" applyFont="1" applyFill="1" applyBorder="1"/>
    <xf numFmtId="0" fontId="98" fillId="45" borderId="46" xfId="0" applyFont="1" applyFill="1" applyBorder="1" applyAlignment="1">
      <alignment horizontal="left" vertical="center"/>
    </xf>
    <xf numFmtId="0" fontId="98" fillId="45" borderId="15" xfId="0" applyFont="1" applyFill="1" applyBorder="1" applyAlignment="1">
      <alignment horizontal="left" vertical="center"/>
    </xf>
    <xf numFmtId="0" fontId="98" fillId="45" borderId="62" xfId="0" applyFont="1" applyFill="1" applyBorder="1" applyAlignment="1">
      <alignment horizontal="left" vertical="center"/>
    </xf>
    <xf numFmtId="0" fontId="123" fillId="0" borderId="0" xfId="0" applyFont="1" applyAlignment="1">
      <alignment horizontal="left"/>
    </xf>
    <xf numFmtId="0" fontId="99" fillId="0" borderId="0" xfId="0" applyFont="1" applyAlignment="1">
      <alignment horizontal="center" vertical="center" wrapText="1"/>
    </xf>
    <xf numFmtId="0" fontId="113" fillId="45" borderId="0" xfId="0" applyFont="1" applyFill="1" applyAlignment="1">
      <alignment horizontal="center"/>
    </xf>
    <xf numFmtId="9" fontId="113" fillId="45" borderId="0" xfId="50" applyFont="1" applyFill="1" applyBorder="1" applyAlignment="1">
      <alignment horizontal="center"/>
    </xf>
    <xf numFmtId="1" fontId="98" fillId="45" borderId="29" xfId="0" applyNumberFormat="1" applyFont="1" applyFill="1" applyBorder="1" applyAlignment="1">
      <alignment horizontal="center"/>
    </xf>
    <xf numFmtId="44" fontId="98" fillId="45" borderId="39" xfId="0" applyNumberFormat="1" applyFont="1" applyFill="1" applyBorder="1"/>
    <xf numFmtId="44" fontId="98" fillId="45" borderId="40" xfId="0" applyNumberFormat="1" applyFont="1" applyFill="1" applyBorder="1"/>
    <xf numFmtId="1" fontId="98" fillId="45" borderId="30" xfId="0" applyNumberFormat="1" applyFont="1" applyFill="1" applyBorder="1" applyAlignment="1">
      <alignment horizontal="center"/>
    </xf>
    <xf numFmtId="0" fontId="98" fillId="45" borderId="31" xfId="0" applyFont="1" applyFill="1" applyBorder="1"/>
    <xf numFmtId="1" fontId="98" fillId="45" borderId="31" xfId="0" applyNumberFormat="1" applyFont="1" applyFill="1" applyBorder="1" applyAlignment="1">
      <alignment horizontal="center"/>
    </xf>
    <xf numFmtId="44" fontId="98" fillId="45" borderId="23" xfId="0" applyNumberFormat="1" applyFont="1" applyFill="1" applyBorder="1"/>
    <xf numFmtId="44" fontId="98" fillId="45" borderId="24" xfId="0" applyNumberFormat="1" applyFont="1" applyFill="1" applyBorder="1"/>
    <xf numFmtId="44" fontId="98" fillId="45" borderId="24" xfId="49" applyFont="1" applyFill="1" applyBorder="1" applyAlignment="1">
      <alignment horizontal="center"/>
    </xf>
    <xf numFmtId="44" fontId="98" fillId="45" borderId="52" xfId="49" applyFont="1" applyFill="1" applyBorder="1" applyAlignment="1">
      <alignment horizontal="center"/>
    </xf>
    <xf numFmtId="44" fontId="98" fillId="45" borderId="23" xfId="0" applyNumberFormat="1" applyFont="1" applyFill="1" applyBorder="1" applyAlignment="1">
      <alignment horizontal="center"/>
    </xf>
    <xf numFmtId="0" fontId="107" fillId="0" borderId="0" xfId="0" applyFont="1" applyAlignment="1">
      <alignment horizontal="left"/>
    </xf>
    <xf numFmtId="44" fontId="98" fillId="0" borderId="40" xfId="0" applyNumberFormat="1" applyFont="1" applyBorder="1"/>
    <xf numFmtId="44" fontId="98" fillId="0" borderId="16" xfId="0" applyNumberFormat="1" applyFont="1" applyBorder="1"/>
    <xf numFmtId="44" fontId="98" fillId="0" borderId="52" xfId="49" applyFont="1" applyFill="1" applyBorder="1" applyAlignment="1">
      <alignment horizontal="center"/>
    </xf>
    <xf numFmtId="8" fontId="98" fillId="0" borderId="0" xfId="0" applyNumberFormat="1" applyFont="1" applyAlignment="1">
      <alignment horizontal="left"/>
    </xf>
    <xf numFmtId="0" fontId="124" fillId="45" borderId="24" xfId="0" applyFont="1" applyFill="1" applyBorder="1" applyAlignment="1">
      <alignment vertical="center"/>
    </xf>
    <xf numFmtId="0" fontId="124" fillId="45" borderId="23" xfId="0" applyFont="1" applyFill="1" applyBorder="1" applyAlignment="1">
      <alignment vertical="center"/>
    </xf>
    <xf numFmtId="0" fontId="124" fillId="45" borderId="53" xfId="0" applyFont="1" applyFill="1" applyBorder="1" applyAlignment="1">
      <alignment vertical="center"/>
    </xf>
    <xf numFmtId="0" fontId="124" fillId="45" borderId="34" xfId="0" applyFont="1" applyFill="1" applyBorder="1" applyAlignment="1">
      <alignment vertical="center"/>
    </xf>
    <xf numFmtId="44" fontId="98" fillId="0" borderId="0" xfId="49" applyFont="1" applyFill="1" applyBorder="1" applyAlignment="1">
      <alignment horizontal="center"/>
    </xf>
    <xf numFmtId="0" fontId="124" fillId="45" borderId="36" xfId="0" applyFont="1" applyFill="1" applyBorder="1" applyAlignment="1">
      <alignment vertical="center"/>
    </xf>
    <xf numFmtId="0" fontId="124" fillId="45" borderId="38" xfId="0" applyFont="1" applyFill="1" applyBorder="1" applyAlignment="1">
      <alignment vertical="center"/>
    </xf>
    <xf numFmtId="0" fontId="100" fillId="46" borderId="0" xfId="0" applyFont="1" applyFill="1" applyAlignment="1" applyProtection="1">
      <alignment horizontal="left"/>
      <protection hidden="1"/>
    </xf>
    <xf numFmtId="0" fontId="99" fillId="45" borderId="23" xfId="0" applyFont="1" applyFill="1" applyBorder="1" applyAlignment="1">
      <alignment wrapText="1"/>
    </xf>
    <xf numFmtId="0" fontId="98" fillId="45" borderId="61" xfId="0" applyFont="1" applyFill="1" applyBorder="1" applyAlignment="1">
      <alignment vertical="center"/>
    </xf>
    <xf numFmtId="0" fontId="99" fillId="45" borderId="23" xfId="0" applyFont="1" applyFill="1" applyBorder="1" applyAlignment="1">
      <alignment horizontal="left"/>
    </xf>
    <xf numFmtId="0" fontId="98" fillId="0" borderId="0" xfId="0" applyFont="1" applyAlignment="1">
      <alignment horizontal="left" vertical="center" wrapText="1" readingOrder="1"/>
    </xf>
    <xf numFmtId="0" fontId="122" fillId="45" borderId="23" xfId="0" applyFont="1" applyFill="1" applyBorder="1"/>
    <xf numFmtId="0" fontId="98" fillId="45" borderId="24" xfId="0" applyFont="1" applyFill="1" applyBorder="1" applyAlignment="1">
      <alignment horizontal="center" wrapText="1"/>
    </xf>
    <xf numFmtId="0" fontId="98" fillId="45" borderId="52" xfId="0" applyFont="1" applyFill="1" applyBorder="1" applyAlignment="1">
      <alignment horizontal="center" wrapText="1"/>
    </xf>
    <xf numFmtId="0" fontId="98" fillId="45" borderId="53" xfId="0" applyFont="1" applyFill="1" applyBorder="1" applyAlignment="1">
      <alignment wrapText="1"/>
    </xf>
    <xf numFmtId="0" fontId="98" fillId="45" borderId="29" xfId="0" applyFont="1" applyFill="1" applyBorder="1" applyAlignment="1">
      <alignment horizontal="left" vertical="center" wrapText="1" readingOrder="1"/>
    </xf>
    <xf numFmtId="44" fontId="98" fillId="0" borderId="32" xfId="49" applyFont="1" applyBorder="1"/>
    <xf numFmtId="44" fontId="98" fillId="0" borderId="0" xfId="49" applyFont="1" applyBorder="1"/>
    <xf numFmtId="0" fontId="98" fillId="45" borderId="30" xfId="0" applyFont="1" applyFill="1" applyBorder="1" applyAlignment="1">
      <alignment horizontal="left" vertical="center" wrapText="1" readingOrder="1"/>
    </xf>
    <xf numFmtId="0" fontId="98" fillId="45" borderId="30" xfId="0" applyFont="1" applyFill="1" applyBorder="1" applyAlignment="1">
      <alignment horizontal="left" vertical="center" wrapText="1"/>
    </xf>
    <xf numFmtId="0" fontId="98" fillId="45" borderId="30" xfId="0" applyFont="1" applyFill="1" applyBorder="1" applyAlignment="1">
      <alignment horizontal="left" vertical="center"/>
    </xf>
    <xf numFmtId="0" fontId="98" fillId="0" borderId="43" xfId="0" applyFont="1" applyBorder="1"/>
    <xf numFmtId="44" fontId="98" fillId="0" borderId="40" xfId="0" applyNumberFormat="1" applyFont="1" applyBorder="1" applyAlignment="1">
      <alignment horizontal="center"/>
    </xf>
    <xf numFmtId="44" fontId="0" fillId="0" borderId="16" xfId="0" applyNumberFormat="1" applyBorder="1"/>
    <xf numFmtId="0" fontId="122" fillId="0" borderId="0" xfId="0" applyFont="1"/>
    <xf numFmtId="0" fontId="98" fillId="45" borderId="52" xfId="0" applyFont="1" applyFill="1" applyBorder="1" applyAlignment="1">
      <alignment horizontal="center" vertical="center" wrapText="1"/>
    </xf>
    <xf numFmtId="0" fontId="98" fillId="45" borderId="59" xfId="0" applyFont="1" applyFill="1" applyBorder="1" applyAlignment="1">
      <alignment horizontal="center" vertical="center" wrapText="1"/>
    </xf>
    <xf numFmtId="0" fontId="98" fillId="45" borderId="27" xfId="0" applyFont="1" applyFill="1" applyBorder="1" applyAlignment="1">
      <alignment horizontal="center" vertical="center" wrapText="1"/>
    </xf>
    <xf numFmtId="0" fontId="98" fillId="45" borderId="27" xfId="0" applyFont="1" applyFill="1" applyBorder="1" applyAlignment="1">
      <alignment vertical="center" wrapText="1"/>
    </xf>
    <xf numFmtId="44" fontId="124" fillId="0" borderId="0" xfId="49" applyFont="1" applyBorder="1" applyAlignment="1">
      <alignment horizontal="right" vertical="center"/>
    </xf>
    <xf numFmtId="44" fontId="124" fillId="0" borderId="15" xfId="49" applyFont="1" applyBorder="1" applyAlignment="1">
      <alignment horizontal="center" vertical="center"/>
    </xf>
    <xf numFmtId="44" fontId="124" fillId="0" borderId="60" xfId="49" applyFont="1" applyBorder="1" applyAlignment="1">
      <alignment horizontal="center" vertical="center"/>
    </xf>
    <xf numFmtId="44" fontId="124" fillId="0" borderId="32" xfId="49" applyFont="1" applyBorder="1" applyAlignment="1">
      <alignment horizontal="right" vertical="center"/>
    </xf>
    <xf numFmtId="0" fontId="98" fillId="0" borderId="30" xfId="0" applyFont="1" applyBorder="1"/>
    <xf numFmtId="0" fontId="98" fillId="45" borderId="34" xfId="0" applyFont="1" applyFill="1" applyBorder="1" applyAlignment="1">
      <alignment vertical="center"/>
    </xf>
    <xf numFmtId="44" fontId="124" fillId="0" borderId="16" xfId="49" applyFont="1" applyBorder="1" applyAlignment="1">
      <alignment horizontal="right" vertical="center"/>
    </xf>
    <xf numFmtId="44" fontId="124" fillId="0" borderId="62" xfId="49" applyFont="1" applyBorder="1" applyAlignment="1">
      <alignment horizontal="center" vertical="center"/>
    </xf>
    <xf numFmtId="44" fontId="124" fillId="0" borderId="56" xfId="49" applyFont="1" applyBorder="1" applyAlignment="1">
      <alignment horizontal="center" vertical="center"/>
    </xf>
    <xf numFmtId="0" fontId="98" fillId="0" borderId="31" xfId="0" applyFont="1" applyBorder="1"/>
    <xf numFmtId="0" fontId="98" fillId="0" borderId="0" xfId="0" applyFont="1" applyAlignment="1">
      <alignment horizontal="right" wrapText="1"/>
    </xf>
    <xf numFmtId="0" fontId="120" fillId="0" borderId="0" xfId="53" applyFont="1"/>
    <xf numFmtId="0" fontId="126" fillId="0" borderId="0" xfId="53" applyFont="1"/>
    <xf numFmtId="0" fontId="105" fillId="0" borderId="0" xfId="54" applyFont="1" applyAlignment="1">
      <alignment horizontal="left"/>
    </xf>
    <xf numFmtId="0" fontId="106" fillId="102" borderId="0" xfId="0" applyFont="1" applyFill="1" applyProtection="1">
      <protection hidden="1"/>
    </xf>
    <xf numFmtId="0" fontId="100" fillId="102" borderId="0" xfId="0" applyFont="1" applyFill="1" applyAlignment="1" applyProtection="1">
      <alignment horizontal="left"/>
      <protection hidden="1"/>
    </xf>
    <xf numFmtId="0" fontId="106" fillId="105" borderId="0" xfId="0" applyFont="1" applyFill="1" applyProtection="1">
      <protection hidden="1"/>
    </xf>
    <xf numFmtId="0" fontId="101" fillId="105" borderId="0" xfId="0" applyFont="1" applyFill="1" applyAlignment="1" applyProtection="1">
      <alignment horizontal="left"/>
      <protection hidden="1"/>
    </xf>
    <xf numFmtId="0" fontId="105" fillId="0" borderId="0" xfId="54" applyFont="1"/>
    <xf numFmtId="166" fontId="105" fillId="0" borderId="0" xfId="54" applyNumberFormat="1" applyFont="1"/>
    <xf numFmtId="2" fontId="105" fillId="0" borderId="0" xfId="54" applyNumberFormat="1" applyFont="1"/>
    <xf numFmtId="3" fontId="105" fillId="0" borderId="0" xfId="54" applyNumberFormat="1" applyFont="1"/>
    <xf numFmtId="166" fontId="105" fillId="0" borderId="0" xfId="54" applyNumberFormat="1" applyFont="1" applyAlignment="1">
      <alignment horizontal="right"/>
    </xf>
    <xf numFmtId="2" fontId="105" fillId="0" borderId="0" xfId="54" applyNumberFormat="1" applyFont="1" applyAlignment="1">
      <alignment horizontal="right"/>
    </xf>
    <xf numFmtId="3" fontId="105" fillId="0" borderId="0" xfId="54" applyNumberFormat="1" applyFont="1" applyAlignment="1">
      <alignment horizontal="right"/>
    </xf>
    <xf numFmtId="0" fontId="109" fillId="0" borderId="0" xfId="54" applyFont="1"/>
    <xf numFmtId="0" fontId="110" fillId="0" borderId="0" xfId="56" applyFont="1" applyFill="1" applyBorder="1"/>
    <xf numFmtId="0" fontId="117" fillId="0" borderId="0" xfId="57" applyFont="1"/>
    <xf numFmtId="0" fontId="120" fillId="0" borderId="0" xfId="57" applyFont="1"/>
    <xf numFmtId="0" fontId="127" fillId="0" borderId="0" xfId="58" applyFont="1" applyFill="1" applyBorder="1"/>
    <xf numFmtId="0" fontId="128" fillId="0" borderId="0" xfId="54" applyFont="1" applyAlignment="1">
      <alignment horizontal="left"/>
    </xf>
    <xf numFmtId="166" fontId="105" fillId="0" borderId="0" xfId="54" applyNumberFormat="1" applyFont="1" applyAlignment="1">
      <alignment horizontal="left"/>
    </xf>
    <xf numFmtId="2" fontId="105" fillId="0" borderId="0" xfId="54" applyNumberFormat="1" applyFont="1" applyAlignment="1">
      <alignment horizontal="left"/>
    </xf>
    <xf numFmtId="3" fontId="105" fillId="0" borderId="0" xfId="54" applyNumberFormat="1" applyFont="1" applyAlignment="1">
      <alignment horizontal="left"/>
    </xf>
    <xf numFmtId="0" fontId="109" fillId="0" borderId="0" xfId="54" applyFont="1" applyAlignment="1">
      <alignment horizontal="left"/>
    </xf>
    <xf numFmtId="166" fontId="109" fillId="0" borderId="0" xfId="54" applyNumberFormat="1" applyFont="1" applyAlignment="1">
      <alignment horizontal="right"/>
    </xf>
    <xf numFmtId="2" fontId="109" fillId="0" borderId="0" xfId="54" applyNumberFormat="1" applyFont="1" applyAlignment="1">
      <alignment horizontal="right"/>
    </xf>
    <xf numFmtId="3" fontId="109" fillId="0" borderId="0" xfId="54" applyNumberFormat="1" applyFont="1" applyAlignment="1">
      <alignment horizontal="right"/>
    </xf>
    <xf numFmtId="0" fontId="105" fillId="0" borderId="0" xfId="54" applyFont="1" applyAlignment="1">
      <alignment horizontal="left" vertical="top" wrapText="1"/>
    </xf>
    <xf numFmtId="3" fontId="105" fillId="0" borderId="0" xfId="54" applyNumberFormat="1" applyFont="1" applyAlignment="1">
      <alignment horizontal="left" vertical="top" wrapText="1"/>
    </xf>
    <xf numFmtId="0" fontId="105" fillId="0" borderId="0" xfId="53" applyFont="1" applyAlignment="1">
      <alignment horizontal="centerContinuous"/>
    </xf>
    <xf numFmtId="0" fontId="105" fillId="0" borderId="15" xfId="53" applyFont="1" applyBorder="1" applyAlignment="1">
      <alignment horizontal="left"/>
    </xf>
    <xf numFmtId="0" fontId="105" fillId="0" borderId="0" xfId="53" applyFont="1" applyAlignment="1">
      <alignment horizontal="left"/>
    </xf>
    <xf numFmtId="0" fontId="105" fillId="0" borderId="25" xfId="53" applyFont="1" applyBorder="1" applyAlignment="1">
      <alignment horizontal="left"/>
    </xf>
    <xf numFmtId="0" fontId="105" fillId="0" borderId="1" xfId="53" applyFont="1" applyBorder="1" applyAlignment="1">
      <alignment horizontal="left" vertical="top" wrapText="1"/>
    </xf>
    <xf numFmtId="2" fontId="105" fillId="0" borderId="19" xfId="53" applyNumberFormat="1" applyFont="1" applyBorder="1" applyAlignment="1">
      <alignment horizontal="left" vertical="top" wrapText="1"/>
    </xf>
    <xf numFmtId="3" fontId="105" fillId="0" borderId="1" xfId="53" applyNumberFormat="1" applyFont="1" applyBorder="1" applyAlignment="1">
      <alignment horizontal="left" vertical="top" wrapText="1"/>
    </xf>
    <xf numFmtId="0" fontId="105" fillId="0" borderId="21" xfId="53" applyFont="1" applyBorder="1" applyAlignment="1">
      <alignment horizontal="left" vertical="top" wrapText="1"/>
    </xf>
    <xf numFmtId="0" fontId="109" fillId="0" borderId="0" xfId="54" applyFont="1" applyAlignment="1">
      <alignment horizontal="left" vertical="top" wrapText="1"/>
    </xf>
    <xf numFmtId="3" fontId="109" fillId="0" borderId="0" xfId="54" applyNumberFormat="1" applyFont="1" applyAlignment="1">
      <alignment horizontal="left" vertical="top" wrapText="1"/>
    </xf>
    <xf numFmtId="166" fontId="105" fillId="52" borderId="0" xfId="53" applyNumberFormat="1" applyFont="1" applyFill="1" applyAlignment="1">
      <alignment horizontal="center"/>
    </xf>
    <xf numFmtId="0" fontId="105" fillId="44" borderId="18" xfId="54" quotePrefix="1" applyFont="1" applyFill="1" applyBorder="1" applyAlignment="1">
      <alignment horizontal="left"/>
    </xf>
    <xf numFmtId="0" fontId="105" fillId="44" borderId="18" xfId="54" applyFont="1" applyFill="1" applyBorder="1"/>
    <xf numFmtId="2" fontId="105" fillId="0" borderId="19" xfId="54" applyNumberFormat="1" applyFont="1" applyBorder="1" applyAlignment="1">
      <alignment horizontal="right"/>
    </xf>
    <xf numFmtId="0" fontId="105" fillId="44" borderId="0" xfId="54" quotePrefix="1" applyFont="1" applyFill="1" applyAlignment="1">
      <alignment horizontal="left" wrapText="1"/>
    </xf>
    <xf numFmtId="3" fontId="105" fillId="0" borderId="0" xfId="59" applyNumberFormat="1" applyFont="1" applyFill="1" applyBorder="1"/>
    <xf numFmtId="3" fontId="105" fillId="0" borderId="0" xfId="59" applyNumberFormat="1" applyFont="1" applyFill="1" applyBorder="1" applyAlignment="1">
      <alignment horizontal="right"/>
    </xf>
    <xf numFmtId="0" fontId="99" fillId="0" borderId="0" xfId="482" applyFont="1"/>
    <xf numFmtId="166" fontId="98" fillId="0" borderId="0" xfId="482" applyNumberFormat="1" applyFont="1"/>
    <xf numFmtId="2" fontId="98" fillId="0" borderId="0" xfId="482" applyNumberFormat="1" applyFont="1"/>
    <xf numFmtId="3" fontId="98" fillId="0" borderId="0" xfId="482" applyNumberFormat="1" applyFont="1"/>
    <xf numFmtId="0" fontId="98" fillId="0" borderId="0" xfId="482" applyFont="1"/>
    <xf numFmtId="0" fontId="98" fillId="0" borderId="0" xfId="482" applyFont="1" applyAlignment="1">
      <alignment vertical="top"/>
    </xf>
    <xf numFmtId="0" fontId="98" fillId="0" borderId="0" xfId="482" applyFont="1" applyAlignment="1">
      <alignment horizontal="left" vertical="top" wrapText="1"/>
    </xf>
    <xf numFmtId="166" fontId="105" fillId="0" borderId="0" xfId="54" applyNumberFormat="1" applyFont="1" applyAlignment="1">
      <alignment horizontal="left" vertical="top" wrapText="1"/>
    </xf>
    <xf numFmtId="166" fontId="98" fillId="0" borderId="0" xfId="482" applyNumberFormat="1" applyFont="1" applyAlignment="1">
      <alignment horizontal="left" vertical="top" wrapText="1"/>
    </xf>
    <xf numFmtId="2" fontId="98" fillId="0" borderId="0" xfId="482" applyNumberFormat="1" applyFont="1" applyAlignment="1">
      <alignment horizontal="left" vertical="top" wrapText="1"/>
    </xf>
    <xf numFmtId="3" fontId="98" fillId="0" borderId="0" xfId="482" applyNumberFormat="1" applyFont="1" applyAlignment="1">
      <alignment horizontal="left" vertical="top" wrapText="1"/>
    </xf>
    <xf numFmtId="0" fontId="130" fillId="0" borderId="0" xfId="482" quotePrefix="1" applyFont="1" applyAlignment="1">
      <alignment horizontal="right" vertical="top"/>
    </xf>
    <xf numFmtId="166" fontId="109" fillId="0" borderId="0" xfId="54" applyNumberFormat="1" applyFont="1"/>
    <xf numFmtId="2" fontId="109" fillId="0" borderId="0" xfId="54" applyNumberFormat="1" applyFont="1"/>
    <xf numFmtId="3" fontId="109" fillId="0" borderId="0" xfId="54" applyNumberFormat="1" applyFont="1"/>
    <xf numFmtId="10" fontId="98" fillId="0" borderId="0" xfId="0" applyNumberFormat="1" applyFont="1" applyAlignment="1">
      <alignment horizontal="right" vertical="center" wrapText="1"/>
    </xf>
    <xf numFmtId="0" fontId="99" fillId="0" borderId="0" xfId="0" applyFont="1" applyAlignment="1" applyProtection="1">
      <alignment horizontal="left"/>
      <protection hidden="1"/>
    </xf>
    <xf numFmtId="0" fontId="131" fillId="53" borderId="24" xfId="0" applyFont="1" applyFill="1" applyBorder="1" applyAlignment="1">
      <alignment horizontal="left" vertical="center" wrapText="1"/>
    </xf>
    <xf numFmtId="0" fontId="131" fillId="53" borderId="23" xfId="0" applyFont="1" applyFill="1" applyBorder="1" applyAlignment="1">
      <alignment horizontal="left" vertical="center" wrapText="1"/>
    </xf>
    <xf numFmtId="49" fontId="98" fillId="0" borderId="63" xfId="0" applyNumberFormat="1" applyFont="1" applyBorder="1" applyAlignment="1">
      <alignment horizontal="left" vertical="center" wrapText="1"/>
    </xf>
    <xf numFmtId="2" fontId="98" fillId="0" borderId="68" xfId="0" applyNumberFormat="1" applyFont="1" applyBorder="1" applyAlignment="1">
      <alignment horizontal="center" vertical="center" wrapText="1"/>
    </xf>
    <xf numFmtId="49" fontId="98" fillId="0" borderId="33" xfId="0" applyNumberFormat="1" applyFont="1" applyBorder="1" applyAlignment="1">
      <alignment horizontal="left" vertical="center" wrapText="1"/>
    </xf>
    <xf numFmtId="2" fontId="98" fillId="0" borderId="34" xfId="0" applyNumberFormat="1" applyFont="1" applyBorder="1" applyAlignment="1">
      <alignment horizontal="center" vertical="center" wrapText="1"/>
    </xf>
    <xf numFmtId="49" fontId="98" fillId="0" borderId="37" xfId="0" applyNumberFormat="1" applyFont="1" applyBorder="1" applyAlignment="1">
      <alignment horizontal="left" vertical="center" wrapText="1"/>
    </xf>
    <xf numFmtId="2" fontId="98" fillId="0" borderId="38" xfId="0" applyNumberFormat="1" applyFont="1" applyBorder="1" applyAlignment="1">
      <alignment horizontal="center" vertical="center" wrapText="1"/>
    </xf>
    <xf numFmtId="0" fontId="102" fillId="102" borderId="0" xfId="1" applyFont="1" applyFill="1" applyBorder="1" applyAlignment="1" applyProtection="1">
      <alignment vertical="center"/>
      <protection hidden="1"/>
    </xf>
    <xf numFmtId="0" fontId="102" fillId="0" borderId="0" xfId="1" applyFont="1" applyFill="1" applyBorder="1" applyAlignment="1" applyProtection="1">
      <alignment vertical="center"/>
      <protection hidden="1"/>
    </xf>
    <xf numFmtId="0" fontId="131" fillId="53" borderId="58" xfId="0" applyFont="1" applyFill="1" applyBorder="1" applyAlignment="1">
      <alignment horizontal="left" vertical="center" wrapText="1" indent="1"/>
    </xf>
    <xf numFmtId="0" fontId="131" fillId="53" borderId="57" xfId="0" applyFont="1" applyFill="1" applyBorder="1" applyAlignment="1">
      <alignment horizontal="center" vertical="center" wrapText="1"/>
    </xf>
    <xf numFmtId="0" fontId="131" fillId="53" borderId="27" xfId="0" applyFont="1" applyFill="1" applyBorder="1" applyAlignment="1">
      <alignment horizontal="center" vertical="center" wrapText="1"/>
    </xf>
    <xf numFmtId="0" fontId="98" fillId="0" borderId="49" xfId="0" applyFont="1" applyBorder="1" applyAlignment="1">
      <alignment horizontal="right" vertical="center" wrapText="1"/>
    </xf>
    <xf numFmtId="10" fontId="98" fillId="0" borderId="66" xfId="0" applyNumberFormat="1" applyFont="1" applyBorder="1" applyAlignment="1">
      <alignment horizontal="right" vertical="center" wrapText="1"/>
    </xf>
    <xf numFmtId="0" fontId="98" fillId="0" borderId="66" xfId="0" applyFont="1" applyBorder="1" applyAlignment="1">
      <alignment horizontal="right" vertical="center" wrapText="1"/>
    </xf>
    <xf numFmtId="3" fontId="98" fillId="0" borderId="66" xfId="0" applyNumberFormat="1" applyFont="1" applyBorder="1" applyAlignment="1">
      <alignment horizontal="right" vertical="center" wrapText="1"/>
    </xf>
    <xf numFmtId="10" fontId="98" fillId="0" borderId="67" xfId="0" applyNumberFormat="1" applyFont="1" applyBorder="1" applyAlignment="1">
      <alignment horizontal="right" vertical="center" wrapText="1"/>
    </xf>
    <xf numFmtId="0" fontId="98" fillId="0" borderId="50" xfId="0" applyFont="1" applyBorder="1" applyAlignment="1">
      <alignment horizontal="right" vertical="center" wrapText="1"/>
    </xf>
    <xf numFmtId="10" fontId="98" fillId="0" borderId="1" xfId="0" applyNumberFormat="1" applyFont="1" applyBorder="1" applyAlignment="1">
      <alignment horizontal="right" vertical="center" wrapText="1"/>
    </xf>
    <xf numFmtId="0" fontId="98" fillId="0" borderId="1" xfId="0" applyFont="1" applyBorder="1" applyAlignment="1">
      <alignment horizontal="right" vertical="center" wrapText="1"/>
    </xf>
    <xf numFmtId="3" fontId="98" fillId="0" borderId="1" xfId="0" applyNumberFormat="1" applyFont="1" applyBorder="1" applyAlignment="1">
      <alignment horizontal="right" vertical="center" wrapText="1"/>
    </xf>
    <xf numFmtId="10" fontId="98" fillId="0" borderId="54" xfId="0" applyNumberFormat="1" applyFont="1" applyBorder="1" applyAlignment="1">
      <alignment horizontal="right" vertical="center" wrapText="1"/>
    </xf>
    <xf numFmtId="0" fontId="98" fillId="0" borderId="51" xfId="0" applyFont="1" applyBorder="1" applyAlignment="1">
      <alignment horizontal="right" vertical="center" wrapText="1"/>
    </xf>
    <xf numFmtId="10" fontId="98" fillId="0" borderId="22" xfId="0" applyNumberFormat="1" applyFont="1" applyBorder="1" applyAlignment="1">
      <alignment horizontal="right" vertical="center" wrapText="1"/>
    </xf>
    <xf numFmtId="0" fontId="98" fillId="0" borderId="22" xfId="0" applyFont="1" applyBorder="1" applyAlignment="1">
      <alignment horizontal="right" vertical="center" wrapText="1"/>
    </xf>
    <xf numFmtId="3" fontId="98" fillId="0" borderId="22" xfId="0" applyNumberFormat="1" applyFont="1" applyBorder="1" applyAlignment="1">
      <alignment horizontal="right" vertical="center" wrapText="1"/>
    </xf>
    <xf numFmtId="10" fontId="98" fillId="0" borderId="55" xfId="0" applyNumberFormat="1" applyFont="1" applyBorder="1" applyAlignment="1">
      <alignment horizontal="right" vertical="center" wrapText="1"/>
    </xf>
    <xf numFmtId="0" fontId="0" fillId="0" borderId="0" xfId="0" applyAlignment="1">
      <alignment horizontal="left"/>
    </xf>
    <xf numFmtId="0" fontId="131" fillId="53" borderId="24" xfId="0" applyFont="1" applyFill="1" applyBorder="1" applyAlignment="1">
      <alignment vertical="center" wrapText="1"/>
    </xf>
    <xf numFmtId="1" fontId="131" fillId="53" borderId="23" xfId="0" applyNumberFormat="1" applyFont="1" applyFill="1" applyBorder="1" applyAlignment="1">
      <alignment vertical="center" wrapText="1"/>
    </xf>
    <xf numFmtId="1" fontId="98" fillId="0" borderId="33" xfId="0" applyNumberFormat="1" applyFont="1" applyBorder="1" applyAlignment="1">
      <alignment horizontal="left" vertical="center" wrapText="1"/>
    </xf>
    <xf numFmtId="1" fontId="98" fillId="0" borderId="33" xfId="0" applyNumberFormat="1" applyFont="1" applyBorder="1" applyAlignment="1">
      <alignment horizontal="right"/>
    </xf>
    <xf numFmtId="1" fontId="98" fillId="0" borderId="34" xfId="0" applyNumberFormat="1" applyFont="1" applyBorder="1"/>
    <xf numFmtId="2" fontId="98" fillId="0" borderId="34" xfId="0" applyNumberFormat="1" applyFont="1" applyBorder="1"/>
    <xf numFmtId="49" fontId="98" fillId="0" borderId="35" xfId="0" applyNumberFormat="1" applyFont="1" applyBorder="1" applyAlignment="1">
      <alignment horizontal="left" vertical="center" wrapText="1"/>
    </xf>
    <xf numFmtId="1" fontId="98" fillId="0" borderId="35" xfId="0" applyNumberFormat="1" applyFont="1" applyBorder="1" applyAlignment="1">
      <alignment horizontal="right"/>
    </xf>
    <xf numFmtId="1" fontId="98" fillId="0" borderId="36" xfId="0" applyNumberFormat="1" applyFont="1" applyBorder="1"/>
    <xf numFmtId="2" fontId="98" fillId="0" borderId="36" xfId="0" applyNumberFormat="1" applyFont="1" applyBorder="1"/>
    <xf numFmtId="1" fontId="98" fillId="0" borderId="35" xfId="0" applyNumberFormat="1" applyFont="1" applyBorder="1" applyAlignment="1">
      <alignment horizontal="left" vertical="center" wrapText="1"/>
    </xf>
    <xf numFmtId="1" fontId="98" fillId="0" borderId="35" xfId="0" applyNumberFormat="1" applyFont="1" applyBorder="1"/>
    <xf numFmtId="49" fontId="98" fillId="0" borderId="43" xfId="0" applyNumberFormat="1" applyFont="1" applyBorder="1" applyAlignment="1">
      <alignment horizontal="left" vertical="center" wrapText="1"/>
    </xf>
    <xf numFmtId="1" fontId="98" fillId="0" borderId="43" xfId="0" applyNumberFormat="1" applyFont="1" applyBorder="1" applyAlignment="1">
      <alignment horizontal="left" vertical="center" wrapText="1"/>
    </xf>
    <xf numFmtId="1" fontId="98" fillId="0" borderId="43" xfId="0" applyNumberFormat="1" applyFont="1" applyBorder="1"/>
    <xf numFmtId="1" fontId="98" fillId="0" borderId="31" xfId="0" applyNumberFormat="1" applyFont="1" applyBorder="1"/>
    <xf numFmtId="2" fontId="98" fillId="0" borderId="31" xfId="0" applyNumberFormat="1" applyFont="1" applyBorder="1"/>
    <xf numFmtId="0" fontId="99" fillId="0" borderId="16" xfId="0" applyFont="1" applyBorder="1"/>
    <xf numFmtId="0" fontId="98" fillId="56" borderId="0" xfId="0" applyFont="1" applyFill="1" applyAlignment="1">
      <alignment horizontal="right"/>
    </xf>
    <xf numFmtId="44" fontId="98" fillId="45" borderId="41" xfId="0" applyNumberFormat="1" applyFont="1" applyFill="1" applyBorder="1"/>
    <xf numFmtId="0" fontId="98" fillId="45" borderId="40" xfId="0" applyFont="1" applyFill="1" applyBorder="1"/>
    <xf numFmtId="0" fontId="99" fillId="45" borderId="39" xfId="0" applyFont="1" applyFill="1" applyBorder="1" applyAlignment="1">
      <alignment horizontal="left" vertical="center"/>
    </xf>
    <xf numFmtId="0" fontId="98" fillId="45" borderId="29" xfId="0" applyFont="1" applyFill="1" applyBorder="1" applyAlignment="1">
      <alignment horizontal="center"/>
    </xf>
    <xf numFmtId="1" fontId="98" fillId="0" borderId="29" xfId="0" applyNumberFormat="1" applyFont="1" applyBorder="1" applyAlignment="1">
      <alignment horizontal="center"/>
    </xf>
    <xf numFmtId="44" fontId="98" fillId="0" borderId="29" xfId="0" applyNumberFormat="1" applyFont="1" applyBorder="1"/>
    <xf numFmtId="1" fontId="98" fillId="0" borderId="30" xfId="0" applyNumberFormat="1" applyFont="1" applyBorder="1" applyAlignment="1">
      <alignment horizontal="center"/>
    </xf>
    <xf numFmtId="44" fontId="98" fillId="0" borderId="30" xfId="0" applyNumberFormat="1" applyFont="1" applyBorder="1"/>
    <xf numFmtId="44" fontId="98" fillId="0" borderId="31" xfId="0" applyNumberFormat="1" applyFont="1" applyBorder="1"/>
    <xf numFmtId="44" fontId="98" fillId="0" borderId="23" xfId="0" applyNumberFormat="1" applyFont="1" applyBorder="1" applyAlignment="1">
      <alignment vertical="center"/>
    </xf>
    <xf numFmtId="44" fontId="98" fillId="0" borderId="23" xfId="0" applyNumberFormat="1" applyFont="1" applyBorder="1"/>
    <xf numFmtId="0" fontId="105" fillId="0" borderId="12" xfId="54" applyFont="1" applyBorder="1" applyAlignment="1">
      <alignment horizontal="left" vertical="top" wrapText="1"/>
    </xf>
    <xf numFmtId="0" fontId="105" fillId="0" borderId="12" xfId="54" applyFont="1" applyBorder="1"/>
    <xf numFmtId="0" fontId="105" fillId="44" borderId="12" xfId="54" applyFont="1" applyFill="1" applyBorder="1"/>
    <xf numFmtId="2" fontId="105" fillId="0" borderId="14" xfId="53" applyNumberFormat="1" applyFont="1" applyBorder="1" applyAlignment="1">
      <alignment horizontal="left" vertical="top" wrapText="1"/>
    </xf>
    <xf numFmtId="2" fontId="105" fillId="0" borderId="14" xfId="54" applyNumberFormat="1" applyFont="1" applyBorder="1" applyAlignment="1">
      <alignment horizontal="right" vertical="top" wrapText="1"/>
    </xf>
    <xf numFmtId="2" fontId="105" fillId="0" borderId="14" xfId="54" applyNumberFormat="1" applyFont="1" applyBorder="1" applyAlignment="1">
      <alignment horizontal="right"/>
    </xf>
    <xf numFmtId="3" fontId="105" fillId="0" borderId="1" xfId="54" applyNumberFormat="1" applyFont="1" applyBorder="1" applyAlignment="1">
      <alignment horizontal="right" vertical="top" wrapText="1"/>
    </xf>
    <xf numFmtId="3" fontId="105" fillId="0" borderId="1" xfId="59" applyNumberFormat="1" applyFont="1" applyFill="1" applyBorder="1" applyAlignment="1">
      <alignment horizontal="right"/>
    </xf>
    <xf numFmtId="3" fontId="105" fillId="0" borderId="1" xfId="59" applyNumberFormat="1" applyFont="1" applyFill="1" applyBorder="1"/>
    <xf numFmtId="3" fontId="105" fillId="0" borderId="14" xfId="59" applyNumberFormat="1" applyFont="1" applyFill="1" applyBorder="1"/>
    <xf numFmtId="0" fontId="105" fillId="0" borderId="1" xfId="54" quotePrefix="1" applyFont="1" applyBorder="1" applyAlignment="1">
      <alignment horizontal="left"/>
    </xf>
    <xf numFmtId="0" fontId="105" fillId="44" borderId="1" xfId="54" quotePrefix="1" applyFont="1" applyFill="1" applyBorder="1" applyAlignment="1">
      <alignment horizontal="left"/>
    </xf>
    <xf numFmtId="2" fontId="105" fillId="0" borderId="14" xfId="433" applyNumberFormat="1" applyFont="1" applyBorder="1" applyAlignment="1">
      <alignment horizontal="right"/>
    </xf>
    <xf numFmtId="2" fontId="105" fillId="0" borderId="14" xfId="431" applyNumberFormat="1" applyFont="1" applyBorder="1" applyAlignment="1">
      <alignment horizontal="right"/>
    </xf>
    <xf numFmtId="0" fontId="117" fillId="0" borderId="57" xfId="0" applyFont="1" applyBorder="1" applyAlignment="1">
      <alignment horizontal="center"/>
    </xf>
    <xf numFmtId="0" fontId="99" fillId="0" borderId="57" xfId="0" applyFont="1" applyBorder="1" applyAlignment="1">
      <alignment horizontal="left"/>
    </xf>
    <xf numFmtId="10" fontId="98" fillId="0" borderId="75" xfId="0" applyNumberFormat="1" applyFont="1" applyBorder="1"/>
    <xf numFmtId="9" fontId="98" fillId="0" borderId="75" xfId="0" applyNumberFormat="1" applyFont="1" applyBorder="1"/>
    <xf numFmtId="0" fontId="117" fillId="0" borderId="58" xfId="0" applyFont="1" applyBorder="1" applyAlignment="1">
      <alignment horizontal="center"/>
    </xf>
    <xf numFmtId="0" fontId="99" fillId="0" borderId="58" xfId="0" applyFont="1" applyBorder="1" applyAlignment="1">
      <alignment horizontal="left"/>
    </xf>
    <xf numFmtId="10" fontId="98" fillId="0" borderId="77" xfId="0" applyNumberFormat="1" applyFont="1" applyBorder="1"/>
    <xf numFmtId="0" fontId="122" fillId="45" borderId="1" xfId="0" applyFont="1" applyFill="1" applyBorder="1"/>
    <xf numFmtId="0" fontId="99" fillId="45" borderId="1" xfId="0" applyFont="1" applyFill="1" applyBorder="1" applyAlignment="1">
      <alignment horizontal="left"/>
    </xf>
    <xf numFmtId="9" fontId="98" fillId="45" borderId="1" xfId="0" applyNumberFormat="1" applyFont="1" applyFill="1" applyBorder="1"/>
    <xf numFmtId="10" fontId="98" fillId="45" borderId="1" xfId="0" applyNumberFormat="1" applyFont="1" applyFill="1" applyBorder="1"/>
    <xf numFmtId="0" fontId="98" fillId="45" borderId="1" xfId="0" applyFont="1" applyFill="1" applyBorder="1"/>
    <xf numFmtId="44" fontId="98" fillId="0" borderId="29" xfId="49" applyFont="1" applyFill="1" applyBorder="1" applyAlignment="1">
      <alignment horizontal="center" vertical="center"/>
    </xf>
    <xf numFmtId="44" fontId="98" fillId="0" borderId="30" xfId="49" applyFont="1" applyFill="1" applyBorder="1" applyAlignment="1">
      <alignment horizontal="center" vertical="center"/>
    </xf>
    <xf numFmtId="44" fontId="98" fillId="0" borderId="31" xfId="49" applyFont="1" applyFill="1" applyBorder="1" applyAlignment="1">
      <alignment horizontal="center" vertical="center"/>
    </xf>
    <xf numFmtId="44" fontId="98" fillId="0" borderId="42" xfId="49" applyFont="1" applyFill="1" applyBorder="1" applyAlignment="1">
      <alignment horizontal="center"/>
    </xf>
    <xf numFmtId="44" fontId="98" fillId="0" borderId="32" xfId="49" applyFont="1" applyFill="1" applyBorder="1" applyAlignment="1">
      <alignment horizontal="right" vertical="center"/>
    </xf>
    <xf numFmtId="44" fontId="98" fillId="0" borderId="42" xfId="49" applyFont="1" applyFill="1" applyBorder="1" applyAlignment="1">
      <alignment horizontal="center" vertical="center"/>
    </xf>
    <xf numFmtId="44" fontId="98" fillId="0" borderId="42" xfId="0" applyNumberFormat="1" applyFont="1" applyBorder="1" applyAlignment="1">
      <alignment horizontal="right" vertical="center"/>
    </xf>
    <xf numFmtId="44" fontId="98" fillId="0" borderId="42" xfId="0" applyNumberFormat="1" applyFont="1" applyBorder="1" applyAlignment="1">
      <alignment horizontal="center" vertical="center"/>
    </xf>
    <xf numFmtId="44" fontId="98" fillId="0" borderId="43" xfId="49" applyFont="1" applyFill="1" applyBorder="1" applyAlignment="1">
      <alignment horizontal="right" vertical="center"/>
    </xf>
    <xf numFmtId="44" fontId="98" fillId="0" borderId="16" xfId="0" applyNumberFormat="1" applyFont="1" applyBorder="1" applyAlignment="1">
      <alignment horizontal="center"/>
    </xf>
    <xf numFmtId="44" fontId="98" fillId="0" borderId="44" xfId="0" applyNumberFormat="1" applyFont="1" applyBorder="1" applyAlignment="1">
      <alignment horizontal="right" vertical="center"/>
    </xf>
    <xf numFmtId="44" fontId="98" fillId="0" borderId="44" xfId="0" applyNumberFormat="1" applyFont="1" applyBorder="1" applyAlignment="1">
      <alignment horizontal="center" vertical="center"/>
    </xf>
    <xf numFmtId="44" fontId="98" fillId="0" borderId="39" xfId="0" applyNumberFormat="1" applyFont="1" applyBorder="1"/>
    <xf numFmtId="44" fontId="98" fillId="0" borderId="32" xfId="0" applyNumberFormat="1" applyFont="1" applyBorder="1"/>
    <xf numFmtId="44" fontId="98" fillId="0" borderId="43" xfId="0" applyNumberFormat="1" applyFont="1" applyBorder="1"/>
    <xf numFmtId="44" fontId="98" fillId="0" borderId="39" xfId="49" applyFont="1" applyFill="1" applyBorder="1" applyAlignment="1">
      <alignment horizontal="center" vertical="center"/>
    </xf>
    <xf numFmtId="0" fontId="98" fillId="0" borderId="41" xfId="0" applyFont="1" applyBorder="1" applyAlignment="1">
      <alignment vertical="center"/>
    </xf>
    <xf numFmtId="44" fontId="98" fillId="0" borderId="32" xfId="49" applyFont="1" applyFill="1" applyBorder="1" applyAlignment="1">
      <alignment horizontal="center" vertical="center"/>
    </xf>
    <xf numFmtId="0" fontId="98" fillId="0" borderId="42" xfId="0" applyFont="1" applyBorder="1" applyAlignment="1">
      <alignment vertical="center"/>
    </xf>
    <xf numFmtId="44" fontId="98" fillId="0" borderId="43" xfId="49" applyFont="1" applyFill="1" applyBorder="1" applyAlignment="1">
      <alignment horizontal="center" vertical="center"/>
    </xf>
    <xf numFmtId="0" fontId="98" fillId="0" borderId="44" xfId="0" applyFont="1" applyBorder="1" applyAlignment="1">
      <alignment vertical="center"/>
    </xf>
    <xf numFmtId="9" fontId="98" fillId="0" borderId="68" xfId="50" applyFont="1" applyFill="1" applyBorder="1" applyAlignment="1">
      <alignment horizontal="center" vertical="center"/>
    </xf>
    <xf numFmtId="44" fontId="98" fillId="0" borderId="68" xfId="0" applyNumberFormat="1" applyFont="1" applyBorder="1" applyAlignment="1">
      <alignment horizontal="left" vertical="center" wrapText="1"/>
    </xf>
    <xf numFmtId="9" fontId="98" fillId="0" borderId="36" xfId="50" applyFont="1" applyFill="1" applyBorder="1" applyAlignment="1">
      <alignment horizontal="center" vertical="center"/>
    </xf>
    <xf numFmtId="44" fontId="98" fillId="0" borderId="36" xfId="0" applyNumberFormat="1" applyFont="1" applyBorder="1" applyAlignment="1">
      <alignment horizontal="left" vertical="center" wrapText="1"/>
    </xf>
    <xf numFmtId="1" fontId="98" fillId="0" borderId="38" xfId="0" applyNumberFormat="1" applyFont="1" applyBorder="1" applyAlignment="1">
      <alignment horizontal="center" vertical="center"/>
    </xf>
    <xf numFmtId="9" fontId="98" fillId="0" borderId="38" xfId="50" applyFont="1" applyFill="1" applyBorder="1" applyAlignment="1">
      <alignment horizontal="center" vertical="center"/>
    </xf>
    <xf numFmtId="44" fontId="98" fillId="0" borderId="38" xfId="0" applyNumberFormat="1" applyFont="1" applyBorder="1" applyAlignment="1">
      <alignment horizontal="left" vertical="center" wrapText="1"/>
    </xf>
    <xf numFmtId="44" fontId="98" fillId="0" borderId="23" xfId="0" applyNumberFormat="1" applyFont="1" applyBorder="1" applyAlignment="1">
      <alignment horizontal="center" vertical="center"/>
    </xf>
    <xf numFmtId="0" fontId="98" fillId="45" borderId="16" xfId="0" applyFont="1" applyFill="1" applyBorder="1"/>
    <xf numFmtId="0" fontId="0" fillId="45" borderId="40" xfId="0" applyFill="1" applyBorder="1"/>
    <xf numFmtId="0" fontId="107" fillId="45" borderId="43" xfId="0" applyFont="1" applyFill="1" applyBorder="1" applyAlignment="1">
      <alignment horizontal="left" vertical="center"/>
    </xf>
    <xf numFmtId="0" fontId="113" fillId="45" borderId="16" xfId="0" applyFont="1" applyFill="1" applyBorder="1"/>
    <xf numFmtId="0" fontId="0" fillId="45" borderId="16" xfId="0" applyFill="1" applyBorder="1"/>
    <xf numFmtId="0" fontId="99" fillId="45" borderId="32" xfId="0" applyFont="1" applyFill="1" applyBorder="1" applyAlignment="1">
      <alignment horizontal="left" vertical="center"/>
    </xf>
    <xf numFmtId="0" fontId="0" fillId="45" borderId="41" xfId="0" applyFill="1" applyBorder="1"/>
    <xf numFmtId="0" fontId="0" fillId="45" borderId="44" xfId="0" applyFill="1" applyBorder="1"/>
    <xf numFmtId="0" fontId="132" fillId="0" borderId="0" xfId="0" applyFont="1" applyAlignment="1">
      <alignment horizontal="left"/>
    </xf>
    <xf numFmtId="0" fontId="98" fillId="45" borderId="1" xfId="0" applyFont="1" applyFill="1" applyBorder="1" applyAlignment="1">
      <alignment horizontal="left" vertical="center"/>
    </xf>
    <xf numFmtId="0" fontId="106" fillId="106" borderId="0" xfId="0" applyFont="1" applyFill="1" applyProtection="1">
      <protection hidden="1"/>
    </xf>
    <xf numFmtId="0" fontId="101" fillId="106" borderId="0" xfId="0" applyFont="1" applyFill="1" applyAlignment="1" applyProtection="1">
      <alignment horizontal="left"/>
      <protection hidden="1"/>
    </xf>
    <xf numFmtId="0" fontId="106" fillId="50" borderId="0" xfId="0" applyFont="1" applyFill="1" applyProtection="1">
      <protection hidden="1"/>
    </xf>
    <xf numFmtId="0" fontId="100" fillId="50" borderId="0" xfId="0" applyFont="1" applyFill="1" applyAlignment="1" applyProtection="1">
      <alignment horizontal="left"/>
      <protection hidden="1"/>
    </xf>
    <xf numFmtId="0" fontId="15" fillId="5" borderId="0" xfId="0" applyFont="1" applyFill="1" applyAlignment="1" applyProtection="1">
      <alignment horizontal="center" vertical="center" wrapText="1"/>
      <protection hidden="1"/>
    </xf>
    <xf numFmtId="0" fontId="98" fillId="45" borderId="43" xfId="0" applyFont="1" applyFill="1" applyBorder="1" applyAlignment="1">
      <alignment horizontal="center" wrapText="1"/>
    </xf>
    <xf numFmtId="1" fontId="98" fillId="45" borderId="1" xfId="0" applyNumberFormat="1" applyFont="1" applyFill="1" applyBorder="1" applyAlignment="1">
      <alignment horizontal="left" vertical="center"/>
    </xf>
    <xf numFmtId="1" fontId="98" fillId="0" borderId="68" xfId="0" applyNumberFormat="1" applyFont="1" applyBorder="1" applyAlignment="1">
      <alignment horizontal="center" vertical="center"/>
    </xf>
    <xf numFmtId="1" fontId="98" fillId="0" borderId="36" xfId="0" applyNumberFormat="1" applyFont="1" applyBorder="1" applyAlignment="1">
      <alignment horizontal="center" vertical="center"/>
    </xf>
    <xf numFmtId="0" fontId="107" fillId="45" borderId="23" xfId="0" applyFont="1" applyFill="1" applyBorder="1" applyAlignment="1">
      <alignment horizontal="right"/>
    </xf>
    <xf numFmtId="44" fontId="107" fillId="45" borderId="23" xfId="0" applyNumberFormat="1" applyFont="1" applyFill="1" applyBorder="1" applyAlignment="1">
      <alignment horizontal="center"/>
    </xf>
    <xf numFmtId="44" fontId="107" fillId="45" borderId="24" xfId="0" applyNumberFormat="1" applyFont="1" applyFill="1" applyBorder="1" applyAlignment="1">
      <alignment horizontal="center"/>
    </xf>
    <xf numFmtId="44" fontId="107" fillId="45" borderId="52" xfId="0" applyNumberFormat="1" applyFont="1" applyFill="1" applyBorder="1" applyAlignment="1">
      <alignment horizontal="center"/>
    </xf>
    <xf numFmtId="44" fontId="107" fillId="45" borderId="53" xfId="0" applyNumberFormat="1" applyFont="1" applyFill="1" applyBorder="1" applyAlignment="1">
      <alignment horizontal="center"/>
    </xf>
    <xf numFmtId="0" fontId="15" fillId="5" borderId="0" xfId="0" applyFont="1" applyFill="1" applyAlignment="1" applyProtection="1">
      <alignment horizontal="left" vertical="center" wrapText="1"/>
      <protection hidden="1"/>
    </xf>
    <xf numFmtId="0" fontId="15" fillId="46" borderId="0" xfId="0" applyFont="1" applyFill="1" applyAlignment="1" applyProtection="1">
      <alignment horizontal="left" vertical="center" wrapText="1"/>
      <protection hidden="1"/>
    </xf>
    <xf numFmtId="0" fontId="15" fillId="102" borderId="0" xfId="0" applyFont="1" applyFill="1" applyAlignment="1" applyProtection="1">
      <alignment horizontal="left" vertical="center" wrapText="1"/>
      <protection hidden="1"/>
    </xf>
    <xf numFmtId="0" fontId="122" fillId="0" borderId="26" xfId="0" applyFont="1" applyBorder="1"/>
    <xf numFmtId="0" fontId="122" fillId="0" borderId="27" xfId="0" applyFont="1" applyBorder="1"/>
    <xf numFmtId="44" fontId="98" fillId="0" borderId="24" xfId="0" applyNumberFormat="1" applyFont="1" applyBorder="1"/>
    <xf numFmtId="44" fontId="98" fillId="0" borderId="41" xfId="0" applyNumberFormat="1" applyFont="1" applyBorder="1"/>
    <xf numFmtId="44" fontId="98" fillId="0" borderId="44" xfId="0" applyNumberFormat="1" applyFont="1" applyBorder="1"/>
    <xf numFmtId="44" fontId="98" fillId="0" borderId="24" xfId="49" applyFont="1" applyFill="1" applyBorder="1" applyAlignment="1">
      <alignment horizontal="center"/>
    </xf>
    <xf numFmtId="44" fontId="98" fillId="0" borderId="53" xfId="49" applyFont="1" applyFill="1" applyBorder="1" applyAlignment="1">
      <alignment horizontal="center"/>
    </xf>
    <xf numFmtId="0" fontId="99" fillId="45" borderId="0" xfId="0" applyFont="1" applyFill="1" applyAlignment="1">
      <alignment horizontal="center"/>
    </xf>
    <xf numFmtId="44" fontId="98" fillId="45" borderId="0" xfId="49" applyFont="1" applyFill="1" applyBorder="1" applyAlignment="1">
      <alignment horizontal="center"/>
    </xf>
    <xf numFmtId="0" fontId="0" fillId="0" borderId="16" xfId="0" applyBorder="1" applyAlignment="1">
      <alignment horizontal="right"/>
    </xf>
    <xf numFmtId="0" fontId="117" fillId="0" borderId="26" xfId="0" applyFont="1" applyBorder="1"/>
    <xf numFmtId="2" fontId="117" fillId="0" borderId="27" xfId="0" applyNumberFormat="1" applyFont="1" applyBorder="1"/>
    <xf numFmtId="0" fontId="113" fillId="45" borderId="42" xfId="0" applyFont="1" applyFill="1" applyBorder="1" applyAlignment="1">
      <alignment horizontal="center"/>
    </xf>
    <xf numFmtId="9" fontId="113" fillId="45" borderId="16" xfId="50" applyFont="1" applyFill="1" applyBorder="1" applyAlignment="1">
      <alignment horizontal="center"/>
    </xf>
    <xf numFmtId="9" fontId="113" fillId="45" borderId="44" xfId="50" applyFont="1" applyFill="1" applyBorder="1" applyAlignment="1">
      <alignment horizontal="center"/>
    </xf>
    <xf numFmtId="0" fontId="98" fillId="45" borderId="0" xfId="0" applyFont="1" applyFill="1" applyAlignment="1">
      <alignment horizontal="center"/>
    </xf>
    <xf numFmtId="0" fontId="98" fillId="45" borderId="39" xfId="0" applyFont="1" applyFill="1" applyBorder="1" applyAlignment="1">
      <alignment horizontal="right" wrapText="1"/>
    </xf>
    <xf numFmtId="0" fontId="98" fillId="45" borderId="32" xfId="0" applyFont="1" applyFill="1" applyBorder="1" applyAlignment="1">
      <alignment horizontal="right" wrapText="1"/>
    </xf>
    <xf numFmtId="0" fontId="98" fillId="45" borderId="42" xfId="0" applyFont="1" applyFill="1" applyBorder="1" applyAlignment="1">
      <alignment horizontal="center"/>
    </xf>
    <xf numFmtId="0" fontId="117" fillId="0" borderId="23" xfId="0" applyFont="1" applyBorder="1"/>
    <xf numFmtId="0" fontId="99" fillId="0" borderId="23" xfId="0" applyFont="1" applyBorder="1" applyAlignment="1">
      <alignment horizontal="left"/>
    </xf>
    <xf numFmtId="0" fontId="117" fillId="45" borderId="14" xfId="0" applyFont="1" applyFill="1" applyBorder="1" applyAlignment="1">
      <alignment horizontal="center"/>
    </xf>
    <xf numFmtId="0" fontId="99" fillId="45" borderId="14" xfId="0" applyFont="1" applyFill="1" applyBorder="1" applyAlignment="1">
      <alignment horizontal="left"/>
    </xf>
    <xf numFmtId="9" fontId="98" fillId="45" borderId="14" xfId="0" applyNumberFormat="1" applyFont="1" applyFill="1" applyBorder="1"/>
    <xf numFmtId="0" fontId="98" fillId="45" borderId="14" xfId="0" applyFont="1" applyFill="1" applyBorder="1"/>
    <xf numFmtId="0" fontId="117" fillId="0" borderId="27" xfId="0" applyFont="1" applyBorder="1" applyAlignment="1">
      <alignment horizontal="center"/>
    </xf>
    <xf numFmtId="0" fontId="99" fillId="0" borderId="27" xfId="0" applyFont="1" applyBorder="1" applyAlignment="1">
      <alignment horizontal="left"/>
    </xf>
    <xf numFmtId="9" fontId="98" fillId="0" borderId="76" xfId="0" applyNumberFormat="1" applyFont="1" applyBorder="1"/>
    <xf numFmtId="0" fontId="98" fillId="0" borderId="95" xfId="0" applyFont="1" applyBorder="1"/>
    <xf numFmtId="0" fontId="98" fillId="0" borderId="96" xfId="0" applyFont="1" applyBorder="1"/>
    <xf numFmtId="0" fontId="98" fillId="0" borderId="56" xfId="0" applyFont="1" applyBorder="1"/>
    <xf numFmtId="0" fontId="98" fillId="45" borderId="43" xfId="0" applyFont="1" applyFill="1" applyBorder="1" applyAlignment="1">
      <alignment horizontal="right" wrapText="1"/>
    </xf>
    <xf numFmtId="0" fontId="98" fillId="45" borderId="40" xfId="0" applyFont="1" applyFill="1" applyBorder="1" applyAlignment="1">
      <alignment horizontal="center"/>
    </xf>
    <xf numFmtId="0" fontId="98" fillId="45" borderId="41" xfId="0" applyFont="1" applyFill="1" applyBorder="1" applyAlignment="1">
      <alignment horizontal="center"/>
    </xf>
    <xf numFmtId="44" fontId="98" fillId="53" borderId="30" xfId="0" applyNumberFormat="1" applyFont="1" applyFill="1" applyBorder="1" applyAlignment="1">
      <alignment horizontal="right"/>
    </xf>
    <xf numFmtId="44" fontId="98" fillId="53" borderId="30" xfId="0" applyNumberFormat="1" applyFont="1" applyFill="1" applyBorder="1"/>
    <xf numFmtId="44" fontId="98" fillId="53" borderId="31" xfId="0" applyNumberFormat="1" applyFont="1" applyFill="1" applyBorder="1"/>
    <xf numFmtId="44" fontId="98" fillId="53" borderId="29" xfId="0" applyNumberFormat="1" applyFont="1" applyFill="1" applyBorder="1"/>
    <xf numFmtId="44" fontId="98" fillId="53" borderId="29" xfId="0" applyNumberFormat="1" applyFont="1" applyFill="1" applyBorder="1" applyAlignment="1">
      <alignment horizontal="right"/>
    </xf>
    <xf numFmtId="44" fontId="98" fillId="53" borderId="31" xfId="0" applyNumberFormat="1" applyFont="1" applyFill="1" applyBorder="1" applyAlignment="1">
      <alignment horizontal="right"/>
    </xf>
    <xf numFmtId="164" fontId="98" fillId="45" borderId="39" xfId="0" applyNumberFormat="1" applyFont="1" applyFill="1" applyBorder="1"/>
    <xf numFmtId="164" fontId="113" fillId="45" borderId="43" xfId="0" applyNumberFormat="1" applyFont="1" applyFill="1" applyBorder="1"/>
    <xf numFmtId="164" fontId="98" fillId="45" borderId="32" xfId="0" applyNumberFormat="1" applyFont="1" applyFill="1" applyBorder="1"/>
    <xf numFmtId="0" fontId="98" fillId="0" borderId="0" xfId="0" applyFont="1" applyAlignment="1" applyProtection="1">
      <alignment horizontal="right" vertical="center"/>
      <protection hidden="1"/>
    </xf>
    <xf numFmtId="0" fontId="98" fillId="0" borderId="0" xfId="0" applyFont="1" applyAlignment="1" applyProtection="1">
      <alignment horizontal="right" vertical="top"/>
      <protection hidden="1"/>
    </xf>
    <xf numFmtId="3" fontId="98" fillId="55" borderId="1" xfId="0" applyNumberFormat="1" applyFont="1" applyFill="1" applyBorder="1" applyAlignment="1" applyProtection="1">
      <alignment horizontal="center" vertical="center"/>
      <protection locked="0"/>
    </xf>
    <xf numFmtId="0" fontId="98" fillId="0" borderId="1" xfId="0" applyFont="1" applyBorder="1" applyAlignment="1">
      <alignment horizontal="center"/>
    </xf>
    <xf numFmtId="0" fontId="98" fillId="0" borderId="0" xfId="0" applyFont="1" applyAlignment="1">
      <alignment horizontal="left" wrapText="1" indent="1"/>
    </xf>
    <xf numFmtId="0" fontId="98" fillId="0" borderId="0" xfId="0" applyFont="1" applyAlignment="1">
      <alignment horizontal="left" indent="1"/>
    </xf>
    <xf numFmtId="0" fontId="98" fillId="0" borderId="0" xfId="0" applyFont="1" applyAlignment="1">
      <alignment horizontal="left" vertical="center" indent="1"/>
    </xf>
    <xf numFmtId="2" fontId="98" fillId="107" borderId="1" xfId="0" applyNumberFormat="1" applyFont="1" applyFill="1" applyBorder="1" applyAlignment="1">
      <alignment horizontal="center" vertical="center"/>
    </xf>
    <xf numFmtId="1" fontId="98" fillId="107" borderId="1" xfId="0" applyNumberFormat="1" applyFont="1" applyFill="1" applyBorder="1" applyAlignment="1">
      <alignment horizontal="center" vertical="center"/>
    </xf>
    <xf numFmtId="0" fontId="98" fillId="107" borderId="1" xfId="0" applyFont="1" applyFill="1" applyBorder="1" applyAlignment="1">
      <alignment horizontal="center"/>
    </xf>
    <xf numFmtId="2" fontId="98" fillId="107" borderId="1" xfId="0" applyNumberFormat="1" applyFont="1" applyFill="1" applyBorder="1" applyAlignment="1">
      <alignment horizontal="center"/>
    </xf>
    <xf numFmtId="3" fontId="98" fillId="107" borderId="1" xfId="0" applyNumberFormat="1" applyFont="1" applyFill="1" applyBorder="1" applyAlignment="1">
      <alignment horizontal="center" vertical="center"/>
    </xf>
    <xf numFmtId="0" fontId="25" fillId="107" borderId="1" xfId="0" applyFont="1" applyFill="1" applyBorder="1" applyAlignment="1">
      <alignment vertical="top"/>
    </xf>
    <xf numFmtId="0" fontId="0" fillId="0" borderId="0" xfId="0" applyAlignment="1">
      <alignment wrapText="1"/>
    </xf>
    <xf numFmtId="0" fontId="98" fillId="0" borderId="0" xfId="0" applyFont="1" applyAlignment="1">
      <alignment horizontal="center" wrapText="1"/>
    </xf>
    <xf numFmtId="0" fontId="99" fillId="0" borderId="0" xfId="0" applyFont="1" applyAlignment="1">
      <alignment horizontal="right" wrapText="1" indent="1"/>
    </xf>
    <xf numFmtId="0" fontId="98" fillId="0" borderId="0" xfId="0" applyFont="1" applyAlignment="1">
      <alignment horizontal="right" vertical="center" wrapText="1" indent="1" readingOrder="1"/>
    </xf>
    <xf numFmtId="0" fontId="98" fillId="0" borderId="0" xfId="0" applyFont="1" applyAlignment="1">
      <alignment horizontal="right" vertical="center" wrapText="1" indent="1"/>
    </xf>
    <xf numFmtId="0" fontId="98" fillId="0" borderId="0" xfId="0" applyFont="1" applyAlignment="1">
      <alignment horizontal="right" vertical="center" indent="1"/>
    </xf>
    <xf numFmtId="0" fontId="98" fillId="0" borderId="0" xfId="0" applyFont="1" applyAlignment="1">
      <alignment horizontal="right" indent="1"/>
    </xf>
    <xf numFmtId="0" fontId="113" fillId="0" borderId="1" xfId="0" applyFont="1" applyBorder="1" applyAlignment="1">
      <alignment horizontal="center"/>
    </xf>
    <xf numFmtId="2" fontId="98" fillId="55" borderId="1" xfId="0" applyNumberFormat="1" applyFont="1" applyFill="1" applyBorder="1" applyAlignment="1" applyProtection="1">
      <alignment horizontal="center"/>
      <protection locked="0"/>
    </xf>
    <xf numFmtId="1" fontId="99" fillId="107" borderId="1" xfId="0" applyNumberFormat="1" applyFont="1" applyFill="1" applyBorder="1" applyAlignment="1">
      <alignment horizontal="center" vertical="center"/>
    </xf>
    <xf numFmtId="0" fontId="98" fillId="0" borderId="2" xfId="0" applyFont="1" applyBorder="1" applyAlignment="1">
      <alignment horizontal="center" vertical="center" wrapText="1"/>
    </xf>
    <xf numFmtId="3" fontId="99" fillId="107" borderId="1" xfId="0" applyNumberFormat="1" applyFont="1" applyFill="1" applyBorder="1" applyAlignment="1">
      <alignment horizontal="center" vertical="center"/>
    </xf>
    <xf numFmtId="0" fontId="115" fillId="0" borderId="0" xfId="0" applyFont="1" applyAlignment="1">
      <alignment horizontal="left"/>
    </xf>
    <xf numFmtId="0" fontId="133" fillId="0" borderId="0" xfId="0" applyFont="1" applyAlignment="1">
      <alignment horizontal="left"/>
    </xf>
    <xf numFmtId="0" fontId="112" fillId="0" borderId="0" xfId="0" applyFont="1" applyAlignment="1">
      <alignment horizontal="left"/>
    </xf>
    <xf numFmtId="0" fontId="113" fillId="0" borderId="98" xfId="0" applyFont="1" applyBorder="1"/>
    <xf numFmtId="0" fontId="98" fillId="0" borderId="98" xfId="0" applyFont="1" applyBorder="1"/>
    <xf numFmtId="0" fontId="98" fillId="0" borderId="98" xfId="0" applyFont="1" applyBorder="1" applyAlignment="1">
      <alignment horizontal="center"/>
    </xf>
    <xf numFmtId="3" fontId="98" fillId="0" borderId="0" xfId="0" applyNumberFormat="1" applyFont="1" applyAlignment="1">
      <alignment horizontal="right"/>
    </xf>
    <xf numFmtId="0" fontId="98" fillId="0" borderId="97" xfId="0" applyFont="1" applyBorder="1" applyAlignment="1">
      <alignment horizontal="center" wrapText="1"/>
    </xf>
    <xf numFmtId="0" fontId="99" fillId="0" borderId="2" xfId="0" applyFont="1" applyBorder="1" applyAlignment="1">
      <alignment horizontal="center" wrapText="1"/>
    </xf>
    <xf numFmtId="0" fontId="98" fillId="55" borderId="2" xfId="0" applyFont="1" applyFill="1" applyBorder="1" applyAlignment="1" applyProtection="1">
      <alignment horizontal="center"/>
      <protection locked="0"/>
    </xf>
    <xf numFmtId="0" fontId="98" fillId="55" borderId="3" xfId="0" applyFont="1" applyFill="1" applyBorder="1" applyAlignment="1" applyProtection="1">
      <alignment horizontal="center"/>
      <protection locked="0"/>
    </xf>
    <xf numFmtId="0" fontId="98" fillId="55" borderId="97" xfId="0" applyFont="1" applyFill="1" applyBorder="1" applyAlignment="1" applyProtection="1">
      <alignment horizontal="center"/>
      <protection locked="0"/>
    </xf>
    <xf numFmtId="0" fontId="98" fillId="55" borderId="28" xfId="0" applyFont="1" applyFill="1" applyBorder="1" applyAlignment="1" applyProtection="1">
      <alignment horizontal="center"/>
      <protection locked="0"/>
    </xf>
    <xf numFmtId="0" fontId="98" fillId="55" borderId="17" xfId="0" applyFont="1" applyFill="1" applyBorder="1" applyAlignment="1" applyProtection="1">
      <alignment horizontal="center"/>
      <protection locked="0"/>
    </xf>
    <xf numFmtId="0" fontId="98" fillId="55" borderId="19" xfId="0" applyFont="1" applyFill="1" applyBorder="1" applyAlignment="1" applyProtection="1">
      <alignment horizontal="center"/>
      <protection locked="0"/>
    </xf>
    <xf numFmtId="0" fontId="99" fillId="0" borderId="0" xfId="0" applyFont="1" applyAlignment="1">
      <alignment horizontal="right" indent="1"/>
    </xf>
    <xf numFmtId="0" fontId="99" fillId="0" borderId="0" xfId="0" applyFont="1" applyAlignment="1">
      <alignment horizontal="right" vertical="center" indent="1"/>
    </xf>
    <xf numFmtId="0" fontId="99" fillId="0" borderId="98" xfId="0" applyFont="1" applyBorder="1" applyAlignment="1">
      <alignment horizontal="left"/>
    </xf>
    <xf numFmtId="0" fontId="98" fillId="0" borderId="15" xfId="0" applyFont="1" applyBorder="1" applyAlignment="1">
      <alignment horizontal="left" vertical="center" indent="1"/>
    </xf>
    <xf numFmtId="0" fontId="134" fillId="0" borderId="0" xfId="0" applyFont="1" applyAlignment="1">
      <alignment horizontal="left"/>
    </xf>
    <xf numFmtId="0" fontId="134" fillId="0" borderId="0" xfId="0" applyFont="1" applyAlignment="1">
      <alignment horizontal="center"/>
    </xf>
    <xf numFmtId="0" fontId="134" fillId="0" borderId="0" xfId="0" applyFont="1"/>
    <xf numFmtId="0" fontId="135" fillId="0" borderId="0" xfId="0" applyFont="1" applyAlignment="1" applyProtection="1">
      <alignment vertical="center"/>
      <protection hidden="1"/>
    </xf>
    <xf numFmtId="0" fontId="99" fillId="0" borderId="98" xfId="0" applyFont="1" applyBorder="1" applyAlignment="1">
      <alignment horizontal="left" vertical="center"/>
    </xf>
    <xf numFmtId="0" fontId="117" fillId="0" borderId="98" xfId="0" applyFont="1" applyBorder="1"/>
    <xf numFmtId="0" fontId="136" fillId="0" borderId="0" xfId="0" applyFont="1"/>
    <xf numFmtId="0" fontId="137" fillId="0" borderId="0" xfId="0" applyFont="1" applyAlignment="1">
      <alignment horizontal="left" wrapText="1"/>
    </xf>
    <xf numFmtId="1" fontId="98" fillId="107" borderId="1" xfId="0" applyNumberFormat="1" applyFont="1" applyFill="1" applyBorder="1" applyAlignment="1">
      <alignment horizontal="center"/>
    </xf>
    <xf numFmtId="0" fontId="2" fillId="57" borderId="1" xfId="52" applyFont="1" applyFill="1" applyBorder="1"/>
    <xf numFmtId="0" fontId="2" fillId="57" borderId="47" xfId="52" applyFont="1" applyFill="1" applyBorder="1"/>
    <xf numFmtId="0" fontId="2" fillId="57" borderId="3" xfId="0" applyFont="1" applyFill="1" applyBorder="1"/>
    <xf numFmtId="43" fontId="2" fillId="57" borderId="3" xfId="48" applyFont="1" applyFill="1" applyBorder="1"/>
    <xf numFmtId="0" fontId="2" fillId="57" borderId="3" xfId="0" applyFont="1" applyFill="1" applyBorder="1" applyAlignment="1">
      <alignment horizontal="center"/>
    </xf>
    <xf numFmtId="0" fontId="2" fillId="57" borderId="3" xfId="52" applyFont="1" applyFill="1" applyBorder="1"/>
    <xf numFmtId="0" fontId="2" fillId="57" borderId="60" xfId="0" applyFont="1" applyFill="1" applyBorder="1"/>
    <xf numFmtId="0" fontId="98" fillId="107" borderId="3" xfId="0" applyFont="1" applyFill="1" applyBorder="1" applyAlignment="1">
      <alignment horizontal="center"/>
    </xf>
    <xf numFmtId="0" fontId="98" fillId="107" borderId="2" xfId="0" applyFont="1" applyFill="1" applyBorder="1" applyAlignment="1">
      <alignment horizontal="center"/>
    </xf>
    <xf numFmtId="0" fontId="98" fillId="107" borderId="97" xfId="0" applyFont="1" applyFill="1" applyBorder="1" applyAlignment="1">
      <alignment horizontal="center"/>
    </xf>
    <xf numFmtId="9" fontId="98" fillId="107" borderId="1" xfId="50" applyFont="1" applyFill="1" applyBorder="1" applyAlignment="1" applyProtection="1">
      <alignment horizontal="center" vertical="center"/>
    </xf>
    <xf numFmtId="9" fontId="98" fillId="52" borderId="1" xfId="50" applyFont="1" applyFill="1" applyBorder="1" applyAlignment="1" applyProtection="1">
      <alignment horizontal="center" vertical="center"/>
      <protection locked="0"/>
    </xf>
    <xf numFmtId="9" fontId="98" fillId="52" borderId="2" xfId="50" applyFont="1" applyFill="1" applyBorder="1" applyAlignment="1" applyProtection="1">
      <alignment horizontal="center" vertical="center"/>
      <protection locked="0"/>
    </xf>
    <xf numFmtId="0" fontId="98" fillId="55" borderId="2" xfId="0" applyFont="1" applyFill="1" applyBorder="1" applyAlignment="1" applyProtection="1">
      <alignment horizontal="center" vertical="center"/>
      <protection locked="0"/>
    </xf>
    <xf numFmtId="164" fontId="99" fillId="0" borderId="0" xfId="0" quotePrefix="1" applyNumberFormat="1" applyFont="1" applyAlignment="1" applyProtection="1">
      <alignment horizontal="right" vertical="top"/>
      <protection hidden="1"/>
    </xf>
    <xf numFmtId="0" fontId="98" fillId="48" borderId="0" xfId="0" applyFont="1" applyFill="1" applyAlignment="1" applyProtection="1">
      <alignment vertical="center"/>
      <protection hidden="1"/>
    </xf>
    <xf numFmtId="49" fontId="98" fillId="48" borderId="0" xfId="0" quotePrefix="1" applyNumberFormat="1" applyFont="1" applyFill="1" applyAlignment="1" applyProtection="1">
      <alignment horizontal="center" vertical="center"/>
      <protection hidden="1"/>
    </xf>
    <xf numFmtId="0" fontId="98" fillId="0" borderId="0" xfId="0" applyFont="1" applyAlignment="1" applyProtection="1">
      <alignment horizontal="center" vertical="center"/>
      <protection hidden="1"/>
    </xf>
    <xf numFmtId="14" fontId="98" fillId="48" borderId="0" xfId="0" applyNumberFormat="1" applyFont="1" applyFill="1" applyAlignment="1" applyProtection="1">
      <alignment horizontal="center" vertical="top"/>
      <protection hidden="1"/>
    </xf>
    <xf numFmtId="49" fontId="98" fillId="48" borderId="0" xfId="0" applyNumberFormat="1" applyFont="1" applyFill="1" applyAlignment="1" applyProtection="1">
      <alignment horizontal="center" vertical="center"/>
      <protection hidden="1"/>
    </xf>
    <xf numFmtId="14" fontId="98" fillId="48" borderId="0" xfId="0" applyNumberFormat="1" applyFont="1" applyFill="1" applyAlignment="1" applyProtection="1">
      <alignment horizontal="center" vertical="center"/>
      <protection hidden="1"/>
    </xf>
    <xf numFmtId="44" fontId="98" fillId="0" borderId="42" xfId="0" applyNumberFormat="1" applyFont="1" applyBorder="1"/>
    <xf numFmtId="44" fontId="98" fillId="45" borderId="53" xfId="49" applyFont="1" applyFill="1" applyBorder="1" applyAlignment="1">
      <alignment horizontal="center"/>
    </xf>
    <xf numFmtId="3" fontId="105" fillId="0" borderId="1" xfId="53" applyNumberFormat="1" applyFont="1" applyBorder="1" applyAlignment="1">
      <alignment horizontal="center"/>
    </xf>
    <xf numFmtId="3" fontId="105" fillId="0" borderId="28" xfId="53" applyNumberFormat="1" applyFont="1" applyBorder="1" applyAlignment="1">
      <alignment horizontal="center"/>
    </xf>
    <xf numFmtId="0" fontId="105" fillId="0" borderId="12" xfId="53" applyFont="1" applyBorder="1" applyAlignment="1">
      <alignment horizontal="left" vertical="top" wrapText="1"/>
    </xf>
    <xf numFmtId="166" fontId="105" fillId="0" borderId="1" xfId="53" applyNumberFormat="1" applyFont="1" applyBorder="1" applyAlignment="1">
      <alignment vertical="top" wrapText="1"/>
    </xf>
    <xf numFmtId="166" fontId="105" fillId="0" borderId="1" xfId="53" applyNumberFormat="1" applyFont="1" applyBorder="1" applyAlignment="1">
      <alignment horizontal="left" vertical="top" wrapText="1"/>
    </xf>
    <xf numFmtId="166" fontId="105" fillId="0" borderId="1" xfId="54" applyNumberFormat="1" applyFont="1" applyBorder="1" applyAlignment="1">
      <alignment horizontal="right" vertical="top" wrapText="1"/>
    </xf>
    <xf numFmtId="166" fontId="105" fillId="0" borderId="1" xfId="54" applyNumberFormat="1" applyFont="1" applyBorder="1" applyAlignment="1">
      <alignment horizontal="right"/>
    </xf>
    <xf numFmtId="166" fontId="105" fillId="0" borderId="1" xfId="54" applyNumberFormat="1" applyFont="1" applyBorder="1"/>
    <xf numFmtId="166" fontId="105" fillId="0" borderId="1" xfId="53" applyNumberFormat="1" applyFont="1" applyBorder="1" applyAlignment="1">
      <alignment horizontal="right"/>
    </xf>
    <xf numFmtId="166" fontId="105" fillId="52" borderId="1" xfId="53" applyNumberFormat="1" applyFont="1" applyFill="1" applyBorder="1" applyAlignment="1">
      <alignment horizontal="right"/>
    </xf>
    <xf numFmtId="166" fontId="105" fillId="52" borderId="97" xfId="53" applyNumberFormat="1" applyFont="1" applyFill="1" applyBorder="1" applyAlignment="1">
      <alignment horizontal="right"/>
    </xf>
    <xf numFmtId="0" fontId="138" fillId="0" borderId="0" xfId="0" applyFont="1" applyAlignment="1">
      <alignment horizontal="left" vertical="center"/>
    </xf>
    <xf numFmtId="43" fontId="98" fillId="0" borderId="32" xfId="48" applyFont="1" applyFill="1" applyBorder="1" applyAlignment="1">
      <alignment horizontal="right" vertical="center"/>
    </xf>
    <xf numFmtId="43" fontId="98" fillId="0" borderId="0" xfId="48" applyFont="1" applyAlignment="1">
      <alignment horizontal="center"/>
    </xf>
    <xf numFmtId="43" fontId="98" fillId="0" borderId="42" xfId="48" applyFont="1" applyBorder="1" applyAlignment="1">
      <alignment horizontal="right" vertical="center"/>
    </xf>
    <xf numFmtId="0" fontId="98" fillId="43" borderId="0" xfId="0" applyFont="1" applyFill="1" applyAlignment="1" applyProtection="1">
      <alignment horizontal="left" vertical="center" wrapText="1"/>
      <protection hidden="1"/>
    </xf>
    <xf numFmtId="0" fontId="98" fillId="0" borderId="0" xfId="0" applyFont="1" applyAlignment="1" applyProtection="1">
      <alignment horizontal="left" vertical="center" wrapText="1"/>
      <protection hidden="1"/>
    </xf>
    <xf numFmtId="0" fontId="98" fillId="48" borderId="0" xfId="0" applyFont="1" applyFill="1" applyAlignment="1" applyProtection="1">
      <alignment vertical="center"/>
      <protection hidden="1"/>
    </xf>
    <xf numFmtId="0" fontId="15" fillId="102" borderId="0" xfId="0" applyFont="1" applyFill="1" applyAlignment="1" applyProtection="1">
      <alignment horizontal="center" vertical="center" wrapText="1"/>
      <protection hidden="1"/>
    </xf>
    <xf numFmtId="0" fontId="105" fillId="48" borderId="0" xfId="0" applyFont="1" applyFill="1" applyAlignment="1" applyProtection="1">
      <alignment vertical="center"/>
      <protection hidden="1"/>
    </xf>
    <xf numFmtId="0" fontId="99" fillId="48" borderId="0" xfId="0" applyFont="1" applyFill="1" applyAlignment="1" applyProtection="1">
      <alignment horizontal="left" vertical="center"/>
      <protection hidden="1"/>
    </xf>
    <xf numFmtId="0" fontId="98" fillId="48" borderId="0" xfId="0" applyFont="1" applyFill="1" applyAlignment="1" applyProtection="1">
      <alignment horizontal="left" vertical="center" wrapText="1"/>
      <protection hidden="1"/>
    </xf>
    <xf numFmtId="0" fontId="105" fillId="0" borderId="0" xfId="0" applyFont="1" applyAlignment="1" applyProtection="1">
      <alignment horizontal="left" vertical="center" wrapText="1"/>
      <protection hidden="1"/>
    </xf>
    <xf numFmtId="0" fontId="15" fillId="104" borderId="0" xfId="0" applyFont="1" applyFill="1" applyAlignment="1" applyProtection="1">
      <alignment horizontal="center" vertical="center" wrapText="1"/>
      <protection hidden="1"/>
    </xf>
    <xf numFmtId="0" fontId="15" fillId="46" borderId="0" xfId="0" applyFont="1" applyFill="1" applyAlignment="1" applyProtection="1">
      <alignment horizontal="center" vertical="center"/>
      <protection hidden="1"/>
    </xf>
    <xf numFmtId="0" fontId="98" fillId="0" borderId="0" xfId="0" applyFont="1" applyAlignment="1" applyProtection="1">
      <alignment horizontal="left" vertical="center"/>
      <protection hidden="1"/>
    </xf>
    <xf numFmtId="0" fontId="98" fillId="55" borderId="0" xfId="0" applyFont="1" applyFill="1" applyAlignment="1" applyProtection="1">
      <alignment horizontal="left" vertical="center" wrapText="1"/>
      <protection hidden="1"/>
    </xf>
    <xf numFmtId="0" fontId="105" fillId="55" borderId="0" xfId="0" applyFont="1" applyFill="1" applyAlignment="1" applyProtection="1">
      <alignment horizontal="left" vertical="center" wrapText="1"/>
      <protection hidden="1"/>
    </xf>
    <xf numFmtId="0" fontId="105" fillId="52" borderId="0" xfId="0" applyFont="1" applyFill="1" applyAlignment="1" applyProtection="1">
      <alignment horizontal="left" vertical="center" wrapText="1"/>
      <protection hidden="1"/>
    </xf>
    <xf numFmtId="0" fontId="98" fillId="57" borderId="0" xfId="0" applyFont="1" applyFill="1" applyAlignment="1" applyProtection="1">
      <alignment vertical="center"/>
      <protection hidden="1"/>
    </xf>
    <xf numFmtId="0" fontId="98" fillId="0" borderId="0" xfId="0" applyFont="1" applyAlignment="1" applyProtection="1">
      <alignment vertical="center"/>
      <protection hidden="1"/>
    </xf>
    <xf numFmtId="0" fontId="101" fillId="3" borderId="0" xfId="1" applyFont="1" applyFill="1" applyAlignment="1" applyProtection="1">
      <alignment vertical="center"/>
      <protection hidden="1"/>
    </xf>
    <xf numFmtId="0" fontId="98" fillId="0" borderId="40" xfId="0" applyFont="1" applyBorder="1" applyAlignment="1">
      <alignment vertical="top" wrapText="1"/>
    </xf>
    <xf numFmtId="0" fontId="99" fillId="0" borderId="0" xfId="0" applyFont="1" applyAlignment="1">
      <alignment horizontal="left" vertical="top" wrapText="1"/>
    </xf>
    <xf numFmtId="0" fontId="98" fillId="0" borderId="0" xfId="0" applyFont="1" applyAlignment="1">
      <alignment horizontal="left" vertical="top" wrapText="1"/>
    </xf>
    <xf numFmtId="0" fontId="98" fillId="0" borderId="0" xfId="0" applyFont="1" applyAlignment="1">
      <alignment wrapText="1"/>
    </xf>
    <xf numFmtId="0" fontId="105" fillId="0" borderId="0" xfId="0" applyFont="1" applyAlignment="1">
      <alignment horizontal="left" wrapText="1"/>
    </xf>
    <xf numFmtId="0" fontId="98" fillId="52" borderId="12" xfId="0" applyFont="1" applyFill="1" applyBorder="1" applyProtection="1">
      <protection locked="0"/>
    </xf>
    <xf numFmtId="0" fontId="98" fillId="52" borderId="13" xfId="0" applyFont="1" applyFill="1" applyBorder="1" applyProtection="1">
      <protection locked="0"/>
    </xf>
    <xf numFmtId="0" fontId="98" fillId="52" borderId="14" xfId="0" applyFont="1" applyFill="1" applyBorder="1" applyProtection="1">
      <protection locked="0"/>
    </xf>
    <xf numFmtId="0" fontId="98" fillId="52" borderId="12" xfId="0" applyFont="1" applyFill="1" applyBorder="1" applyAlignment="1" applyProtection="1">
      <alignment horizontal="left"/>
      <protection locked="0"/>
    </xf>
    <xf numFmtId="0" fontId="98" fillId="52" borderId="13" xfId="0" applyFont="1" applyFill="1" applyBorder="1" applyAlignment="1" applyProtection="1">
      <alignment horizontal="left"/>
      <protection locked="0"/>
    </xf>
    <xf numFmtId="0" fontId="98" fillId="52" borderId="14" xfId="0" applyFont="1" applyFill="1" applyBorder="1" applyAlignment="1" applyProtection="1">
      <alignment horizontal="left"/>
      <protection locked="0"/>
    </xf>
    <xf numFmtId="0" fontId="98" fillId="55" borderId="12" xfId="0" applyFont="1" applyFill="1" applyBorder="1" applyAlignment="1" applyProtection="1">
      <alignment vertical="top" wrapText="1"/>
      <protection locked="0"/>
    </xf>
    <xf numFmtId="0" fontId="98" fillId="55" borderId="13" xfId="0" applyFont="1" applyFill="1" applyBorder="1" applyAlignment="1" applyProtection="1">
      <alignment vertical="top" wrapText="1"/>
      <protection locked="0"/>
    </xf>
    <xf numFmtId="0" fontId="98" fillId="55" borderId="14" xfId="0" applyFont="1" applyFill="1" applyBorder="1" applyAlignment="1" applyProtection="1">
      <alignment vertical="top" wrapText="1"/>
      <protection locked="0"/>
    </xf>
    <xf numFmtId="0" fontId="98" fillId="0" borderId="0" xfId="0" applyFont="1" applyAlignment="1">
      <alignment vertical="top" wrapText="1"/>
    </xf>
    <xf numFmtId="0" fontId="98" fillId="0" borderId="0" xfId="0" applyFont="1" applyAlignment="1">
      <alignment horizontal="left" wrapText="1"/>
    </xf>
    <xf numFmtId="0" fontId="111" fillId="0" borderId="0" xfId="0" applyFont="1" applyAlignment="1">
      <alignment wrapText="1"/>
    </xf>
    <xf numFmtId="0" fontId="111" fillId="0" borderId="16" xfId="0" applyFont="1" applyBorder="1" applyAlignment="1">
      <alignment wrapText="1"/>
    </xf>
    <xf numFmtId="0" fontId="99" fillId="0" borderId="1" xfId="0" applyFont="1" applyBorder="1" applyAlignment="1">
      <alignment horizontal="center"/>
    </xf>
    <xf numFmtId="0" fontId="98" fillId="0" borderId="0" xfId="0" applyFont="1" applyAlignment="1">
      <alignment horizontal="right" indent="1"/>
    </xf>
    <xf numFmtId="0" fontId="105" fillId="0" borderId="0" xfId="0" applyFont="1" applyAlignment="1">
      <alignment wrapText="1"/>
    </xf>
    <xf numFmtId="0" fontId="105" fillId="0" borderId="0" xfId="0" applyFont="1" applyAlignment="1">
      <alignment horizontal="left"/>
    </xf>
    <xf numFmtId="0" fontId="98" fillId="52" borderId="25" xfId="0" applyFont="1" applyFill="1" applyBorder="1" applyAlignment="1" applyProtection="1">
      <alignment vertical="top" wrapText="1"/>
      <protection locked="0"/>
    </xf>
    <xf numFmtId="0" fontId="98" fillId="52" borderId="48" xfId="0" applyFont="1" applyFill="1" applyBorder="1" applyAlignment="1" applyProtection="1">
      <alignment vertical="top" wrapText="1"/>
      <protection locked="0"/>
    </xf>
    <xf numFmtId="0" fontId="98" fillId="52" borderId="28" xfId="0" applyFont="1" applyFill="1" applyBorder="1" applyAlignment="1" applyProtection="1">
      <alignment vertical="top" wrapText="1"/>
      <protection locked="0"/>
    </xf>
    <xf numFmtId="0" fontId="108" fillId="55" borderId="12" xfId="0" applyFont="1" applyFill="1" applyBorder="1" applyAlignment="1" applyProtection="1">
      <alignment horizontal="left" vertical="center"/>
      <protection locked="0"/>
    </xf>
    <xf numFmtId="0" fontId="108" fillId="55" borderId="13" xfId="0" applyFont="1" applyFill="1" applyBorder="1" applyAlignment="1" applyProtection="1">
      <alignment horizontal="left" vertical="center"/>
      <protection locked="0"/>
    </xf>
    <xf numFmtId="0" fontId="108" fillId="55" borderId="14" xfId="0" applyFont="1" applyFill="1" applyBorder="1" applyAlignment="1" applyProtection="1">
      <alignment horizontal="left" vertical="center"/>
      <protection locked="0"/>
    </xf>
    <xf numFmtId="49" fontId="98" fillId="45" borderId="24" xfId="0" applyNumberFormat="1" applyFont="1" applyFill="1" applyBorder="1"/>
    <xf numFmtId="49" fontId="98" fillId="45" borderId="52" xfId="0" applyNumberFormat="1" applyFont="1" applyFill="1" applyBorder="1"/>
    <xf numFmtId="49" fontId="98" fillId="45" borderId="53" xfId="0" applyNumberFormat="1" applyFont="1" applyFill="1" applyBorder="1"/>
    <xf numFmtId="49" fontId="98" fillId="45" borderId="24" xfId="0" applyNumberFormat="1" applyFont="1" applyFill="1" applyBorder="1" applyAlignment="1">
      <alignment wrapText="1"/>
    </xf>
    <xf numFmtId="49" fontId="98" fillId="45" borderId="52" xfId="0" applyNumberFormat="1" applyFont="1" applyFill="1" applyBorder="1" applyAlignment="1">
      <alignment wrapText="1"/>
    </xf>
    <xf numFmtId="49" fontId="98" fillId="45" borderId="53" xfId="0" applyNumberFormat="1" applyFont="1" applyFill="1" applyBorder="1" applyAlignment="1">
      <alignment wrapText="1"/>
    </xf>
    <xf numFmtId="0" fontId="98" fillId="0" borderId="0" xfId="0" applyFont="1" applyAlignment="1">
      <alignment horizontal="left" vertical="center" wrapText="1"/>
    </xf>
    <xf numFmtId="0" fontId="98" fillId="45" borderId="39" xfId="0" applyFont="1" applyFill="1" applyBorder="1" applyAlignment="1">
      <alignment horizontal="center" wrapText="1"/>
    </xf>
    <xf numFmtId="0" fontId="98" fillId="45" borderId="32" xfId="0" applyFont="1" applyFill="1" applyBorder="1" applyAlignment="1">
      <alignment horizontal="center" wrapText="1"/>
    </xf>
    <xf numFmtId="0" fontId="98" fillId="45" borderId="43" xfId="0" applyFont="1" applyFill="1" applyBorder="1" applyAlignment="1">
      <alignment horizontal="center" wrapText="1"/>
    </xf>
    <xf numFmtId="0" fontId="98" fillId="45" borderId="40" xfId="0" applyFont="1" applyFill="1" applyBorder="1" applyAlignment="1">
      <alignment horizontal="center" wrapText="1"/>
    </xf>
    <xf numFmtId="0" fontId="98" fillId="45" borderId="0" xfId="0" applyFont="1" applyFill="1" applyAlignment="1">
      <alignment horizontal="center" wrapText="1"/>
    </xf>
    <xf numFmtId="0" fontId="98" fillId="45" borderId="16" xfId="0" applyFont="1" applyFill="1" applyBorder="1" applyAlignment="1">
      <alignment horizontal="center" wrapText="1"/>
    </xf>
    <xf numFmtId="0" fontId="98" fillId="45" borderId="41" xfId="0" applyFont="1" applyFill="1" applyBorder="1" applyAlignment="1">
      <alignment horizontal="center" wrapText="1"/>
    </xf>
    <xf numFmtId="0" fontId="98" fillId="45" borderId="42" xfId="0" applyFont="1" applyFill="1" applyBorder="1" applyAlignment="1">
      <alignment horizontal="center" wrapText="1"/>
    </xf>
    <xf numFmtId="0" fontId="98" fillId="45" borderId="44" xfId="0" applyFont="1" applyFill="1" applyBorder="1" applyAlignment="1">
      <alignment horizontal="center" wrapText="1"/>
    </xf>
    <xf numFmtId="0" fontId="103" fillId="3" borderId="0" xfId="1" applyFont="1" applyFill="1" applyAlignment="1" applyProtection="1">
      <alignment vertical="center"/>
      <protection hidden="1"/>
    </xf>
    <xf numFmtId="0" fontId="122" fillId="45" borderId="39" xfId="0" applyFont="1" applyFill="1" applyBorder="1" applyAlignment="1">
      <alignment horizontal="center" vertical="center" wrapText="1"/>
    </xf>
    <xf numFmtId="0" fontId="122" fillId="45" borderId="32" xfId="0" applyFont="1" applyFill="1" applyBorder="1" applyAlignment="1">
      <alignment horizontal="center" vertical="center" wrapText="1"/>
    </xf>
    <xf numFmtId="0" fontId="122" fillId="45" borderId="43" xfId="0" applyFont="1" applyFill="1" applyBorder="1" applyAlignment="1">
      <alignment horizontal="center" vertical="center" wrapText="1"/>
    </xf>
    <xf numFmtId="0" fontId="99" fillId="45" borderId="63" xfId="0" applyFont="1" applyFill="1" applyBorder="1" applyAlignment="1">
      <alignment horizontal="center"/>
    </xf>
    <xf numFmtId="0" fontId="99" fillId="45" borderId="65" xfId="0" applyFont="1" applyFill="1" applyBorder="1" applyAlignment="1">
      <alignment horizontal="center"/>
    </xf>
    <xf numFmtId="0" fontId="99" fillId="45" borderId="64" xfId="0" applyFont="1" applyFill="1" applyBorder="1" applyAlignment="1">
      <alignment horizontal="center"/>
    </xf>
    <xf numFmtId="0" fontId="122" fillId="0" borderId="0" xfId="0" applyFont="1" applyAlignment="1">
      <alignment horizontal="left"/>
    </xf>
    <xf numFmtId="0" fontId="99" fillId="0" borderId="0" xfId="0" applyFont="1" applyAlignment="1">
      <alignment horizontal="left"/>
    </xf>
    <xf numFmtId="0" fontId="98" fillId="45" borderId="39" xfId="0" applyFont="1" applyFill="1" applyBorder="1" applyAlignment="1">
      <alignment horizontal="center"/>
    </xf>
    <xf numFmtId="0" fontId="98" fillId="45" borderId="32" xfId="0" applyFont="1" applyFill="1" applyBorder="1" applyAlignment="1">
      <alignment horizontal="center"/>
    </xf>
    <xf numFmtId="0" fontId="98" fillId="45" borderId="43" xfId="0" applyFont="1" applyFill="1" applyBorder="1" applyAlignment="1">
      <alignment horizontal="center"/>
    </xf>
    <xf numFmtId="43" fontId="2" fillId="50" borderId="18" xfId="48" applyFont="1" applyFill="1" applyBorder="1" applyAlignment="1">
      <alignment horizontal="center"/>
    </xf>
    <xf numFmtId="43" fontId="2" fillId="50" borderId="21" xfId="48" applyFont="1" applyFill="1" applyBorder="1" applyAlignment="1">
      <alignment horizontal="center"/>
    </xf>
    <xf numFmtId="43" fontId="2" fillId="50" borderId="73" xfId="48" applyFont="1" applyFill="1" applyBorder="1" applyAlignment="1">
      <alignment horizontal="center"/>
    </xf>
    <xf numFmtId="0" fontId="8" fillId="0" borderId="24"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43" fontId="2" fillId="50" borderId="12" xfId="48" applyFont="1" applyFill="1" applyBorder="1" applyAlignment="1">
      <alignment horizontal="center"/>
    </xf>
    <xf numFmtId="43" fontId="2" fillId="50" borderId="13" xfId="48" applyFont="1" applyFill="1" applyBorder="1" applyAlignment="1">
      <alignment horizontal="center"/>
    </xf>
    <xf numFmtId="43" fontId="2" fillId="50" borderId="71" xfId="48" applyFont="1" applyFill="1" applyBorder="1" applyAlignment="1">
      <alignment horizontal="center"/>
    </xf>
    <xf numFmtId="0" fontId="101" fillId="4" borderId="0" xfId="1" applyFont="1" applyFill="1" applyBorder="1" applyAlignment="1" applyProtection="1">
      <alignment horizontal="left" vertical="center"/>
      <protection hidden="1"/>
    </xf>
    <xf numFmtId="0" fontId="6" fillId="102" borderId="0" xfId="1" applyFont="1" applyFill="1" applyBorder="1" applyAlignment="1" applyProtection="1">
      <alignment horizontal="center" vertical="center"/>
      <protection hidden="1"/>
    </xf>
    <xf numFmtId="0" fontId="110" fillId="0" borderId="0" xfId="60" applyFont="1" applyBorder="1" applyAlignment="1" applyProtection="1">
      <alignment horizontal="left" vertical="top" wrapText="1"/>
    </xf>
    <xf numFmtId="0" fontId="98" fillId="0" borderId="0" xfId="482" applyFont="1" applyAlignment="1">
      <alignment horizontal="left" vertical="top" wrapText="1"/>
    </xf>
    <xf numFmtId="49" fontId="98" fillId="0" borderId="0" xfId="482" applyNumberFormat="1" applyFont="1" applyAlignment="1">
      <alignment horizontal="left" vertical="top" wrapText="1"/>
    </xf>
    <xf numFmtId="0" fontId="98" fillId="0" borderId="0" xfId="481" quotePrefix="1" applyFont="1" applyAlignment="1">
      <alignment horizontal="left" vertical="top" wrapText="1"/>
    </xf>
    <xf numFmtId="0" fontId="98" fillId="0" borderId="0" xfId="481" applyFont="1" applyAlignment="1">
      <alignment horizontal="left"/>
    </xf>
    <xf numFmtId="0" fontId="113" fillId="0" borderId="0" xfId="0" applyFont="1" applyAlignment="1">
      <alignment horizontal="left" vertical="top" wrapText="1"/>
    </xf>
    <xf numFmtId="0" fontId="125" fillId="0" borderId="12" xfId="53" applyFont="1" applyBorder="1" applyAlignment="1">
      <alignment horizontal="center"/>
    </xf>
    <xf numFmtId="0" fontId="125" fillId="0" borderId="13" xfId="53" applyFont="1" applyBorder="1" applyAlignment="1">
      <alignment horizontal="center"/>
    </xf>
    <xf numFmtId="0" fontId="117" fillId="0" borderId="14" xfId="53" applyFont="1" applyBorder="1" applyAlignment="1">
      <alignment horizontal="center"/>
    </xf>
    <xf numFmtId="0" fontId="125" fillId="0" borderId="12" xfId="53" applyFont="1" applyBorder="1" applyAlignment="1">
      <alignment horizontal="center" vertical="top" wrapText="1"/>
    </xf>
    <xf numFmtId="0" fontId="125" fillId="0" borderId="13" xfId="53" applyFont="1" applyBorder="1" applyAlignment="1">
      <alignment horizontal="center" vertical="top" wrapText="1"/>
    </xf>
    <xf numFmtId="0" fontId="125" fillId="0" borderId="14" xfId="53" applyFont="1" applyBorder="1" applyAlignment="1">
      <alignment horizontal="center" vertical="top" wrapText="1"/>
    </xf>
    <xf numFmtId="0" fontId="105" fillId="0" borderId="12" xfId="53" applyFont="1" applyBorder="1" applyAlignment="1">
      <alignment horizontal="center"/>
    </xf>
    <xf numFmtId="0" fontId="105" fillId="0" borderId="14" xfId="53" applyFont="1" applyBorder="1" applyAlignment="1">
      <alignment horizontal="center"/>
    </xf>
    <xf numFmtId="0" fontId="98" fillId="0" borderId="29" xfId="0" applyFont="1" applyBorder="1" applyAlignment="1">
      <alignment horizontal="center" wrapText="1"/>
    </xf>
    <xf numFmtId="0" fontId="98" fillId="0" borderId="31" xfId="0" applyFont="1" applyBorder="1" applyAlignment="1">
      <alignment horizontal="center" wrapText="1"/>
    </xf>
    <xf numFmtId="0" fontId="101" fillId="4" borderId="0" xfId="1" applyFont="1" applyFill="1" applyBorder="1" applyAlignment="1" applyProtection="1">
      <alignment vertical="center"/>
      <protection hidden="1"/>
    </xf>
    <xf numFmtId="0" fontId="98" fillId="0" borderId="0" xfId="0" applyFont="1" applyAlignment="1">
      <alignment horizontal="left"/>
    </xf>
    <xf numFmtId="0" fontId="101" fillId="4" borderId="0" xfId="1" applyFont="1" applyFill="1" applyBorder="1" applyAlignment="1" applyProtection="1">
      <alignment horizontal="center" vertical="center"/>
      <protection hidden="1"/>
    </xf>
  </cellXfs>
  <cellStyles count="483">
    <cellStyle name="%" xfId="66" xr:uid="{A43106DF-9B20-4491-B810-39CA67CDF4AE}"/>
    <cellStyle name="% 2" xfId="67" xr:uid="{A32E825E-1751-45CF-ABBE-EF17EA13B543}"/>
    <cellStyle name="%_PEF FSBR2011" xfId="68" xr:uid="{F34343E7-B4F3-41D1-A5DF-5A05140C9E58}"/>
    <cellStyle name="]_x000d__x000a_Zoomed=1_x000d__x000a_Row=0_x000d__x000a_Column=0_x000d__x000a_Height=0_x000d__x000a_Width=0_x000d__x000a_FontName=FoxFont_x000d__x000a_FontStyle=0_x000d__x000a_FontSize=9_x000d__x000a_PrtFontName=FoxPrin" xfId="69" xr:uid="{26099791-CB56-4E84-953C-2D757C02C428}"/>
    <cellStyle name="_TableHead" xfId="70" xr:uid="{84C22E3E-D771-4DFA-81A5-7EA6D165B861}"/>
    <cellStyle name="1dp" xfId="71" xr:uid="{64FBCC43-14F6-46CF-AC55-04E9F46106F5}"/>
    <cellStyle name="1dp 2" xfId="72" xr:uid="{4A872011-BC18-420E-BF98-A14180929435}"/>
    <cellStyle name="20% - Accent1" xfId="8" builtinId="30" customBuiltin="1"/>
    <cellStyle name="20% - Accent1 2" xfId="73" xr:uid="{724CA2A0-CE57-45B9-8BE1-ED64F1C482E5}"/>
    <cellStyle name="20% - Accent2" xfId="12" builtinId="34" customBuiltin="1"/>
    <cellStyle name="20% - Accent2 2" xfId="74" xr:uid="{5E9F9A7D-7EDA-4FCF-8A41-B44E4BB40746}"/>
    <cellStyle name="20% - Accent3" xfId="16" builtinId="38" customBuiltin="1"/>
    <cellStyle name="20% - Accent3 2" xfId="75" xr:uid="{79AD2092-8565-4422-A76F-E83480C48085}"/>
    <cellStyle name="20% - Accent4" xfId="20" builtinId="42" customBuiltin="1"/>
    <cellStyle name="20% - Accent4 2" xfId="76" xr:uid="{FDA3357A-00D5-4F7D-95EF-D318166CAED4}"/>
    <cellStyle name="20% - Accent5" xfId="24" builtinId="46" customBuiltin="1"/>
    <cellStyle name="20% - Accent5 2" xfId="77" xr:uid="{5C3157C2-56A2-4006-BD02-9B2801E4D4D5}"/>
    <cellStyle name="20% - Accent6" xfId="28" builtinId="50" customBuiltin="1"/>
    <cellStyle name="20% - Accent6 2" xfId="78" xr:uid="{35B9862B-341A-4E6B-883F-32E082EB964E}"/>
    <cellStyle name="3dp" xfId="79" xr:uid="{B2860F1C-611F-4540-8D6B-B8B2F9CE6880}"/>
    <cellStyle name="3dp 2" xfId="80" xr:uid="{581D6FE7-A68E-47FC-9365-7EBBE713B16D}"/>
    <cellStyle name="40% - Accent1" xfId="9" builtinId="31" customBuiltin="1"/>
    <cellStyle name="40% - Accent1 2" xfId="81" xr:uid="{4BC51289-80B1-4838-B0AB-1710D7EDDAE9}"/>
    <cellStyle name="40% - Accent2" xfId="13" builtinId="35" customBuiltin="1"/>
    <cellStyle name="40% - Accent2 2" xfId="82" xr:uid="{E281EAB3-8980-4648-A479-1E3007E10F8F}"/>
    <cellStyle name="40% - Accent3" xfId="17" builtinId="39" customBuiltin="1"/>
    <cellStyle name="40% - Accent3 2" xfId="83" xr:uid="{3D2D2E42-C57D-4BB6-BCB7-1422C7B22CB9}"/>
    <cellStyle name="40% - Accent4" xfId="21" builtinId="43" customBuiltin="1"/>
    <cellStyle name="40% - Accent4 2" xfId="84" xr:uid="{E81AF5AB-BC3F-47DC-A4E4-00FC2DFC128B}"/>
    <cellStyle name="40% - Accent5" xfId="25" builtinId="47" customBuiltin="1"/>
    <cellStyle name="40% - Accent5 2" xfId="85" xr:uid="{C7A2D63C-7C52-42D3-A800-E75BB3C7E62A}"/>
    <cellStyle name="40% - Accent6" xfId="29" builtinId="51" customBuiltin="1"/>
    <cellStyle name="40% - Accent6 2" xfId="86" xr:uid="{BF9BBF42-5638-4C68-B616-13F499A621CA}"/>
    <cellStyle name="4dp" xfId="87" xr:uid="{6072E9DC-9C78-46CB-9FAD-4A319EA2C630}"/>
    <cellStyle name="4dp 2" xfId="88" xr:uid="{7A6FCFA8-18C3-40B1-9BB9-FCEC687D9F4E}"/>
    <cellStyle name="60% - Accent1" xfId="10" builtinId="32" customBuiltin="1"/>
    <cellStyle name="60% - Accent1 2" xfId="89" xr:uid="{D19232D9-F01F-4A4F-854F-1D3B96C622AF}"/>
    <cellStyle name="60% - Accent2" xfId="14" builtinId="36" customBuiltin="1"/>
    <cellStyle name="60% - Accent2 2" xfId="90" xr:uid="{D6413299-B51F-4596-9A26-7CC2E9B57D14}"/>
    <cellStyle name="60% - Accent3" xfId="18" builtinId="40" customBuiltin="1"/>
    <cellStyle name="60% - Accent3 2" xfId="91" xr:uid="{11AC1DE5-1F6C-4990-85DC-E6FC199DD8A3}"/>
    <cellStyle name="60% - Accent4" xfId="22" builtinId="44" customBuiltin="1"/>
    <cellStyle name="60% - Accent4 2" xfId="92" xr:uid="{40E54019-1DE2-455D-BB2F-BD375E54583D}"/>
    <cellStyle name="60% - Accent5" xfId="26" builtinId="48" customBuiltin="1"/>
    <cellStyle name="60% - Accent5 2" xfId="93" xr:uid="{F4799B3E-7D85-436D-A117-1503E4B388CB}"/>
    <cellStyle name="60% - Accent6" xfId="30" builtinId="52" customBuiltin="1"/>
    <cellStyle name="60% - Accent6 2" xfId="94" xr:uid="{3030B0D9-A61A-4848-8595-3DEC2C003858}"/>
    <cellStyle name="Accent1" xfId="7" builtinId="29" customBuiltin="1"/>
    <cellStyle name="Accent1 2" xfId="95" xr:uid="{762C3D23-4261-40B2-AEEF-AFEDA752C194}"/>
    <cellStyle name="Accent2" xfId="11" builtinId="33" customBuiltin="1"/>
    <cellStyle name="Accent2 2" xfId="96" xr:uid="{5C943487-6806-4BB7-A6ED-1ACEBA014785}"/>
    <cellStyle name="Accent3" xfId="15" builtinId="37" customBuiltin="1"/>
    <cellStyle name="Accent3 2" xfId="97" xr:uid="{E032E2E7-E44D-4622-AF6E-76E7FF04CA49}"/>
    <cellStyle name="Accent4" xfId="19" builtinId="41" customBuiltin="1"/>
    <cellStyle name="Accent4 2" xfId="98" xr:uid="{9D26AA42-B67B-4387-B4AD-1E2A25C0F6DB}"/>
    <cellStyle name="Accent5" xfId="23" builtinId="45" customBuiltin="1"/>
    <cellStyle name="Accent5 2" xfId="99" xr:uid="{61E173BA-A7AD-4788-BE17-749D2E312F7B}"/>
    <cellStyle name="Accent6" xfId="27" builtinId="49" customBuiltin="1"/>
    <cellStyle name="Accent6 2" xfId="100" xr:uid="{3CA1A5B2-E980-433C-8439-9F4E499BD0F8}"/>
    <cellStyle name="Bad" xfId="4" builtinId="27" customBuiltin="1"/>
    <cellStyle name="Bad 2" xfId="101" xr:uid="{A06B67E0-9FA9-4A55-8450-2E2FE72CDFBC}"/>
    <cellStyle name="Bid £m format" xfId="102" xr:uid="{691BD9CA-1451-46B9-90ED-5991FA5558C4}"/>
    <cellStyle name="Calculation 2" xfId="33" xr:uid="{E4E4BAEB-A05D-4910-8062-C6DF30FA61C4}"/>
    <cellStyle name="Calculation 2 2" xfId="103" xr:uid="{CC451CDB-5A97-4159-937E-3B8CB631E702}"/>
    <cellStyle name="Calculation 3" xfId="32" xr:uid="{476E37C8-D293-4FE0-AC8F-F6A440D54B41}"/>
    <cellStyle name="Check Cell" xfId="6" builtinId="23" customBuiltin="1"/>
    <cellStyle name="Check Cell 2" xfId="104" xr:uid="{38D413C2-F308-4764-BB85-B29906405CD6}"/>
    <cellStyle name="CIL" xfId="105" xr:uid="{789CD9E7-446E-4807-A6E7-83949E4A17DA}"/>
    <cellStyle name="CIU" xfId="106" xr:uid="{2ACCC386-5E8B-41B2-AC75-1907587356FB}"/>
    <cellStyle name="Comma" xfId="48" builtinId="3"/>
    <cellStyle name="Comma [0] 2" xfId="108" xr:uid="{32901CE2-4DF8-4593-A47F-3D76D6521F48}"/>
    <cellStyle name="Comma [0] 2 2" xfId="437" xr:uid="{5C7709DD-F00F-4895-9F9B-FDC558C5EE58}"/>
    <cellStyle name="Comma [0] 2 3" xfId="457" xr:uid="{3BB66766-434E-4A1C-8A23-FD94F52A9721}"/>
    <cellStyle name="Comma [0] 3" xfId="109" xr:uid="{0EADD389-1CD1-42CF-AE4C-52D9F5A28757}"/>
    <cellStyle name="Comma [0] 3 2" xfId="438" xr:uid="{101D2182-F90B-4162-B5ED-DDDED1CE129F}"/>
    <cellStyle name="Comma [0] 3 3" xfId="458" xr:uid="{A043A65D-AB5D-4BDC-AA6B-93EDFF229B12}"/>
    <cellStyle name="Comma [0] 4" xfId="110" xr:uid="{FB10F784-0C01-4A18-AD1E-A4923577006D}"/>
    <cellStyle name="Comma [0] 4 2" xfId="439" xr:uid="{6060EA1A-1213-4D2F-977D-783FDA936F75}"/>
    <cellStyle name="Comma [0] 4 3" xfId="459" xr:uid="{8F9DAD94-3D1F-4CC9-9C5A-F296D015EE00}"/>
    <cellStyle name="Comma 10" xfId="429" xr:uid="{9FE9485B-1DBC-4A46-BBA1-DC317DAA26D2}"/>
    <cellStyle name="Comma 11" xfId="59" xr:uid="{038E6367-7409-43C0-8CBE-9E27578ED2B3}"/>
    <cellStyle name="Comma 12" xfId="427" xr:uid="{E222554E-A6EE-48F4-82D1-A39E4590D454}"/>
    <cellStyle name="Comma 13" xfId="430" xr:uid="{3DC19198-B7E0-4A53-A9D9-C84D98D00ADD}"/>
    <cellStyle name="Comma 14" xfId="436" xr:uid="{4F853C63-82E9-415F-A654-AF911B3A4932}"/>
    <cellStyle name="Comma 15" xfId="448" xr:uid="{BE0E2B84-484D-47C8-B04B-1ECE7C2609DD}"/>
    <cellStyle name="Comma 16" xfId="435" xr:uid="{337DE9DF-5068-4F3C-B564-CB7DBC877C9D}"/>
    <cellStyle name="Comma 17" xfId="449" xr:uid="{0A097D58-6791-4E48-AA54-6EFA51E4F4A7}"/>
    <cellStyle name="Comma 18" xfId="456" xr:uid="{81BED34A-2798-4413-BA38-16E9CC949A7C}"/>
    <cellStyle name="Comma 19" xfId="478" xr:uid="{B50BD61C-BD8D-44AF-82A5-09B7517A1145}"/>
    <cellStyle name="Comma 2" xfId="35" xr:uid="{811B545D-0C7E-4707-8221-0215E159C126}"/>
    <cellStyle name="Comma 2 2" xfId="47" xr:uid="{FE3EEAAA-F64B-432A-A2A5-214B04843D72}"/>
    <cellStyle name="Comma 2 3" xfId="111" xr:uid="{6203FE7A-9933-4E5A-B6D4-DC55F1A702F3}"/>
    <cellStyle name="Comma 2 4" xfId="440" xr:uid="{3399049C-84F9-4893-B5E0-76B317FFF0EA}"/>
    <cellStyle name="Comma 2 5" xfId="460" xr:uid="{41C45E00-366D-46C9-9CCC-178A46A562CE}"/>
    <cellStyle name="Comma 20" xfId="455" xr:uid="{5E7171C1-E3A8-4599-AFD4-03C2E7C6EDA1}"/>
    <cellStyle name="Comma 21" xfId="477" xr:uid="{932A6D43-9B0F-4A9C-BD57-C11CCF228663}"/>
    <cellStyle name="Comma 22" xfId="454" xr:uid="{99AEFCDE-A62A-466D-9FAA-A66CDE8F69D8}"/>
    <cellStyle name="Comma 3" xfId="34" xr:uid="{35804874-BD43-4BB3-ADDD-7AC624992DE3}"/>
    <cellStyle name="Comma 3 2" xfId="113" xr:uid="{6C1F29B6-B37A-445E-91EB-B0322AE66A5A}"/>
    <cellStyle name="Comma 3 2 2" xfId="442" xr:uid="{2C4B9317-38FF-414F-9965-202773C51CF7}"/>
    <cellStyle name="Comma 3 2 3" xfId="462" xr:uid="{E6F5CB2A-55BB-4C6D-91D9-6E8F75341F95}"/>
    <cellStyle name="Comma 3 3" xfId="112" xr:uid="{51A26248-717D-451A-B181-87C4D90B7F41}"/>
    <cellStyle name="Comma 3 4" xfId="441" xr:uid="{D08561AC-8E0B-410D-8CA9-C6A82C156E0D}"/>
    <cellStyle name="Comma 3 5" xfId="461" xr:uid="{4DCA397D-B049-4D97-AC27-6D792B0EEA51}"/>
    <cellStyle name="Comma 4" xfId="61" xr:uid="{622CCE4E-2FE3-4181-B0C2-8F09A332E2D7}"/>
    <cellStyle name="Comma 4 2" xfId="114" xr:uid="{08C11EB5-09D5-47FD-9582-5D1BAEC9C260}"/>
    <cellStyle name="Comma 4 3" xfId="443" xr:uid="{EB97BF44-2254-4A13-87AF-EEAFC7650578}"/>
    <cellStyle name="Comma 4 4" xfId="463" xr:uid="{FEE69FA0-9160-4B2C-B87C-DC54A76CDDE0}"/>
    <cellStyle name="Comma 5" xfId="62" xr:uid="{E579EF2D-ABE5-4F9C-80F1-92A45A7F8DC9}"/>
    <cellStyle name="Comma 5 2" xfId="115" xr:uid="{F9612316-EFB5-462D-9630-67AE3FC61305}"/>
    <cellStyle name="Comma 5 3" xfId="444" xr:uid="{34FCCE07-7D7B-45F8-845C-872BED96C656}"/>
    <cellStyle name="Comma 5 4" xfId="464" xr:uid="{15F59B56-AAB3-4541-8BD4-05BDC0FE8BB5}"/>
    <cellStyle name="Comma 6" xfId="116" xr:uid="{CF5152D7-F874-4A14-8E92-6F133DA3BB23}"/>
    <cellStyle name="Comma 6 2" xfId="445" xr:uid="{D3055E4C-5E5D-4C64-B5E9-1340EDE2F376}"/>
    <cellStyle name="Comma 6 3" xfId="465" xr:uid="{66DE6A2B-457D-49C9-AB13-72590A074708}"/>
    <cellStyle name="Comma 7" xfId="117" xr:uid="{B42BB1A4-592C-4F1E-A8BD-181AA5C9C9D7}"/>
    <cellStyle name="Comma 7 2" xfId="446" xr:uid="{CA3BE233-B466-434B-909F-F4650B538AF8}"/>
    <cellStyle name="Comma 7 3" xfId="466" xr:uid="{5F88C1C0-1038-4EBE-B70B-43497FAE43A2}"/>
    <cellStyle name="Comma 8" xfId="107" xr:uid="{21871251-B2F0-4D57-934B-E1E4646D952F}"/>
    <cellStyle name="Comma 9" xfId="428" xr:uid="{D48B73A6-EED2-4FAA-9C54-C7B81CD2B7AB}"/>
    <cellStyle name="Currency" xfId="49" builtinId="4"/>
    <cellStyle name="Currency 2" xfId="118" xr:uid="{DB2D0F5D-B1DF-4A41-9597-30664BB8F5BA}"/>
    <cellStyle name="Currency 2 2" xfId="447" xr:uid="{150B4C81-DAB8-4387-927E-4DC536636567}"/>
    <cellStyle name="Currency 2 3" xfId="467" xr:uid="{7F6BDF17-C90A-4E3C-ADF2-A6E7AD3656D5}"/>
    <cellStyle name="Description" xfId="119" xr:uid="{67275131-FC75-4939-AFF2-8F6B13730701}"/>
    <cellStyle name="Euro" xfId="120" xr:uid="{2ACB2BDC-F536-4045-A240-F1937C93EA05}"/>
    <cellStyle name="Explanatory Text 2" xfId="36" xr:uid="{2C5CA630-4C66-4E8E-A3E4-DE78B826B93F}"/>
    <cellStyle name="Explanatory Text 2 2" xfId="121" xr:uid="{E4ADC320-B8C0-4A9A-B3E0-5E951E138FFB}"/>
    <cellStyle name="Flash" xfId="122" xr:uid="{B775FE87-E33D-4C34-AF77-B84DB9FEE1EB}"/>
    <cellStyle name="Followed Hyperlink 2" xfId="37" xr:uid="{5E8353DB-7A49-4ABF-8E66-D7147377E83D}"/>
    <cellStyle name="footnote ref" xfId="123" xr:uid="{5FAC5309-9B6F-4C76-BD53-CA4BA7357FCA}"/>
    <cellStyle name="footnote text" xfId="124" xr:uid="{13EA6AC4-A96A-478A-B35F-A85FE99B5693}"/>
    <cellStyle name="General" xfId="125" xr:uid="{424A1602-23A8-4EB1-AA4A-CDB281B20F8C}"/>
    <cellStyle name="General 2" xfId="126" xr:uid="{256FADE0-925A-422E-960D-200B708D3BF9}"/>
    <cellStyle name="Good" xfId="3" builtinId="26" customBuiltin="1"/>
    <cellStyle name="Good 2" xfId="127" xr:uid="{E2431A6E-D581-45A0-8680-048B947063AC}"/>
    <cellStyle name="Grey" xfId="128" xr:uid="{4A8ABD4B-2377-4C26-815F-A06BA506528D}"/>
    <cellStyle name="HeaderLabel" xfId="129" xr:uid="{BDD5B744-3109-409C-9D33-877FC84BC953}"/>
    <cellStyle name="HeaderText" xfId="130" xr:uid="{3570B108-C95F-4BC4-8972-4254D80BCE31}"/>
    <cellStyle name="Heading 1 2" xfId="131" xr:uid="{6D6517B5-2574-4944-9138-35D67FFB4C62}"/>
    <cellStyle name="Heading 1 2 2" xfId="132" xr:uid="{AB800970-18F9-43AA-A483-A9D7A814DF77}"/>
    <cellStyle name="Heading 1 2_asset sales" xfId="133" xr:uid="{CE3BD1EC-D9AD-447C-82D4-20B692DAA5DA}"/>
    <cellStyle name="Heading 1 3" xfId="134" xr:uid="{95199FDD-BC23-4688-88CA-F6B3057964E7}"/>
    <cellStyle name="Heading 1 4" xfId="135" xr:uid="{A916BA48-99DB-49B3-8461-9A40A1B8B78E}"/>
    <cellStyle name="Heading 2 2" xfId="136" xr:uid="{07EC51BD-F5B2-409F-AF5D-6F82C5509A7C}"/>
    <cellStyle name="Heading 2 3" xfId="137" xr:uid="{78E5DF71-30A8-41BD-ADDC-77452672031B}"/>
    <cellStyle name="Heading 3 2" xfId="138" xr:uid="{0D2F05A3-0C39-47AB-99C6-2D2162A16363}"/>
    <cellStyle name="Heading 3 3" xfId="139" xr:uid="{C7F73990-3056-477F-88DA-79C864DAEB95}"/>
    <cellStyle name="Heading 4 2" xfId="140" xr:uid="{A4C9D42E-85F0-4068-9C60-DB965B512F5C}"/>
    <cellStyle name="Heading 4 3" xfId="141" xr:uid="{1B6989AD-C4D6-4D1A-A518-E5ED11B9E381}"/>
    <cellStyle name="Heading 5" xfId="142" xr:uid="{37F30D42-B9F9-46E3-A0C1-991F5DB8463A}"/>
    <cellStyle name="Heading 6" xfId="143" xr:uid="{9A9C9E30-9A61-454A-8235-0945A20BAB5B}"/>
    <cellStyle name="Heading 7" xfId="144" xr:uid="{CDAC7B46-E6DF-4029-B7A1-9410077AC056}"/>
    <cellStyle name="Heading 8" xfId="145" xr:uid="{1CA2FFF6-1487-4577-AF2B-227CA8410FFA}"/>
    <cellStyle name="Hyperlink" xfId="1" builtinId="8"/>
    <cellStyle name="Hyperlink 13" xfId="60" xr:uid="{6725205A-AE8A-47E8-A9B8-2503852EB049}"/>
    <cellStyle name="Hyperlink 2" xfId="38" xr:uid="{5AF78285-372C-4426-8C4E-997DFDA0165F}"/>
    <cellStyle name="Hyperlink 2 2" xfId="147" xr:uid="{44A1A1BA-022C-4A4B-9D64-7CBCB678F4B2}"/>
    <cellStyle name="Hyperlink 2 3" xfId="146" xr:uid="{10191F78-2CF4-4FFD-83CC-64A30B0271B1}"/>
    <cellStyle name="Hyperlink 3" xfId="56" xr:uid="{508B428F-1788-404E-AA02-BCAE714396F5}"/>
    <cellStyle name="Hyperlink 3 2" xfId="148" xr:uid="{1A705EC3-0B50-46F7-834A-0B51AAEEE608}"/>
    <cellStyle name="Hyperlink 4" xfId="149" xr:uid="{EC79E4B7-AF75-47EF-ACD4-69F8F50BFD1B}"/>
    <cellStyle name="Hyperlink 5" xfId="475" xr:uid="{B5F5D8A3-6008-4A01-8D53-FAD7122DC9D0}"/>
    <cellStyle name="Hyperlink 6" xfId="58" xr:uid="{F804D9C5-2D08-4226-941F-BCA684D9DB41}"/>
    <cellStyle name="Information" xfId="150" xr:uid="{F3F72DC0-37BC-4ED0-BB35-ED48AF39480D}"/>
    <cellStyle name="Input [yellow]" xfId="51" xr:uid="{06C7A80E-3CA6-4D35-B083-A103D66EFAA4}"/>
    <cellStyle name="Input 10" xfId="151" xr:uid="{6F50DE94-178B-4CB7-9633-ED534F03EE0C}"/>
    <cellStyle name="Input 11" xfId="152" xr:uid="{A2D97A2F-1068-4B27-954F-D5C4F381E42D}"/>
    <cellStyle name="Input 12" xfId="153" xr:uid="{A6174AE8-548A-4F6E-B67C-85EC72B2B7E1}"/>
    <cellStyle name="Input 13" xfId="154" xr:uid="{E1683647-3BCA-4992-8982-66A78DC7FB8B}"/>
    <cellStyle name="Input 14" xfId="155" xr:uid="{55D4C45E-B9A9-4C7A-99D6-5368C8768D37}"/>
    <cellStyle name="Input 15" xfId="156" xr:uid="{77C7B1C3-AA00-43FC-911C-4972C3DB9891}"/>
    <cellStyle name="Input 16" xfId="157" xr:uid="{9831C271-9FB8-40CE-AEB7-0BB2A5785233}"/>
    <cellStyle name="Input 17" xfId="158" xr:uid="{2080BDC2-0DDC-4FBA-BD16-3E2385A863FB}"/>
    <cellStyle name="Input 18" xfId="159" xr:uid="{B1774D67-21F9-474A-B4F1-7DDEEA327CD5}"/>
    <cellStyle name="Input 19" xfId="160" xr:uid="{983756E2-3B4F-44F2-BFB0-AD0024B91279}"/>
    <cellStyle name="Input 2" xfId="39" xr:uid="{E4D88021-AFC6-4E8C-A5A2-A73870C57A83}"/>
    <cellStyle name="Input 2 2" xfId="161" xr:uid="{58AEEF17-8FF5-499F-9FC4-D55C79CB57B3}"/>
    <cellStyle name="Input 3" xfId="162" xr:uid="{510E1676-DF78-4ABD-93EE-FF1368E2FEBB}"/>
    <cellStyle name="Input 4" xfId="163" xr:uid="{30D5FA71-330A-4CD7-AE68-158F0F5EBCA8}"/>
    <cellStyle name="Input 5" xfId="164" xr:uid="{5682727D-EDC7-4635-93BA-F45D9F223CF0}"/>
    <cellStyle name="Input 6" xfId="165" xr:uid="{A4B37704-39D8-4A81-9C9E-AD2DAA4EBE5C}"/>
    <cellStyle name="Input 7" xfId="166" xr:uid="{FB08840A-3A3D-46D8-AB81-D19FF44A5054}"/>
    <cellStyle name="Input 8" xfId="167" xr:uid="{932EDD4D-3876-41F8-AE88-17D6B5C1C078}"/>
    <cellStyle name="Input 9" xfId="168" xr:uid="{5D4D193D-1CE5-4F58-A9D0-4FDA1C8B3362}"/>
    <cellStyle name="Input data" xfId="40" xr:uid="{E9FD8E31-E278-4C8C-AB7B-0D5DC68C763F}"/>
    <cellStyle name="LabelIntersect" xfId="169" xr:uid="{E66674FE-A6AE-4282-B295-9AF9B41C179B}"/>
    <cellStyle name="LabelLeft" xfId="170" xr:uid="{087F91FC-04E8-4373-A2CA-7E12C052FEEC}"/>
    <cellStyle name="LabelTop" xfId="171" xr:uid="{A4103BDB-6219-4F90-AFBE-F3B872D3523C}"/>
    <cellStyle name="Linked Cell 2" xfId="41" xr:uid="{9444DD4A-B1E6-400A-9875-85C8967DEBCA}"/>
    <cellStyle name="Linked Cell 2 2" xfId="172" xr:uid="{63EB7F50-EBC1-4915-8F58-D22EF87EC0C1}"/>
    <cellStyle name="Mik" xfId="173" xr:uid="{CBDD39CA-1F77-4693-B303-4629603071A8}"/>
    <cellStyle name="Mik 2" xfId="174" xr:uid="{0A3C172E-A3FF-4A3D-B480-E9E2A2829206}"/>
    <cellStyle name="Mik_For fiscal tables" xfId="175" xr:uid="{065D4364-69F5-4186-BF92-B46DA61885FC}"/>
    <cellStyle name="N" xfId="176" xr:uid="{9E5421D5-84B4-4774-80F7-065186E27214}"/>
    <cellStyle name="N 2" xfId="177" xr:uid="{9EA6C4C0-EA67-4A84-8450-66BD08D2B19F}"/>
    <cellStyle name="Neutral" xfId="5" builtinId="28" customBuiltin="1"/>
    <cellStyle name="Neutral 2" xfId="178" xr:uid="{DAACEC6D-1481-4924-829D-1D02464656E5}"/>
    <cellStyle name="Normal" xfId="0" builtinId="0"/>
    <cellStyle name="Normal - Style1" xfId="179" xr:uid="{A951428C-A3C3-4DE9-9323-AE981559A617}"/>
    <cellStyle name="Normal - Style2" xfId="180" xr:uid="{0B1F0837-ADFD-458E-AF04-AA044B58278C}"/>
    <cellStyle name="Normal - Style3" xfId="181" xr:uid="{E1623516-8E33-479B-A89E-9A025CC66A8B}"/>
    <cellStyle name="Normal - Style4" xfId="182" xr:uid="{DDC03A78-EFFB-4C91-9722-0851BC440E35}"/>
    <cellStyle name="Normal - Style5" xfId="183" xr:uid="{E38F78A0-EFF1-49CE-A335-B39C8AC93C48}"/>
    <cellStyle name="Normal 10" xfId="184" xr:uid="{11A795D6-0EC6-4CC1-876E-6E06C62CDCE3}"/>
    <cellStyle name="Normal 10 10" xfId="473" xr:uid="{463D7248-DFC5-4A6C-9E9D-CA5981FCC966}"/>
    <cellStyle name="Normal 10 2" xfId="185" xr:uid="{BB63713D-6964-4433-B14E-7FE0F1D9E872}"/>
    <cellStyle name="Normal 11" xfId="186" xr:uid="{55E427B7-505B-48E2-AD75-9C5774B847D0}"/>
    <cellStyle name="Normal 11 10" xfId="187" xr:uid="{43D64994-4A7C-4B06-98DB-22CA3F7CA6DC}"/>
    <cellStyle name="Normal 11 10 2" xfId="188" xr:uid="{FF226197-9EEC-4493-94BE-282E93B0832B}"/>
    <cellStyle name="Normal 11 10 3" xfId="189" xr:uid="{8C638F47-E08A-4B86-8439-76148A97D782}"/>
    <cellStyle name="Normal 11 11" xfId="190" xr:uid="{BE50F24F-028A-4D28-8A90-C07389EEB1DD}"/>
    <cellStyle name="Normal 11 2" xfId="191" xr:uid="{E5E03359-371A-4C26-A234-C4FB28A9C52F}"/>
    <cellStyle name="Normal 11 3" xfId="192" xr:uid="{F592EAE7-7BE8-421F-831A-FB449106A9C0}"/>
    <cellStyle name="Normal 11 4" xfId="193" xr:uid="{D7447065-F56A-4FD2-AE46-20CECB6D1605}"/>
    <cellStyle name="Normal 11 5" xfId="194" xr:uid="{E8993F1C-F418-4D23-951C-1F855825719D}"/>
    <cellStyle name="Normal 11 6" xfId="195" xr:uid="{CFBDD9F9-53B2-42A3-A9E6-4B00E2E1862B}"/>
    <cellStyle name="Normal 11 7" xfId="196" xr:uid="{31554399-9D4E-42D8-8E36-856284FDC303}"/>
    <cellStyle name="Normal 11 8" xfId="197" xr:uid="{90DF318F-3C47-43C0-BB58-6C4578C8A631}"/>
    <cellStyle name="Normal 11 9" xfId="198" xr:uid="{1ECDA9D3-73FD-46D2-8CBA-043B59820D3A}"/>
    <cellStyle name="Normal 12" xfId="199" xr:uid="{026A6D29-9045-432C-94A7-C4C8318FD5DD}"/>
    <cellStyle name="Normal 12 2" xfId="200" xr:uid="{3076987C-9061-4FF9-B6B6-BD27510D5C94}"/>
    <cellStyle name="Normal 13" xfId="201" xr:uid="{663C9184-9CD7-4B6A-BBC4-C58160B2F8D0}"/>
    <cellStyle name="Normal 13 2" xfId="202" xr:uid="{F38A0F04-9F40-416C-9971-1A05A37BA82A}"/>
    <cellStyle name="Normal 14" xfId="63" xr:uid="{D8CFBD32-38AC-496C-96D8-6CF1E0CCB993}"/>
    <cellStyle name="Normal 14 2" xfId="204" xr:uid="{A79A3521-EEA5-4CA9-99CB-13571E7CFD5B}"/>
    <cellStyle name="Normal 14 3" xfId="203" xr:uid="{DF8858CA-3F75-4253-9023-3864B01856CA}"/>
    <cellStyle name="Normal 15" xfId="205" xr:uid="{344E55FE-618C-4FE3-96A9-E6E12EAE6F3D}"/>
    <cellStyle name="Normal 15 2" xfId="206" xr:uid="{6CBDE80D-69FD-4118-91A7-607159D6A83B}"/>
    <cellStyle name="Normal 16" xfId="207" xr:uid="{9CE1200A-3D99-45DA-B5B9-A77569C09BCB}"/>
    <cellStyle name="Normal 16 2" xfId="208" xr:uid="{E7FA937B-8893-4BCC-AE75-B4E3A82E5214}"/>
    <cellStyle name="Normal 16 3" xfId="209" xr:uid="{E7B81C24-6825-4F13-9C8C-258954A2FC58}"/>
    <cellStyle name="Normal 17" xfId="210" xr:uid="{C0D49B5D-08DC-4DCC-AB90-8F3C4C698C16}"/>
    <cellStyle name="Normal 17 2" xfId="211" xr:uid="{A2FE70B9-7A2F-4A0D-8130-DEF8E000EB00}"/>
    <cellStyle name="Normal 18" xfId="212" xr:uid="{AFB2515B-6450-4C10-8BFA-CD2D4BB85A01}"/>
    <cellStyle name="Normal 18 2" xfId="213" xr:uid="{54EBC686-5344-4234-B3E7-575AAEDD7C77}"/>
    <cellStyle name="Normal 18 3" xfId="214" xr:uid="{C3E16F13-1B36-4729-8CEE-4FA2F6046877}"/>
    <cellStyle name="Normal 19" xfId="215" xr:uid="{719BDC4E-0174-48D6-90DE-603B29721F89}"/>
    <cellStyle name="Normal 19 2" xfId="216" xr:uid="{80E613C0-EFD7-4CFA-8A8D-6141D709EC2F}"/>
    <cellStyle name="Normal 19 3" xfId="217" xr:uid="{17821053-1C73-4B39-8D47-F9E5B2FA88AB}"/>
    <cellStyle name="Normal 2" xfId="31" xr:uid="{6F998363-8DB3-406C-809C-E470044B3FA4}"/>
    <cellStyle name="Normal 2 2" xfId="55" xr:uid="{6378360C-D946-4B37-BFE2-E472D9371988}"/>
    <cellStyle name="Normal 2 2 2" xfId="220" xr:uid="{1A64736F-0661-4F29-8BE8-75319EDA6639}"/>
    <cellStyle name="Normal 2 2 3" xfId="219" xr:uid="{436B7DEB-75FB-435A-8190-D5061F548E67}"/>
    <cellStyle name="Normal 2 3" xfId="221" xr:uid="{9C8343CC-2008-4E18-A64E-D41AFFA89AA8}"/>
    <cellStyle name="Normal 2 3 10 4" xfId="468" xr:uid="{98591F46-E639-4782-AFF9-C3FACC4BD361}"/>
    <cellStyle name="Normal 2 3 2" xfId="54" xr:uid="{FEF6C33E-FE7A-49D6-8F73-5B5CB03A0E81}"/>
    <cellStyle name="Normal 20" xfId="222" xr:uid="{722718ED-21AF-408B-A47A-01A3D2575B47}"/>
    <cellStyle name="Normal 20 2" xfId="223" xr:uid="{B441A5B6-CBAE-468D-BB2D-B5B9511A067B}"/>
    <cellStyle name="Normal 21" xfId="224" xr:uid="{1EBD3035-872E-4C9C-AE94-D4BF82AFAAF8}"/>
    <cellStyle name="Normal 21 2" xfId="225" xr:uid="{A051F0B0-2DE8-4650-ACBB-551C291A9066}"/>
    <cellStyle name="Normal 21 3" xfId="226" xr:uid="{32A2C4A7-A182-4A08-905A-F9B256411CE2}"/>
    <cellStyle name="Normal 21_Copy of Fiscal Tables" xfId="227" xr:uid="{0A6CEC7C-5191-4A65-A9DD-EE373F1FA3B0}"/>
    <cellStyle name="Normal 22" xfId="228" xr:uid="{88909D7D-5B1A-4672-B809-71F1F3B1FCB7}"/>
    <cellStyle name="Normal 22 2" xfId="229" xr:uid="{907149F8-A045-4357-A1AE-CC6FDD8418A2}"/>
    <cellStyle name="Normal 22 3" xfId="230" xr:uid="{333FABAD-C62E-4367-9852-2E4B00088EFB}"/>
    <cellStyle name="Normal 22_Copy of Fiscal Tables" xfId="231" xr:uid="{269F1BC9-3096-429E-9DAF-E4F15BDF1593}"/>
    <cellStyle name="Normal 228" xfId="64" xr:uid="{0C91E2C0-E028-4066-9B47-FEEC05E70C70}"/>
    <cellStyle name="Normal 23" xfId="232" xr:uid="{9FB98420-2361-4460-A0FC-46F297EA7DDD}"/>
    <cellStyle name="Normal 23 2" xfId="233" xr:uid="{5F804A39-E6AA-420B-BE60-127D45BC4B40}"/>
    <cellStyle name="Normal 232" xfId="472" xr:uid="{60E57C63-3316-4473-B7C4-506C7E27E697}"/>
    <cellStyle name="Normal 233" xfId="471" xr:uid="{C0B95075-86B4-4903-AEEE-2E90951CF283}"/>
    <cellStyle name="Normal 24" xfId="234" xr:uid="{FF977071-8861-4508-8459-5060D77BC376}"/>
    <cellStyle name="Normal 24 2" xfId="235" xr:uid="{9805704D-67FC-4911-9E09-078BB92C769B}"/>
    <cellStyle name="Normal 25" xfId="236" xr:uid="{01E60367-8640-4058-8A72-06F29C1D05D1}"/>
    <cellStyle name="Normal 25 2" xfId="237" xr:uid="{C3A051CA-0EE7-404E-B285-A1478094A146}"/>
    <cellStyle name="Normal 26" xfId="238" xr:uid="{B6273E52-C4E8-459B-9AE0-AF88CF2E3AF6}"/>
    <cellStyle name="Normal 26 2" xfId="239" xr:uid="{86C712AC-A9AF-453B-BB92-A017D086D427}"/>
    <cellStyle name="Normal 27" xfId="240" xr:uid="{70812C47-6296-4D9B-B6CB-BEE93E574615}"/>
    <cellStyle name="Normal 27 2" xfId="241" xr:uid="{D0DB61C2-D0E2-4C45-AEC4-998E3E8D9DF3}"/>
    <cellStyle name="Normal 28" xfId="242" xr:uid="{94745ADC-27B6-4677-AE35-91057BF121E8}"/>
    <cellStyle name="Normal 28 2" xfId="243" xr:uid="{657922E5-B9CD-49FF-8F15-53056ABD9D3B}"/>
    <cellStyle name="Normal 29" xfId="244" xr:uid="{9242FC2C-79FF-4301-8159-F4B7D9B8960C}"/>
    <cellStyle name="Normal 3" xfId="53" xr:uid="{B1D5A842-446B-4CED-9981-E910C1412720}"/>
    <cellStyle name="Normal 3 10" xfId="246" xr:uid="{563DAA34-5270-49A3-84E0-7E661105D165}"/>
    <cellStyle name="Normal 3 11" xfId="247" xr:uid="{C33332CD-857A-4E15-9954-00A49002E8BB}"/>
    <cellStyle name="Normal 3 12" xfId="248" xr:uid="{E3E481DD-60C9-4835-88F5-0A2A59D39887}"/>
    <cellStyle name="Normal 3 13" xfId="245" xr:uid="{7BCD6012-7363-45C5-A40D-7DC641F178C2}"/>
    <cellStyle name="Normal 3 2" xfId="249" xr:uid="{F0ACDE3E-FEFB-4B24-95DB-A16AE93BF479}"/>
    <cellStyle name="Normal 3 2 2" xfId="250" xr:uid="{F3F65A04-3DD0-4A34-9ABB-E001CCF51970}"/>
    <cellStyle name="Normal 3 3" xfId="251" xr:uid="{E8E14774-E0E0-4DA6-B3FD-1BEC96F96858}"/>
    <cellStyle name="Normal 3 4" xfId="252" xr:uid="{C3D2D2BE-AF03-4818-A42A-B75061C65243}"/>
    <cellStyle name="Normal 3 5" xfId="253" xr:uid="{188005B8-E5EE-498C-A2E3-1E91BCC5BBAE}"/>
    <cellStyle name="Normal 3 6" xfId="254" xr:uid="{2381F21A-D69E-4CFE-8B87-8EC238E01560}"/>
    <cellStyle name="Normal 3 7" xfId="255" xr:uid="{E1B0FA9D-F6A9-4FE8-B57E-B7F7140A7770}"/>
    <cellStyle name="Normal 3 8" xfId="256" xr:uid="{52BC7E7C-2867-49F6-A587-41B254A7300B}"/>
    <cellStyle name="Normal 3 9" xfId="257" xr:uid="{68D1B615-A6DC-4230-A44A-7DB85082B93D}"/>
    <cellStyle name="Normal 3_asset sales" xfId="258" xr:uid="{B1106B6C-3412-4ABF-A6C7-F17ED85C625D}"/>
    <cellStyle name="Normal 30" xfId="259" xr:uid="{5283CFE9-E2FE-4581-9311-D2331FC4C7F4}"/>
    <cellStyle name="Normal 31" xfId="260" xr:uid="{5CF59B40-ED21-4DC1-8A34-D7FA01E8737E}"/>
    <cellStyle name="Normal 32" xfId="261" xr:uid="{6EEC3150-8071-40FF-BE08-6D925CC6F2E5}"/>
    <cellStyle name="Normal 33" xfId="262" xr:uid="{0B930493-3082-4687-B206-D50C2E4CEF4E}"/>
    <cellStyle name="Normal 34" xfId="263" xr:uid="{1B29C000-2BC7-4E5F-8090-1E9A1F657C4B}"/>
    <cellStyle name="Normal 35" xfId="264" xr:uid="{B94A817D-3B30-4E18-A61E-B5A29E04E19D}"/>
    <cellStyle name="Normal 36" xfId="265" xr:uid="{B320CEEA-948D-4610-8D7D-37368C0872E7}"/>
    <cellStyle name="Normal 37" xfId="266" xr:uid="{5955F395-999D-4F17-860B-53BB2850B575}"/>
    <cellStyle name="Normal 38" xfId="267" xr:uid="{7B74F751-4E85-4257-BF98-4B42698440AD}"/>
    <cellStyle name="Normal 39" xfId="268" xr:uid="{AF5BBC4D-9451-4001-906D-F0A935F02B38}"/>
    <cellStyle name="Normal 4" xfId="269" xr:uid="{42BEC5FD-822C-47F4-9BB7-9AF4889E0A57}"/>
    <cellStyle name="Normal 4 2" xfId="270" xr:uid="{564BDCC2-E26D-46A0-A142-119E311A2F2B}"/>
    <cellStyle name="Normal 4 3" xfId="271" xr:uid="{5AB765C9-A48D-4CAF-8952-0EE474AD0FD9}"/>
    <cellStyle name="Normal 40" xfId="272" xr:uid="{5B806C2B-39CC-4C97-93DF-FC689D70F63E}"/>
    <cellStyle name="Normal 41" xfId="273" xr:uid="{0B7BCBC6-CDFE-4D8A-B094-7EBA8E29AA66}"/>
    <cellStyle name="Normal 42" xfId="274" xr:uid="{ACD0E2DB-6F8B-4ABE-A8F1-E79B8CD52C6A}"/>
    <cellStyle name="Normal 43" xfId="275" xr:uid="{EA16E913-8AC2-4705-B59F-116BCB75F3D8}"/>
    <cellStyle name="Normal 44" xfId="276" xr:uid="{3DC08F3E-4F98-4267-A1C4-73002D1316EC}"/>
    <cellStyle name="Normal 45" xfId="277" xr:uid="{7664B7FF-6C6F-4163-98B6-9B39DA85525B}"/>
    <cellStyle name="Normal 46" xfId="278" xr:uid="{34FFBE68-BB41-471C-93B7-17E34782F896}"/>
    <cellStyle name="Normal 47" xfId="279" xr:uid="{3642FA19-3A99-46AF-9BAA-66C96D4D2A78}"/>
    <cellStyle name="Normal 48" xfId="280" xr:uid="{293D7775-4A74-4CAE-9803-E490F726F2BD}"/>
    <cellStyle name="Normal 49" xfId="281" xr:uid="{E8112F38-39C0-4047-9F8D-81762F5E36A9}"/>
    <cellStyle name="Normal 5" xfId="282" xr:uid="{0B70F3C1-6121-42FA-9FE4-F3795843BB1E}"/>
    <cellStyle name="Normal 5 2" xfId="283" xr:uid="{FEB2E973-3066-47F0-AFEC-9D6000D88C7F}"/>
    <cellStyle name="Normal 5 3" xfId="284" xr:uid="{16BCE1B5-9452-4F12-855E-EC7BB7F97659}"/>
    <cellStyle name="Normal 50" xfId="285" xr:uid="{B47573BE-E1AA-4469-848A-91156BE5B7F8}"/>
    <cellStyle name="Normal 51" xfId="286" xr:uid="{C014B727-1C96-4938-9492-FEF41316C979}"/>
    <cellStyle name="Normal 52" xfId="287" xr:uid="{993F796A-132B-4451-A5E6-89D9BA0768C5}"/>
    <cellStyle name="Normal 53" xfId="65" xr:uid="{EE13680C-29CE-4C01-A015-2F6337F80F33}"/>
    <cellStyle name="Normal 54" xfId="218" xr:uid="{692DEA96-7F05-4250-8AAE-12AB1C176DD5}"/>
    <cellStyle name="Normal 55" xfId="431" xr:uid="{CC84DAA3-BA31-42B6-9D00-25F1DA6CC876}"/>
    <cellStyle name="Normal 56" xfId="432" xr:uid="{52845FAD-11CA-4F02-AD9F-45179EAC8EE5}"/>
    <cellStyle name="Normal 57" xfId="433" xr:uid="{141AFAC5-9FBC-4901-BD4E-B82B09D9CB79}"/>
    <cellStyle name="Normal 58" xfId="57" xr:uid="{6F557E03-874E-4190-A21F-6A8FD10EF852}"/>
    <cellStyle name="Normal 59" xfId="52" xr:uid="{8BF0B499-1941-4178-92E3-A921963BDD4D}"/>
    <cellStyle name="Normal 6" xfId="288" xr:uid="{447A1DEC-4B6C-44D6-B5A4-33AB906FBCDB}"/>
    <cellStyle name="Normal 6 2" xfId="289" xr:uid="{D6D7AC69-6249-417B-B872-7D3D29B74DAC}"/>
    <cellStyle name="Normal 60" xfId="434" xr:uid="{9B0D32E5-2525-47E5-B9F8-E2836B84D057}"/>
    <cellStyle name="Normal 61" xfId="450" xr:uid="{90BD6023-DB1E-44B2-BBA5-8602A14D5FDE}"/>
    <cellStyle name="Normal 62" xfId="451" xr:uid="{ADC1A03E-3005-48B8-A478-20A5BF58711A}"/>
    <cellStyle name="Normal 63" xfId="452" xr:uid="{1890E1AD-7D0D-49FB-B930-BF94DBB5C03C}"/>
    <cellStyle name="Normal 64" xfId="453" xr:uid="{3841F26E-01F7-4B93-9C5E-CA1A3AD5E1BB}"/>
    <cellStyle name="Normal 65" xfId="480" xr:uid="{B38332DF-78B5-4322-8B6E-F91C92922A7E}"/>
    <cellStyle name="Normal 66" xfId="481" xr:uid="{3EFE66A5-3F34-4E56-95BB-4EBC0CD6E643}"/>
    <cellStyle name="Normal 67" xfId="479" xr:uid="{D928CA3A-E8D1-4C66-8ADA-3155E4D3B97B}"/>
    <cellStyle name="Normal 68" xfId="482" xr:uid="{6B31411A-1FC1-4B93-9940-94D48C324710}"/>
    <cellStyle name="Normal 69" xfId="476" xr:uid="{F8FC3114-D510-4515-A862-857D79E9D91E}"/>
    <cellStyle name="Normal 7" xfId="290" xr:uid="{7DDC0E94-B662-4BDF-9D8B-FF5CE4B8F4D3}"/>
    <cellStyle name="Normal 7 2" xfId="291" xr:uid="{69FF5076-6B07-4479-A4C0-5D068725F40C}"/>
    <cellStyle name="Normal 8" xfId="292" xr:uid="{B9C652C3-5F08-4AE0-8F5A-91A036543419}"/>
    <cellStyle name="Normal 8 2" xfId="293" xr:uid="{FF664B24-549B-47CC-80CF-7505CA469DBF}"/>
    <cellStyle name="Normal 9" xfId="294" xr:uid="{53EDFC50-42E8-4D9E-8B9F-E4DB4DC370C0}"/>
    <cellStyle name="Normal 9 2" xfId="295" xr:uid="{4CEF98AE-40F4-437D-B2A3-EB8DC224DC02}"/>
    <cellStyle name="Normal 98" xfId="470" xr:uid="{4637AF04-02BB-43FC-8839-44A9D090DC9D}"/>
    <cellStyle name="Note 2" xfId="42" xr:uid="{991952BC-9CA6-4EE9-854E-18C2A1EA464C}"/>
    <cellStyle name="Note 2 2" xfId="297" xr:uid="{F2E60D37-04AA-4819-9FC8-BB2383D5E384}"/>
    <cellStyle name="Note 2 3" xfId="296" xr:uid="{2770F124-E9F3-40EF-81C6-46F216A4DDCC}"/>
    <cellStyle name="Output 2" xfId="43" xr:uid="{82A3DAB2-39B5-4C41-8E17-353C3B45C8D0}"/>
    <cellStyle name="Output 2 2" xfId="298" xr:uid="{8AC76979-C15D-4F05-AC56-EBA80C08CBD9}"/>
    <cellStyle name="Output Amounts" xfId="299" xr:uid="{4014AFF8-FBD8-4100-A2F2-4E25F87C6209}"/>
    <cellStyle name="Output Column Headings" xfId="300" xr:uid="{4AD83116-D2E3-4259-8A47-80BA2598218D}"/>
    <cellStyle name="Output Line Items" xfId="301" xr:uid="{41330E08-74A7-4A2C-86A2-CA57C34BEFA1}"/>
    <cellStyle name="Output Report Heading" xfId="302" xr:uid="{B1F7B856-B70A-479A-A4DC-3872F503E4E3}"/>
    <cellStyle name="Output Report Title" xfId="303" xr:uid="{727BECCF-F636-4C2C-BA43-C1B1B9804C1D}"/>
    <cellStyle name="P" xfId="304" xr:uid="{0F2F2CFB-0524-43E7-A8BF-6ADB546BCE97}"/>
    <cellStyle name="P 2" xfId="305" xr:uid="{38379C95-23FF-4EA3-8002-F81B85C9073B}"/>
    <cellStyle name="Percent" xfId="50" builtinId="5"/>
    <cellStyle name="Percent [2]" xfId="306" xr:uid="{8CD7B6E1-F8CA-456A-B82C-22DE4BB27FCA}"/>
    <cellStyle name="Percent 2" xfId="44" xr:uid="{38049E92-5CB7-4109-82F2-067E4FC4CF39}"/>
    <cellStyle name="Percent 2 2" xfId="307" xr:uid="{9744EC89-05E1-4A3B-A684-3F2D4876084B}"/>
    <cellStyle name="Percent 2 3" xfId="474" xr:uid="{C4004F07-D082-428B-950E-B551F6FD4D69}"/>
    <cellStyle name="Percent 3" xfId="308" xr:uid="{7975E723-8FA8-4283-BA5C-C398F699F9B5}"/>
    <cellStyle name="Percent 3 2" xfId="309" xr:uid="{696435E9-8087-48D8-B44C-41C948481374}"/>
    <cellStyle name="Percent 4" xfId="310" xr:uid="{D6F84A15-1F87-4D55-9653-0C65BF3338A9}"/>
    <cellStyle name="Percent 4 2" xfId="311" xr:uid="{F1281367-085E-4D4A-99E9-A440CEF08EBB}"/>
    <cellStyle name="Percent 5" xfId="312" xr:uid="{3121E8BF-F876-45C1-9401-D1E0346F0751}"/>
    <cellStyle name="Percent 6" xfId="313" xr:uid="{20A11EBF-1F46-48A5-80BE-348C85C696E9}"/>
    <cellStyle name="Percent 7" xfId="314" xr:uid="{4BEA9158-17B4-4BA0-A54E-18CE6C688E7C}"/>
    <cellStyle name="Percent 8" xfId="315" xr:uid="{AEA2173C-4067-4892-88CA-8DFA65CF7CA2}"/>
    <cellStyle name="Refdb standard" xfId="316" xr:uid="{F320E450-5B0C-44F9-950F-2A5D1AF643B9}"/>
    <cellStyle name="ReportData" xfId="317" xr:uid="{A56F5B6C-16DA-4134-803B-4DE75394E334}"/>
    <cellStyle name="ReportElements" xfId="318" xr:uid="{C90A0A9A-06CB-4B4C-91B0-D694D28D6E17}"/>
    <cellStyle name="ReportHeader" xfId="319" xr:uid="{174FAE59-09D4-4340-AB14-92F7840F6C85}"/>
    <cellStyle name="SAPBEXaggData" xfId="320" xr:uid="{FCAD37E9-DDB7-47FA-907F-7BD4F7300F16}"/>
    <cellStyle name="SAPBEXaggDataEmph" xfId="321" xr:uid="{6F306920-AA5C-4939-B1AD-AD0DC87DA91B}"/>
    <cellStyle name="SAPBEXaggItem" xfId="322" xr:uid="{343C9355-0FFA-4CDF-AEAB-E1D41D7A61EA}"/>
    <cellStyle name="SAPBEXaggItemX" xfId="323" xr:uid="{F199F77D-4703-4AAF-9061-A97CD6947EF5}"/>
    <cellStyle name="SAPBEXchaText" xfId="324" xr:uid="{287BF5AF-7E61-4A71-8B94-51DD3D287AE8}"/>
    <cellStyle name="SAPBEXexcBad7" xfId="325" xr:uid="{AF9808A6-338A-46AD-9FF8-F1D9BBCDE088}"/>
    <cellStyle name="SAPBEXexcBad8" xfId="326" xr:uid="{04C3F15A-7544-4A10-965F-2CBE9FBDC406}"/>
    <cellStyle name="SAPBEXexcBad9" xfId="327" xr:uid="{A5EA62FD-3B2D-4A1D-A1A1-A16E4E141F6C}"/>
    <cellStyle name="SAPBEXexcCritical4" xfId="328" xr:uid="{F9573FE8-F6B0-4637-9090-A317F6F224B5}"/>
    <cellStyle name="SAPBEXexcCritical5" xfId="329" xr:uid="{D3B97708-8E96-4742-A753-44FC2993633D}"/>
    <cellStyle name="SAPBEXexcCritical6" xfId="330" xr:uid="{22F0088F-AFDC-4E08-A9E6-E8C35FB581FD}"/>
    <cellStyle name="SAPBEXexcGood1" xfId="331" xr:uid="{B3E8DF03-E59D-4F05-90F1-CF555F862AB8}"/>
    <cellStyle name="SAPBEXexcGood2" xfId="332" xr:uid="{3D976EF7-9E55-4E85-BA21-FFA430B3C487}"/>
    <cellStyle name="SAPBEXexcGood3" xfId="333" xr:uid="{92BC276C-122C-4019-B7A4-B608BBC533FA}"/>
    <cellStyle name="SAPBEXfilterDrill" xfId="334" xr:uid="{B933C5B7-33EF-45FC-8409-B178CEC6B21F}"/>
    <cellStyle name="SAPBEXfilterItem" xfId="335" xr:uid="{5E19675F-4B0D-4292-9013-FC84E639F5D5}"/>
    <cellStyle name="SAPBEXfilterText" xfId="336" xr:uid="{E2140164-378A-4C38-868A-7E2653DE16EC}"/>
    <cellStyle name="SAPBEXformats" xfId="337" xr:uid="{D9C3D188-A41F-4CC7-88C9-DA29B47BF2BE}"/>
    <cellStyle name="SAPBEXheaderItem" xfId="338" xr:uid="{EB257A86-40DD-455A-B0C3-9C187C929DF3}"/>
    <cellStyle name="SAPBEXheaderText" xfId="339" xr:uid="{67779B21-DE1C-450A-AA42-9497FAF1B9F4}"/>
    <cellStyle name="SAPBEXHLevel0" xfId="340" xr:uid="{56E536A3-A929-43E4-A3D2-9A7895943874}"/>
    <cellStyle name="SAPBEXHLevel0X" xfId="341" xr:uid="{149239C5-6C17-4BF2-95E0-18125B297D22}"/>
    <cellStyle name="SAPBEXHLevel1" xfId="342" xr:uid="{6B5733ED-7E0B-407E-8AFC-A4C3F2FADE4B}"/>
    <cellStyle name="SAPBEXHLevel1X" xfId="343" xr:uid="{EDBD7A34-7E8D-4778-9977-3BD5416EFB96}"/>
    <cellStyle name="SAPBEXHLevel2" xfId="344" xr:uid="{4056D773-0643-4170-BEAE-E275964FD622}"/>
    <cellStyle name="SAPBEXHLevel2X" xfId="345" xr:uid="{42F69BE7-B2CE-4217-91D6-28CEAD48976F}"/>
    <cellStyle name="SAPBEXHLevel3" xfId="346" xr:uid="{4E0E5857-4A28-49C4-9C48-5AFFE21CFBF8}"/>
    <cellStyle name="SAPBEXHLevel3X" xfId="347" xr:uid="{B83815FE-F0A7-43A4-AA64-6150E62F4AFF}"/>
    <cellStyle name="SAPBEXresData" xfId="348" xr:uid="{D1CA4222-2C1A-4E50-88F4-827E7FD515B5}"/>
    <cellStyle name="SAPBEXresDataEmph" xfId="349" xr:uid="{345749B1-7812-4935-9E67-3247120E2905}"/>
    <cellStyle name="SAPBEXresItem" xfId="350" xr:uid="{CF147289-35C2-4DEB-A676-BC3F0EDBC24C}"/>
    <cellStyle name="SAPBEXresItemX" xfId="351" xr:uid="{A1F74029-3169-498C-80B4-B097A99B9333}"/>
    <cellStyle name="SAPBEXstdData" xfId="352" xr:uid="{5B32E826-740B-46AA-A463-89393F8E2B7D}"/>
    <cellStyle name="SAPBEXstdDataEmph" xfId="353" xr:uid="{B6F1E1BF-7934-4E35-BDB2-FA2FFB36C448}"/>
    <cellStyle name="SAPBEXstdItem" xfId="354" xr:uid="{8FF46349-3399-4977-84A9-E424ECF77841}"/>
    <cellStyle name="SAPBEXstdItemX" xfId="355" xr:uid="{CA43E7D1-0EBE-4E5D-B828-EA1737BAF2F2}"/>
    <cellStyle name="SAPBEXtitle" xfId="356" xr:uid="{D5F1DFFA-03B4-4F3E-B33E-6ABA37D659AF}"/>
    <cellStyle name="SAPBEXundefined" xfId="357" xr:uid="{BB530E27-4350-4EE7-83EE-8228A0A69D53}"/>
    <cellStyle name="Selection" xfId="45" xr:uid="{1CF93E0A-1E7F-4AC8-B41B-B89075C34D88}"/>
    <cellStyle name="Style 1" xfId="358" xr:uid="{C940F1F6-2CC5-4228-8FAE-2C2FF660B256}"/>
    <cellStyle name="Style1" xfId="359" xr:uid="{DCD0B1F0-B20B-4674-BC35-0229A7E5CB37}"/>
    <cellStyle name="Style2" xfId="360" xr:uid="{689E9512-5CAD-4DD1-89CE-0A9AF6404DDD}"/>
    <cellStyle name="Style3" xfId="361" xr:uid="{C655CF65-7A74-45D2-9738-3116854827E8}"/>
    <cellStyle name="Style4" xfId="362" xr:uid="{B9C35628-CB37-4050-A5C8-8404E1395D25}"/>
    <cellStyle name="Style5" xfId="363" xr:uid="{2F0C8FD5-CF1E-45D6-A2E6-FBF62425499B}"/>
    <cellStyle name="Style6" xfId="364" xr:uid="{962EC1EC-A019-47D8-8B20-DF6A8514F650}"/>
    <cellStyle name="Table Footnote" xfId="365" xr:uid="{1768BC56-00B2-4140-B75B-AC172E3F1D20}"/>
    <cellStyle name="Table Footnote 2" xfId="366" xr:uid="{0501F66D-4977-4F7E-B4DC-F9BF9E5B64EE}"/>
    <cellStyle name="Table Footnote 2 2" xfId="367" xr:uid="{4ACC1419-87DF-492E-A314-F34CDF9BF542}"/>
    <cellStyle name="Table Footnote_Table 5.6 sales of assets 23Feb2010" xfId="368" xr:uid="{3778DF25-3A1B-4D13-9ECA-08B4CCDC6143}"/>
    <cellStyle name="Table Header" xfId="369" xr:uid="{AD348A65-2B45-4A7E-955A-079C2684156F}"/>
    <cellStyle name="Table Header 2" xfId="370" xr:uid="{ACC29D95-78DA-4299-9392-C69EEFADDB5D}"/>
    <cellStyle name="Table Header 2 2" xfId="371" xr:uid="{BDFA583D-B4BC-410F-A295-126720499979}"/>
    <cellStyle name="Table Header_Table 5.6 sales of assets 23Feb2010" xfId="372" xr:uid="{1036730A-7348-45B9-BC5F-BBCC7FA60F28}"/>
    <cellStyle name="Table Heading 1" xfId="373" xr:uid="{388467F5-3539-4B2B-A640-A47E97CAA77A}"/>
    <cellStyle name="Table Heading 1 2" xfId="374" xr:uid="{47E23F6E-82D9-472F-BC0A-7B4A119B1264}"/>
    <cellStyle name="Table Heading 1 2 2" xfId="375" xr:uid="{E17C733B-04CC-4B30-ADD7-6E2FA32BC1CF}"/>
    <cellStyle name="Table Heading 1_Table 5.6 sales of assets 23Feb2010" xfId="376" xr:uid="{BF52D31F-3C63-4D5A-8FC4-AADFB372CB3B}"/>
    <cellStyle name="Table Heading 2" xfId="377" xr:uid="{BC5A3132-B2A3-4F8E-8A6A-2BBDCC39356D}"/>
    <cellStyle name="Table Heading 2 2" xfId="378" xr:uid="{F2BD9E8B-9B17-4194-9022-7ED24419063A}"/>
    <cellStyle name="Table Heading 2_Table 5.6 sales of assets 23Feb2010" xfId="379" xr:uid="{8CF6E08E-4AAD-45F8-82AE-CA1E195D0120}"/>
    <cellStyle name="Table Of Which" xfId="380" xr:uid="{AD35B105-1F31-4559-965F-1D47B637D760}"/>
    <cellStyle name="Table Of Which 2" xfId="381" xr:uid="{40DABDD2-C9EC-4549-A92B-B92B5DC84A43}"/>
    <cellStyle name="Table Of Which_Table 5.6 sales of assets 23Feb2010" xfId="382" xr:uid="{50417696-AA66-48DF-B61B-32766E248CC8}"/>
    <cellStyle name="Table Row Billions" xfId="383" xr:uid="{42C6F1F8-08A4-4B10-A5B4-E28818D1B87A}"/>
    <cellStyle name="Table Row Billions 2" xfId="384" xr:uid="{70FF99E6-2639-4609-B2C2-B43CC08A3D26}"/>
    <cellStyle name="Table Row Billions Check" xfId="385" xr:uid="{797F08BC-B544-46E6-8AF8-CA2B3130D884}"/>
    <cellStyle name="Table Row Billions Check 2" xfId="386" xr:uid="{4D986024-539A-454F-B193-710C5A8F59C3}"/>
    <cellStyle name="Table Row Billions Check 3" xfId="387" xr:uid="{B7174E2C-2586-43E2-B30F-839721775D24}"/>
    <cellStyle name="Table Row Billions Check_asset sales" xfId="388" xr:uid="{B4272859-A1EC-4EEC-A5F5-BD4A39D6657B}"/>
    <cellStyle name="Table Row Billions_Table 5.6 sales of assets 23Feb2010" xfId="389" xr:uid="{BBC3C175-C56B-40CA-856A-61A77B1172F5}"/>
    <cellStyle name="Table Row Millions" xfId="390" xr:uid="{94B32331-D5B7-49D2-8A22-EB71A7F1EE7D}"/>
    <cellStyle name="Table Row Millions 2" xfId="391" xr:uid="{948C710B-B34C-4D53-ADCF-98472E78E2C2}"/>
    <cellStyle name="Table Row Millions 2 2" xfId="392" xr:uid="{92FA135A-872B-4161-8A7E-F2ABE9658B44}"/>
    <cellStyle name="Table Row Millions Check" xfId="393" xr:uid="{F077E126-A374-4394-81C9-10D729ACCBED}"/>
    <cellStyle name="Table Row Millions Check 2" xfId="394" xr:uid="{A00E130D-7F3A-487B-BC76-1F419663060C}"/>
    <cellStyle name="Table Row Millions Check 3" xfId="395" xr:uid="{F0634347-181D-4DCD-A495-FFBC27A7741D}"/>
    <cellStyle name="Table Row Millions Check 4" xfId="396" xr:uid="{80C887C1-EC56-40CF-8971-5065BCB5FBBA}"/>
    <cellStyle name="Table Row Millions Check_asset sales" xfId="397" xr:uid="{AC90FC3A-9A3F-48EA-B11D-60619CA8A853}"/>
    <cellStyle name="Table Row Millions_Table 5.6 sales of assets 23Feb2010" xfId="398" xr:uid="{67A97BF1-784F-496A-BA86-E37A7DCE536B}"/>
    <cellStyle name="Table Row Percentage" xfId="399" xr:uid="{6860541C-5A37-4BD8-98F5-5A4537C188B2}"/>
    <cellStyle name="Table Row Percentage 2" xfId="400" xr:uid="{A97ABE2B-FE8B-4E62-A60C-2B6964ECAAB2}"/>
    <cellStyle name="Table Row Percentage Check" xfId="401" xr:uid="{1495D94B-71C5-49C5-B982-0BC1BE31AB78}"/>
    <cellStyle name="Table Row Percentage Check 2" xfId="402" xr:uid="{ED652759-8310-4ADF-9705-07DC34A20E81}"/>
    <cellStyle name="Table Row Percentage Check 3" xfId="403" xr:uid="{0FB26FEC-7CFA-4751-9C8B-E04EAE767040}"/>
    <cellStyle name="Table Row Percentage Check_asset sales" xfId="404" xr:uid="{DB7E63BF-021A-4379-AE6C-CF54B7E30471}"/>
    <cellStyle name="Table Row Percentage_Table 5.6 sales of assets 23Feb2010" xfId="405" xr:uid="{3615E3D6-CE75-4804-80D4-3FAB79569BC1}"/>
    <cellStyle name="Table Total Billions" xfId="406" xr:uid="{27571111-99CD-465A-90F6-89EB55ABA6DF}"/>
    <cellStyle name="Table Total Billions 2" xfId="407" xr:uid="{39C8E026-C203-40F4-95D6-5E6585E703EA}"/>
    <cellStyle name="Table Total Billions_Table 5.6 sales of assets 23Feb2010" xfId="408" xr:uid="{8DBECD3D-9CF3-4705-9BEC-E6B346B6965E}"/>
    <cellStyle name="Table Total Millions" xfId="409" xr:uid="{3B18F0D4-4448-43C2-870D-9663B9290B00}"/>
    <cellStyle name="Table Total Millions 2" xfId="410" xr:uid="{57FC3EF9-C5B5-4941-AEBC-8299B929664D}"/>
    <cellStyle name="Table Total Millions 2 2" xfId="411" xr:uid="{372CE18F-4621-427E-AFA9-1A0382E6A3F2}"/>
    <cellStyle name="Table Total Millions_Table 5.6 sales of assets 23Feb2010" xfId="412" xr:uid="{C9B4A780-03EE-4C98-B210-23189C21490A}"/>
    <cellStyle name="Table Total Percentage" xfId="413" xr:uid="{8A03D86F-3B93-41CB-A28D-0D6B686612A6}"/>
    <cellStyle name="Table Total Percentage 2" xfId="414" xr:uid="{1C645B4C-A6EE-4C04-BBD9-BBC961F707D6}"/>
    <cellStyle name="Table Total Percentage_Table 5.6 sales of assets 23Feb2010" xfId="415" xr:uid="{A493E73F-BD96-407E-AB59-8E0824F2A2B0}"/>
    <cellStyle name="Table Units" xfId="416" xr:uid="{35A7EF55-BB60-419A-913D-3F9DF65771B5}"/>
    <cellStyle name="Table Units 2" xfId="417" xr:uid="{9B1A6719-49A4-4032-9762-1031D563A1C7}"/>
    <cellStyle name="Table Units 2 2" xfId="418" xr:uid="{96D462B7-F08C-4522-817B-2397EDACA48E}"/>
    <cellStyle name="Table Units_Table 5.6 sales of assets 23Feb2010" xfId="419" xr:uid="{B5D80199-2388-489C-930F-DAA7DEF10B65}"/>
    <cellStyle name="Times New Roman" xfId="420" xr:uid="{DC5108EE-3036-4686-B9DF-9063A5434D89}"/>
    <cellStyle name="Title" xfId="2" builtinId="15" customBuiltin="1"/>
    <cellStyle name="Title 2" xfId="421" xr:uid="{ED428725-7A80-495D-9BEB-C6705CF5B25C}"/>
    <cellStyle name="Title 3" xfId="422" xr:uid="{AD9BC4B1-DE1D-4C82-A76C-07ECC855011B}"/>
    <cellStyle name="Title 4" xfId="423" xr:uid="{D6833688-463F-4F35-8937-7F00F638AB6C}"/>
    <cellStyle name="Tmpl_ModelData" xfId="469" xr:uid="{BEE0ED20-7325-4BF4-84E4-E49532E04EEA}"/>
    <cellStyle name="Total 2" xfId="424" xr:uid="{E44C8722-9F89-43B7-AC92-085BEE1BBCA1}"/>
    <cellStyle name="Warning Text 2" xfId="46" xr:uid="{ACD41D57-E878-458A-AD75-A318ABBD9676}"/>
    <cellStyle name="Warning Text 2 2" xfId="425" xr:uid="{1FA76AA3-2D8C-455E-9713-72945D231B9F}"/>
    <cellStyle name="whole number" xfId="426" xr:uid="{385BDD25-EDF4-4A8B-AE40-366ADEB8A592}"/>
  </cellStyles>
  <dxfs count="1">
    <dxf>
      <font>
        <color rgb="FFFF0000"/>
      </font>
    </dxf>
  </dxfs>
  <tableStyles count="0" defaultTableStyle="TableStyleMedium2" defaultPivotStyle="PivotStyleLight16"/>
  <colors>
    <mruColors>
      <color rgb="FF005C59"/>
      <color rgb="FF575756"/>
      <color rgb="FF00A8D6"/>
      <color rgb="FFEFFCFF"/>
      <color rgb="FFE1F9FF"/>
      <color rgb="FFA2D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1042512</xdr:colOff>
      <xdr:row>0</xdr:row>
      <xdr:rowOff>111731</xdr:rowOff>
    </xdr:from>
    <xdr:to>
      <xdr:col>7</xdr:col>
      <xdr:colOff>2073726</xdr:colOff>
      <xdr:row>4</xdr:row>
      <xdr:rowOff>67493</xdr:rowOff>
    </xdr:to>
    <xdr:pic>
      <xdr:nvPicPr>
        <xdr:cNvPr id="4" name="Picture 3">
          <a:extLst>
            <a:ext uri="{FF2B5EF4-FFF2-40B4-BE49-F238E27FC236}">
              <a16:creationId xmlns:a16="http://schemas.microsoft.com/office/drawing/2014/main" id="{2D45EA64-6A44-43D5-89F7-8E72F7477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5587" y="111731"/>
          <a:ext cx="1031214" cy="624417"/>
        </a:xfrm>
        <a:prstGeom prst="rect">
          <a:avLst/>
        </a:prstGeom>
      </xdr:spPr>
    </xdr:pic>
    <xdr:clientData/>
  </xdr:twoCellAnchor>
  <xdr:twoCellAnchor editAs="oneCell">
    <xdr:from>
      <xdr:col>1</xdr:col>
      <xdr:colOff>296862</xdr:colOff>
      <xdr:row>1</xdr:row>
      <xdr:rowOff>96836</xdr:rowOff>
    </xdr:from>
    <xdr:to>
      <xdr:col>1</xdr:col>
      <xdr:colOff>1159933</xdr:colOff>
      <xdr:row>6</xdr:row>
      <xdr:rowOff>35044</xdr:rowOff>
    </xdr:to>
    <xdr:pic>
      <xdr:nvPicPr>
        <xdr:cNvPr id="6" name="Picture 5" descr="Using the Homes England logo - GOV.UK">
          <a:extLst>
            <a:ext uri="{FF2B5EF4-FFF2-40B4-BE49-F238E27FC236}">
              <a16:creationId xmlns:a16="http://schemas.microsoft.com/office/drawing/2014/main" id="{0635E610-15DA-44EB-B8AB-BBD2BB3924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037" y="277811"/>
          <a:ext cx="856721" cy="808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112235</xdr:colOff>
      <xdr:row>1</xdr:row>
      <xdr:rowOff>113242</xdr:rowOff>
    </xdr:from>
    <xdr:to>
      <xdr:col>8</xdr:col>
      <xdr:colOff>1182583</xdr:colOff>
      <xdr:row>3</xdr:row>
      <xdr:rowOff>114512</xdr:rowOff>
    </xdr:to>
    <xdr:pic>
      <xdr:nvPicPr>
        <xdr:cNvPr id="7" name="Picture 6">
          <a:extLst>
            <a:ext uri="{FF2B5EF4-FFF2-40B4-BE49-F238E27FC236}">
              <a16:creationId xmlns:a16="http://schemas.microsoft.com/office/drawing/2014/main" id="{54704A31-D12B-4CC3-8CA4-C699552414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61285" y="303742"/>
          <a:ext cx="1070348"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142873</xdr:colOff>
      <xdr:row>8</xdr:row>
      <xdr:rowOff>38101</xdr:rowOff>
    </xdr:from>
    <xdr:to>
      <xdr:col>8</xdr:col>
      <xdr:colOff>95250</xdr:colOff>
      <xdr:row>26</xdr:row>
      <xdr:rowOff>171450</xdr:rowOff>
    </xdr:to>
    <xdr:grpSp>
      <xdr:nvGrpSpPr>
        <xdr:cNvPr id="56" name="Group 55">
          <a:extLst>
            <a:ext uri="{FF2B5EF4-FFF2-40B4-BE49-F238E27FC236}">
              <a16:creationId xmlns:a16="http://schemas.microsoft.com/office/drawing/2014/main" id="{5C79C949-4642-C7BF-81CF-B62D8A57C8BC}"/>
            </a:ext>
          </a:extLst>
        </xdr:cNvPr>
        <xdr:cNvGrpSpPr/>
      </xdr:nvGrpSpPr>
      <xdr:grpSpPr>
        <a:xfrm>
          <a:off x="142873" y="1270001"/>
          <a:ext cx="9350377" cy="3448049"/>
          <a:chOff x="273929" y="3256385"/>
          <a:chExt cx="6639454" cy="3153745"/>
        </a:xfrm>
      </xdr:grpSpPr>
      <xdr:sp macro="" textlink="">
        <xdr:nvSpPr>
          <xdr:cNvPr id="57" name="Rectangle 56">
            <a:extLst>
              <a:ext uri="{FF2B5EF4-FFF2-40B4-BE49-F238E27FC236}">
                <a16:creationId xmlns:a16="http://schemas.microsoft.com/office/drawing/2014/main" id="{29AE5F32-7194-E121-341B-24C074E4CDF6}"/>
              </a:ext>
            </a:extLst>
          </xdr:cNvPr>
          <xdr:cNvSpPr/>
        </xdr:nvSpPr>
        <xdr:spPr>
          <a:xfrm>
            <a:off x="273930" y="3256385"/>
            <a:ext cx="2030731" cy="1492898"/>
          </a:xfrm>
          <a:prstGeom prst="rect">
            <a:avLst/>
          </a:prstGeom>
          <a:solidFill>
            <a:srgbClr val="AE7A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t>Inputs (tabs 2 &amp; 3)</a:t>
            </a:r>
          </a:p>
          <a:p>
            <a:pPr algn="ctr"/>
            <a:endParaRPr lang="en-GB" sz="1000" b="1"/>
          </a:p>
          <a:p>
            <a:r>
              <a:rPr lang="en-GB" sz="1000"/>
              <a:t>User inputs about the intervention:</a:t>
            </a:r>
          </a:p>
          <a:p>
            <a:pPr marL="171450" indent="-171450">
              <a:buFont typeface="Arial" panose="020B0604020202020204" pitchFamily="34" charset="0"/>
              <a:buChar char="•"/>
            </a:pPr>
            <a:r>
              <a:rPr lang="en-GB" sz="1000"/>
              <a:t>Site information (location, size)</a:t>
            </a:r>
          </a:p>
          <a:p>
            <a:pPr marL="171450" indent="-171450">
              <a:buFont typeface="Arial" panose="020B0604020202020204" pitchFamily="34" charset="0"/>
              <a:buChar char="•"/>
            </a:pPr>
            <a:r>
              <a:rPr lang="en-GB" sz="1000"/>
              <a:t>Local population (by distance)</a:t>
            </a:r>
          </a:p>
          <a:p>
            <a:pPr marL="171450" indent="-171450">
              <a:buFont typeface="Arial" panose="020B0604020202020204" pitchFamily="34" charset="0"/>
              <a:buChar char="•"/>
            </a:pPr>
            <a:r>
              <a:rPr lang="en-GB" sz="1000"/>
              <a:t>Brownfield land before and after (type, ha)</a:t>
            </a:r>
          </a:p>
          <a:p>
            <a:pPr marL="171450" indent="-171450">
              <a:buFont typeface="Arial" panose="020B0604020202020204" pitchFamily="34" charset="0"/>
              <a:buChar char="•"/>
            </a:pPr>
            <a:r>
              <a:rPr lang="en-GB" sz="1000"/>
              <a:t>Number of homes constructed (by year)</a:t>
            </a:r>
          </a:p>
          <a:p>
            <a:pPr marL="171450" indent="-171450">
              <a:buFont typeface="Arial" panose="020B0604020202020204" pitchFamily="34" charset="0"/>
              <a:buChar char="•"/>
            </a:pPr>
            <a:r>
              <a:rPr lang="en-GB" sz="1000"/>
              <a:t>Additional recreation features</a:t>
            </a:r>
          </a:p>
        </xdr:txBody>
      </xdr:sp>
      <xdr:sp macro="" textlink="">
        <xdr:nvSpPr>
          <xdr:cNvPr id="58" name="Rectangle 57">
            <a:extLst>
              <a:ext uri="{FF2B5EF4-FFF2-40B4-BE49-F238E27FC236}">
                <a16:creationId xmlns:a16="http://schemas.microsoft.com/office/drawing/2014/main" id="{651BB101-609A-296B-4D4D-B65D19C0C5C6}"/>
              </a:ext>
            </a:extLst>
          </xdr:cNvPr>
          <xdr:cNvSpPr/>
        </xdr:nvSpPr>
        <xdr:spPr>
          <a:xfrm>
            <a:off x="273929" y="4917232"/>
            <a:ext cx="2030731" cy="1492898"/>
          </a:xfrm>
          <a:prstGeom prst="rect">
            <a:avLst/>
          </a:prstGeom>
          <a:solidFill>
            <a:srgbClr val="72727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t>Evidence (tabs 6.1 to 6.6)</a:t>
            </a:r>
          </a:p>
          <a:p>
            <a:endParaRPr lang="en-GB" sz="1000"/>
          </a:p>
          <a:p>
            <a:r>
              <a:rPr lang="en-GB" sz="1000"/>
              <a:t>Evidence included in the tool:</a:t>
            </a:r>
          </a:p>
          <a:p>
            <a:pPr marL="171450" indent="-171450">
              <a:buFont typeface="Arial" panose="020B0604020202020204" pitchFamily="34" charset="0"/>
              <a:buChar char="•"/>
            </a:pPr>
            <a:r>
              <a:rPr lang="en-GB" sz="1000"/>
              <a:t>Household willingness to pay values</a:t>
            </a:r>
          </a:p>
          <a:p>
            <a:pPr marL="171450" indent="-171450">
              <a:buFont typeface="Arial" panose="020B0604020202020204" pitchFamily="34" charset="0"/>
              <a:buChar char="•"/>
            </a:pPr>
            <a:r>
              <a:rPr lang="en-GB" sz="1000"/>
              <a:t>Local Authority averages (households, brownfield extent)</a:t>
            </a:r>
          </a:p>
          <a:p>
            <a:pPr marL="171450" indent="-171450">
              <a:buFont typeface="Arial" panose="020B0604020202020204" pitchFamily="34" charset="0"/>
              <a:buChar char="•"/>
            </a:pPr>
            <a:r>
              <a:rPr lang="en-GB" sz="1000"/>
              <a:t>General appraisal inputs (discount rates, GDP deflators)</a:t>
            </a:r>
          </a:p>
        </xdr:txBody>
      </xdr:sp>
      <xdr:sp macro="" textlink="">
        <xdr:nvSpPr>
          <xdr:cNvPr id="61" name="Rectangle 60">
            <a:extLst>
              <a:ext uri="{FF2B5EF4-FFF2-40B4-BE49-F238E27FC236}">
                <a16:creationId xmlns:a16="http://schemas.microsoft.com/office/drawing/2014/main" id="{2943CEE6-94F8-2383-2AF4-1A0E6D9AF2E0}"/>
              </a:ext>
            </a:extLst>
          </xdr:cNvPr>
          <xdr:cNvSpPr/>
        </xdr:nvSpPr>
        <xdr:spPr>
          <a:xfrm>
            <a:off x="4882652" y="4300614"/>
            <a:ext cx="2030731" cy="1080017"/>
          </a:xfrm>
          <a:prstGeom prst="rect">
            <a:avLst/>
          </a:prstGeom>
          <a:solidFill>
            <a:srgbClr val="6E8127"/>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t>Impacts (tab 4)</a:t>
            </a:r>
          </a:p>
          <a:p>
            <a:pPr algn="ctr"/>
            <a:endParaRPr lang="en-GB" sz="1000"/>
          </a:p>
          <a:p>
            <a:pPr marL="171450" indent="-171450">
              <a:buFont typeface="Arial" panose="020B0604020202020204" pitchFamily="34" charset="0"/>
              <a:buChar char="•"/>
            </a:pPr>
            <a:r>
              <a:rPr lang="en-GB" sz="1000"/>
              <a:t>Total monetary valuations of brownfield disamenity removal and recreation features</a:t>
            </a:r>
          </a:p>
        </xdr:txBody>
      </xdr:sp>
      <xdr:sp macro="" textlink="">
        <xdr:nvSpPr>
          <xdr:cNvPr id="62" name="Rectangle 61">
            <a:extLst>
              <a:ext uri="{FF2B5EF4-FFF2-40B4-BE49-F238E27FC236}">
                <a16:creationId xmlns:a16="http://schemas.microsoft.com/office/drawing/2014/main" id="{0B1827AC-EF42-A855-8AF1-A24A0495609C}"/>
              </a:ext>
            </a:extLst>
          </xdr:cNvPr>
          <xdr:cNvSpPr/>
        </xdr:nvSpPr>
        <xdr:spPr>
          <a:xfrm>
            <a:off x="2552156" y="4082767"/>
            <a:ext cx="2030731" cy="1517846"/>
          </a:xfrm>
          <a:prstGeom prst="rect">
            <a:avLst/>
          </a:prstGeom>
          <a:solidFill>
            <a:srgbClr val="006C7D"/>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t>Calculations (tabs 5.1 &amp; 5.2)</a:t>
            </a:r>
          </a:p>
          <a:p>
            <a:pPr algn="ctr"/>
            <a:endParaRPr lang="en-GB" sz="1000" b="1"/>
          </a:p>
          <a:p>
            <a:pPr marL="171450" indent="-171450">
              <a:buFont typeface="Arial" panose="020B0604020202020204" pitchFamily="34" charset="0"/>
              <a:buChar char="•"/>
            </a:pPr>
            <a:r>
              <a:rPr lang="en-GB" sz="1000"/>
              <a:t>Monetary valuation of the </a:t>
            </a:r>
            <a:r>
              <a:rPr kumimoji="0" lang="en-GB" sz="1000" b="0" i="0" u="none" strike="noStrike" kern="1200" cap="none" spc="0" normalizeH="0" baseline="0" noProof="0">
                <a:ln>
                  <a:noFill/>
                </a:ln>
                <a:solidFill>
                  <a:prstClr val="white"/>
                </a:solidFill>
                <a:effectLst/>
                <a:uLnTx/>
                <a:uFillTx/>
                <a:latin typeface="+mn-lt"/>
                <a:ea typeface="+mn-ea"/>
                <a:cs typeface="+mn-cs"/>
              </a:rPr>
              <a:t>brownfield removed and recreation features created,</a:t>
            </a:r>
            <a:r>
              <a:rPr lang="en-GB" sz="1000"/>
              <a:t> aggregated across the relevant population</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0" i="0" kern="1200" baseline="0">
                <a:solidFill>
                  <a:schemeClr val="lt1"/>
                </a:solidFill>
                <a:effectLst/>
                <a:latin typeface="+mn-lt"/>
                <a:ea typeface="+mn-ea"/>
                <a:cs typeface="+mn-cs"/>
              </a:rPr>
              <a:t>Aggregation of values over the appraisal period using discount rates</a:t>
            </a:r>
            <a:endParaRPr lang="en-GB" sz="1000">
              <a:effectLst/>
            </a:endParaRPr>
          </a:p>
        </xdr:txBody>
      </xdr:sp>
      <xdr:cxnSp macro="">
        <xdr:nvCxnSpPr>
          <xdr:cNvPr id="65" name="Connector: Curved 64">
            <a:extLst>
              <a:ext uri="{FF2B5EF4-FFF2-40B4-BE49-F238E27FC236}">
                <a16:creationId xmlns:a16="http://schemas.microsoft.com/office/drawing/2014/main" id="{A64C6E79-383C-7C9A-BC09-7023C97AD933}"/>
              </a:ext>
            </a:extLst>
          </xdr:cNvPr>
          <xdr:cNvCxnSpPr>
            <a:cxnSpLocks/>
            <a:stCxn id="57" idx="3"/>
            <a:endCxn id="62" idx="1"/>
          </xdr:cNvCxnSpPr>
        </xdr:nvCxnSpPr>
        <xdr:spPr>
          <a:xfrm>
            <a:off x="2304661" y="4002834"/>
            <a:ext cx="247496" cy="838856"/>
          </a:xfrm>
          <a:prstGeom prst="curvedConnector3">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67" name="Connector: Curved 66">
            <a:extLst>
              <a:ext uri="{FF2B5EF4-FFF2-40B4-BE49-F238E27FC236}">
                <a16:creationId xmlns:a16="http://schemas.microsoft.com/office/drawing/2014/main" id="{56833372-9E7F-59E1-ACCD-ED01B4842557}"/>
              </a:ext>
            </a:extLst>
          </xdr:cNvPr>
          <xdr:cNvCxnSpPr>
            <a:cxnSpLocks/>
            <a:stCxn id="58" idx="3"/>
            <a:endCxn id="62" idx="1"/>
          </xdr:cNvCxnSpPr>
        </xdr:nvCxnSpPr>
        <xdr:spPr>
          <a:xfrm flipV="1">
            <a:off x="2304660" y="4841690"/>
            <a:ext cx="247496" cy="821992"/>
          </a:xfrm>
          <a:prstGeom prst="curvedConnector3">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69" name="Connector: Curved 68">
            <a:extLst>
              <a:ext uri="{FF2B5EF4-FFF2-40B4-BE49-F238E27FC236}">
                <a16:creationId xmlns:a16="http://schemas.microsoft.com/office/drawing/2014/main" id="{EB5422FF-979C-17B7-EC83-C2EDA86CDAD6}"/>
              </a:ext>
            </a:extLst>
          </xdr:cNvPr>
          <xdr:cNvCxnSpPr>
            <a:cxnSpLocks/>
            <a:stCxn id="62" idx="3"/>
            <a:endCxn id="61" idx="1"/>
          </xdr:cNvCxnSpPr>
        </xdr:nvCxnSpPr>
        <xdr:spPr>
          <a:xfrm flipV="1">
            <a:off x="4582887" y="4840623"/>
            <a:ext cx="299765" cy="1067"/>
          </a:xfrm>
          <a:prstGeom prst="curvedConnector3">
            <a:avLst/>
          </a:prstGeom>
          <a:ln>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1363422</xdr:colOff>
      <xdr:row>17</xdr:row>
      <xdr:rowOff>9921</xdr:rowOff>
    </xdr:from>
    <xdr:to>
      <xdr:col>1</xdr:col>
      <xdr:colOff>1363423</xdr:colOff>
      <xdr:row>18</xdr:row>
      <xdr:rowOff>9130</xdr:rowOff>
    </xdr:to>
    <xdr:cxnSp macro="">
      <xdr:nvCxnSpPr>
        <xdr:cNvPr id="3" name="Straight Arrow Connector 2">
          <a:extLst>
            <a:ext uri="{FF2B5EF4-FFF2-40B4-BE49-F238E27FC236}">
              <a16:creationId xmlns:a16="http://schemas.microsoft.com/office/drawing/2014/main" id="{963C6A75-B3B3-DEE0-8C83-F7F647F102AB}"/>
            </a:ext>
          </a:extLst>
        </xdr:cNvPr>
        <xdr:cNvCxnSpPr>
          <a:stCxn id="58" idx="0"/>
          <a:endCxn id="57" idx="2"/>
        </xdr:cNvCxnSpPr>
      </xdr:nvCxnSpPr>
      <xdr:spPr>
        <a:xfrm flipV="1">
          <a:off x="1506297" y="2981721"/>
          <a:ext cx="1" cy="18970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314325</xdr:colOff>
      <xdr:row>45</xdr:row>
      <xdr:rowOff>3173</xdr:rowOff>
    </xdr:from>
    <xdr:to>
      <xdr:col>10</xdr:col>
      <xdr:colOff>619125</xdr:colOff>
      <xdr:row>56</xdr:row>
      <xdr:rowOff>209549</xdr:rowOff>
    </xdr:to>
    <xdr:pic>
      <xdr:nvPicPr>
        <xdr:cNvPr id="20" name="Picture 19">
          <a:extLst>
            <a:ext uri="{FF2B5EF4-FFF2-40B4-BE49-F238E27FC236}">
              <a16:creationId xmlns:a16="http://schemas.microsoft.com/office/drawing/2014/main" id="{10D485A6-DB16-CB64-DAE5-5447D86CFAC3}"/>
            </a:ext>
          </a:extLst>
        </xdr:cNvPr>
        <xdr:cNvPicPr>
          <a:picLocks noChangeAspect="1"/>
        </xdr:cNvPicPr>
      </xdr:nvPicPr>
      <xdr:blipFill>
        <a:blip xmlns:r="http://schemas.openxmlformats.org/officeDocument/2006/relationships" r:embed="rId1"/>
        <a:stretch>
          <a:fillRect/>
        </a:stretch>
      </xdr:blipFill>
      <xdr:spPr>
        <a:xfrm>
          <a:off x="9324975" y="9248773"/>
          <a:ext cx="3625850" cy="18764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10</xdr:row>
      <xdr:rowOff>209549</xdr:rowOff>
    </xdr:from>
    <xdr:to>
      <xdr:col>5</xdr:col>
      <xdr:colOff>1135271</xdr:colOff>
      <xdr:row>11</xdr:row>
      <xdr:rowOff>142874</xdr:rowOff>
    </xdr:to>
    <xdr:pic>
      <xdr:nvPicPr>
        <xdr:cNvPr id="3" name="Picture 2">
          <a:extLst>
            <a:ext uri="{FF2B5EF4-FFF2-40B4-BE49-F238E27FC236}">
              <a16:creationId xmlns:a16="http://schemas.microsoft.com/office/drawing/2014/main" id="{1DDBFCC1-D454-F1CB-432B-316DECA43721}"/>
            </a:ext>
          </a:extLst>
        </xdr:cNvPr>
        <xdr:cNvPicPr>
          <a:picLocks noChangeAspect="1"/>
        </xdr:cNvPicPr>
      </xdr:nvPicPr>
      <xdr:blipFill>
        <a:blip xmlns:r="http://schemas.openxmlformats.org/officeDocument/2006/relationships" r:embed="rId1"/>
        <a:stretch>
          <a:fillRect/>
        </a:stretch>
      </xdr:blipFill>
      <xdr:spPr>
        <a:xfrm>
          <a:off x="219075" y="2438399"/>
          <a:ext cx="7545596" cy="790575"/>
        </a:xfrm>
        <a:prstGeom prst="rect">
          <a:avLst/>
        </a:prstGeom>
      </xdr:spPr>
    </xdr:pic>
    <xdr:clientData/>
  </xdr:twoCellAnchor>
  <xdr:twoCellAnchor>
    <xdr:from>
      <xdr:col>1</xdr:col>
      <xdr:colOff>142875</xdr:colOff>
      <xdr:row>5</xdr:row>
      <xdr:rowOff>66675</xdr:rowOff>
    </xdr:from>
    <xdr:to>
      <xdr:col>4</xdr:col>
      <xdr:colOff>669680</xdr:colOff>
      <xdr:row>10</xdr:row>
      <xdr:rowOff>106041</xdr:rowOff>
    </xdr:to>
    <xdr:pic>
      <xdr:nvPicPr>
        <xdr:cNvPr id="2" name="Picture 1">
          <a:extLst>
            <a:ext uri="{FF2B5EF4-FFF2-40B4-BE49-F238E27FC236}">
              <a16:creationId xmlns:a16="http://schemas.microsoft.com/office/drawing/2014/main" id="{C7B5A51F-B0B7-D58B-1338-3BDA43C627C9}"/>
            </a:ext>
          </a:extLst>
        </xdr:cNvPr>
        <xdr:cNvPicPr>
          <a:picLocks noChangeAspect="1"/>
        </xdr:cNvPicPr>
      </xdr:nvPicPr>
      <xdr:blipFill>
        <a:blip xmlns:r="http://schemas.openxmlformats.org/officeDocument/2006/relationships" r:embed="rId2"/>
        <a:stretch>
          <a:fillRect/>
        </a:stretch>
      </xdr:blipFill>
      <xdr:spPr>
        <a:xfrm>
          <a:off x="342900" y="704850"/>
          <a:ext cx="5965580" cy="14173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146051</xdr:colOff>
      <xdr:row>10</xdr:row>
      <xdr:rowOff>171451</xdr:rowOff>
    </xdr:from>
    <xdr:to>
      <xdr:col>6</xdr:col>
      <xdr:colOff>927101</xdr:colOff>
      <xdr:row>10</xdr:row>
      <xdr:rowOff>707367</xdr:rowOff>
    </xdr:to>
    <xdr:pic>
      <xdr:nvPicPr>
        <xdr:cNvPr id="4" name="Picture 3">
          <a:extLst>
            <a:ext uri="{FF2B5EF4-FFF2-40B4-BE49-F238E27FC236}">
              <a16:creationId xmlns:a16="http://schemas.microsoft.com/office/drawing/2014/main" id="{F634F250-FE99-653B-CCBA-86E0F8139EC1}"/>
            </a:ext>
          </a:extLst>
        </xdr:cNvPr>
        <xdr:cNvPicPr>
          <a:picLocks noChangeAspect="1"/>
        </xdr:cNvPicPr>
      </xdr:nvPicPr>
      <xdr:blipFill>
        <a:blip xmlns:r="http://schemas.openxmlformats.org/officeDocument/2006/relationships" r:embed="rId1"/>
        <a:stretch>
          <a:fillRect/>
        </a:stretch>
      </xdr:blipFill>
      <xdr:spPr>
        <a:xfrm>
          <a:off x="146051" y="2159001"/>
          <a:ext cx="8458200" cy="535916"/>
        </a:xfrm>
        <a:prstGeom prst="rect">
          <a:avLst/>
        </a:prstGeom>
      </xdr:spPr>
    </xdr:pic>
    <xdr:clientData/>
  </xdr:twoCellAnchor>
  <xdr:twoCellAnchor>
    <xdr:from>
      <xdr:col>0</xdr:col>
      <xdr:colOff>171450</xdr:colOff>
      <xdr:row>5</xdr:row>
      <xdr:rowOff>38100</xdr:rowOff>
    </xdr:from>
    <xdr:to>
      <xdr:col>4</xdr:col>
      <xdr:colOff>571895</xdr:colOff>
      <xdr:row>10</xdr:row>
      <xdr:rowOff>74291</xdr:rowOff>
    </xdr:to>
    <xdr:pic>
      <xdr:nvPicPr>
        <xdr:cNvPr id="14" name="Picture 13">
          <a:extLst>
            <a:ext uri="{FF2B5EF4-FFF2-40B4-BE49-F238E27FC236}">
              <a16:creationId xmlns:a16="http://schemas.microsoft.com/office/drawing/2014/main" id="{57590240-17B4-DB04-786E-3D59C33454BD}"/>
            </a:ext>
          </a:extLst>
        </xdr:cNvPr>
        <xdr:cNvPicPr>
          <a:picLocks noChangeAspect="1"/>
        </xdr:cNvPicPr>
      </xdr:nvPicPr>
      <xdr:blipFill>
        <a:blip xmlns:r="http://schemas.openxmlformats.org/officeDocument/2006/relationships" r:embed="rId2"/>
        <a:stretch>
          <a:fillRect/>
        </a:stretch>
      </xdr:blipFill>
      <xdr:spPr>
        <a:xfrm>
          <a:off x="171450" y="657225"/>
          <a:ext cx="6020195" cy="1417316"/>
        </a:xfrm>
        <a:prstGeom prst="rect">
          <a:avLst/>
        </a:prstGeom>
      </xdr:spPr>
    </xdr:pic>
    <xdr:clientData/>
  </xdr:twoCellAnchor>
</xdr:wsDr>
</file>

<file path=xl/theme/theme1.xml><?xml version="1.0" encoding="utf-8"?>
<a:theme xmlns:a="http://schemas.openxmlformats.org/drawingml/2006/main" name="HomesEnglandTheme">
  <a:themeElements>
    <a:clrScheme name="HomeEngland Set">
      <a:dk1>
        <a:sysClr val="windowText" lastClr="000000"/>
      </a:dk1>
      <a:lt1>
        <a:sysClr val="window" lastClr="FFFFFF"/>
      </a:lt1>
      <a:dk2>
        <a:srgbClr val="000000"/>
      </a:dk2>
      <a:lt2>
        <a:srgbClr val="E7E6E6"/>
      </a:lt2>
      <a:accent1>
        <a:srgbClr val="57C5C6"/>
      </a:accent1>
      <a:accent2>
        <a:srgbClr val="E9A200"/>
      </a:accent2>
      <a:accent3>
        <a:srgbClr val="006C7D"/>
      </a:accent3>
      <a:accent4>
        <a:srgbClr val="BED000"/>
      </a:accent4>
      <a:accent5>
        <a:srgbClr val="6E8127"/>
      </a:accent5>
      <a:accent6>
        <a:srgbClr val="727271"/>
      </a:accent6>
      <a:hlink>
        <a:srgbClr val="995300"/>
      </a:hlink>
      <a:folHlink>
        <a:srgbClr val="4F97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gross-domestic-product-gdp-deflators-user-guide" TargetMode="External"/><Relationship Id="rId3" Type="http://schemas.openxmlformats.org/officeDocument/2006/relationships/hyperlink" Target="https://www.ons.gov.uk/file?uri=/economy/grossdomesticproductgdp/datasets/uksecondestimateofgdpdatatables/quarter4octtodec2022quarterlynationalaccounts/quarterlynationalaccountsdatatables.xlsx" TargetMode="External"/><Relationship Id="rId7" Type="http://schemas.openxmlformats.org/officeDocument/2006/relationships/hyperlink" Target="https://obr.uk/efo/economic-and-fiscal-outlook-march-2023/" TargetMode="External"/><Relationship Id="rId2" Type="http://schemas.openxmlformats.org/officeDocument/2006/relationships/hyperlink" Target="https://www.ons.gov.uk/file?uri=/economy/grossdomesticproductgdp/datasets/uksecondestimateofgdpdatatables/quarter4octtodec2022quarterlynationalaccounts/quarterlynationalaccountsdatatables.xlsx" TargetMode="External"/><Relationship Id="rId1" Type="http://schemas.openxmlformats.org/officeDocument/2006/relationships/hyperlink" Target="https://www.gov.uk/government/collections/gdp-deflators-at-market-prices-and-money-gdp" TargetMode="External"/><Relationship Id="rId6" Type="http://schemas.openxmlformats.org/officeDocument/2006/relationships/hyperlink" Target="https://www.ons.gov.uk/file?uri=/economy/grossdomesticproductgdp/datasets/uksecondestimateofgdpdatatables/quarter4octtodec2022quarterlynationalaccounts/quarterlynationalaccountsdatatables.xlsx" TargetMode="External"/><Relationship Id="rId5" Type="http://schemas.openxmlformats.org/officeDocument/2006/relationships/hyperlink" Target="https://www.ons.gov.uk/file?uri=/economy/grossdomesticproductgdp/datasets/uksecondestimateofgdpdatatables/quarter4octtodec2022quarterlynationalaccounts/quarterlynationalaccountsdatatables.xlsx" TargetMode="External"/><Relationship Id="rId10" Type="http://schemas.openxmlformats.org/officeDocument/2006/relationships/printerSettings" Target="../printerSettings/printerSettings9.bin"/><Relationship Id="rId4" Type="http://schemas.openxmlformats.org/officeDocument/2006/relationships/hyperlink" Target="https://obr.uk/efo/economic-and-fiscal-outlook-march-2023/" TargetMode="External"/><Relationship Id="rId9" Type="http://schemas.openxmlformats.org/officeDocument/2006/relationships/hyperlink" Target="https://www.gov.uk/government/publications/how-to-use-the-gdp-deflator-series-practical-exampl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ECEA-F8CC-45BC-99A0-952340995282}">
  <sheetPr codeName="Sheet1">
    <tabColor theme="9"/>
  </sheetPr>
  <dimension ref="A1:J88"/>
  <sheetViews>
    <sheetView showGridLines="0" tabSelected="1" topLeftCell="A13" workbookViewId="0">
      <selection activeCell="F46" sqref="F46"/>
    </sheetView>
  </sheetViews>
  <sheetFormatPr defaultColWidth="0" defaultRowHeight="13" zeroHeight="1" x14ac:dyDescent="0.35"/>
  <cols>
    <col min="1" max="1" width="3.7265625" style="57" customWidth="1"/>
    <col min="2" max="2" width="24.7265625" style="57" customWidth="1"/>
    <col min="3" max="3" width="1.7265625" style="57" customWidth="1"/>
    <col min="4" max="4" width="31.54296875" style="57" customWidth="1"/>
    <col min="5" max="5" width="1.7265625" style="57" customWidth="1"/>
    <col min="6" max="6" width="75.26953125" style="57" customWidth="1"/>
    <col min="7" max="7" width="1.7265625" style="57" customWidth="1"/>
    <col min="8" max="8" width="31.26953125" style="57" customWidth="1"/>
    <col min="9" max="9" width="19.7265625" style="57" customWidth="1"/>
    <col min="10" max="10" width="3.7265625" style="57" customWidth="1"/>
    <col min="11" max="16384" width="4.26953125" style="57" hidden="1"/>
  </cols>
  <sheetData>
    <row r="1" spans="1:10" x14ac:dyDescent="0.35"/>
    <row r="2" spans="1:10" x14ac:dyDescent="0.35"/>
    <row r="3" spans="1:10" x14ac:dyDescent="0.35">
      <c r="B3" s="58"/>
      <c r="H3" s="59" t="s">
        <v>0</v>
      </c>
    </row>
    <row r="4" spans="1:10" ht="15" customHeight="1" x14ac:dyDescent="0.35">
      <c r="E4"/>
    </row>
    <row r="5" spans="1:10" ht="15" customHeight="1" x14ac:dyDescent="0.35"/>
    <row r="6" spans="1:10" ht="15" customHeight="1" x14ac:dyDescent="0.35"/>
    <row r="7" spans="1:10" ht="15" customHeight="1" x14ac:dyDescent="0.35">
      <c r="H7" s="532" t="s">
        <v>1</v>
      </c>
      <c r="I7" s="599">
        <v>1.2</v>
      </c>
    </row>
    <row r="8" spans="1:10" ht="26" x14ac:dyDescent="0.35">
      <c r="B8" s="579" t="s">
        <v>2</v>
      </c>
      <c r="H8" s="533" t="s">
        <v>3</v>
      </c>
      <c r="I8" s="60">
        <v>45911</v>
      </c>
      <c r="J8" s="61"/>
    </row>
    <row r="9" spans="1:10" ht="4.5" customHeight="1" x14ac:dyDescent="0.35"/>
    <row r="10" spans="1:10" ht="18.5" x14ac:dyDescent="0.35">
      <c r="A10" s="62"/>
      <c r="B10" s="63" t="s">
        <v>4</v>
      </c>
      <c r="C10" s="62"/>
      <c r="D10" s="62"/>
      <c r="E10" s="62"/>
      <c r="F10" s="62"/>
      <c r="G10" s="62"/>
      <c r="H10" s="62"/>
      <c r="I10" s="62"/>
      <c r="J10" s="62"/>
    </row>
    <row r="11" spans="1:10" ht="66" customHeight="1" x14ac:dyDescent="0.35">
      <c r="B11" s="630" t="s">
        <v>5</v>
      </c>
      <c r="C11" s="630"/>
      <c r="D11" s="630"/>
      <c r="E11" s="630"/>
      <c r="F11" s="630"/>
      <c r="G11" s="630"/>
      <c r="H11" s="630"/>
      <c r="I11" s="65"/>
    </row>
    <row r="12" spans="1:10" ht="15" customHeight="1" x14ac:dyDescent="0.35">
      <c r="B12" s="94" t="s">
        <v>6</v>
      </c>
      <c r="C12" s="64"/>
      <c r="D12" s="95" t="s">
        <v>7</v>
      </c>
      <c r="E12" s="64"/>
      <c r="F12" s="628" t="s">
        <v>8</v>
      </c>
      <c r="G12" s="628"/>
      <c r="H12" s="628"/>
      <c r="I12" s="628"/>
    </row>
    <row r="13" spans="1:10" ht="6" customHeight="1" x14ac:dyDescent="0.35">
      <c r="B13" s="64"/>
      <c r="C13" s="64"/>
      <c r="D13" s="64"/>
      <c r="E13" s="64"/>
      <c r="F13" s="624"/>
      <c r="G13" s="624"/>
      <c r="H13" s="624"/>
      <c r="I13" s="624"/>
    </row>
    <row r="14" spans="1:10" ht="30" customHeight="1" x14ac:dyDescent="0.35">
      <c r="B14" s="101" t="s">
        <v>9</v>
      </c>
      <c r="C14" s="64"/>
      <c r="D14" s="102" t="s">
        <v>10</v>
      </c>
      <c r="E14" s="64"/>
      <c r="F14" s="629" t="s">
        <v>11</v>
      </c>
      <c r="G14" s="629"/>
      <c r="H14" s="629"/>
      <c r="I14" s="629"/>
    </row>
    <row r="15" spans="1:10" ht="6" customHeight="1" x14ac:dyDescent="0.35">
      <c r="B15" s="66"/>
      <c r="C15" s="64"/>
      <c r="E15" s="64"/>
      <c r="F15" s="633"/>
      <c r="G15" s="633"/>
      <c r="H15" s="633"/>
      <c r="I15" s="633"/>
    </row>
    <row r="16" spans="1:10" ht="30" customHeight="1" x14ac:dyDescent="0.35">
      <c r="B16" s="631" t="s">
        <v>12</v>
      </c>
      <c r="C16" s="64"/>
      <c r="D16" s="100" t="s">
        <v>13</v>
      </c>
      <c r="E16" s="67"/>
      <c r="F16" s="634" t="s">
        <v>14</v>
      </c>
      <c r="G16" s="634"/>
      <c r="H16" s="634"/>
      <c r="I16" s="634"/>
    </row>
    <row r="17" spans="1:9" ht="5.15" customHeight="1" x14ac:dyDescent="0.35">
      <c r="B17" s="631"/>
      <c r="C17" s="64"/>
      <c r="D17" s="70"/>
      <c r="E17" s="67"/>
      <c r="F17" s="633"/>
      <c r="G17" s="633"/>
      <c r="H17" s="633"/>
      <c r="I17" s="633"/>
    </row>
    <row r="18" spans="1:9" ht="30" customHeight="1" x14ac:dyDescent="0.35">
      <c r="B18" s="631"/>
      <c r="C18" s="64"/>
      <c r="D18" s="103" t="s">
        <v>15</v>
      </c>
      <c r="E18" s="67"/>
      <c r="F18" s="635" t="s">
        <v>16</v>
      </c>
      <c r="G18" s="635"/>
      <c r="H18" s="635"/>
      <c r="I18" s="635"/>
    </row>
    <row r="19" spans="1:9" ht="6" customHeight="1" x14ac:dyDescent="0.35">
      <c r="B19" s="69"/>
      <c r="D19" s="68"/>
      <c r="E19" s="68"/>
      <c r="F19" s="633"/>
      <c r="G19" s="633"/>
      <c r="H19" s="633"/>
      <c r="I19" s="633"/>
    </row>
    <row r="20" spans="1:9" ht="18" customHeight="1" x14ac:dyDescent="0.35">
      <c r="B20" s="476" t="s">
        <v>17</v>
      </c>
      <c r="D20" s="486" t="s">
        <v>18</v>
      </c>
      <c r="E20" s="68"/>
      <c r="F20" s="636" t="s">
        <v>19</v>
      </c>
      <c r="G20" s="636"/>
      <c r="H20" s="636"/>
      <c r="I20" s="636"/>
    </row>
    <row r="21" spans="1:9" ht="5.15" customHeight="1" x14ac:dyDescent="0.35">
      <c r="B21" s="71"/>
      <c r="D21" s="67"/>
      <c r="E21" s="68"/>
      <c r="F21" s="633"/>
      <c r="G21" s="633"/>
      <c r="H21" s="633"/>
      <c r="I21" s="633"/>
    </row>
    <row r="22" spans="1:9" ht="17.149999999999999" customHeight="1" x14ac:dyDescent="0.35">
      <c r="B22" s="632" t="s">
        <v>20</v>
      </c>
      <c r="D22" s="487" t="s">
        <v>21</v>
      </c>
      <c r="E22" s="68"/>
      <c r="F22" s="637" t="s">
        <v>22</v>
      </c>
      <c r="G22" s="637"/>
      <c r="H22" s="637"/>
      <c r="I22" s="637"/>
    </row>
    <row r="23" spans="1:9" ht="5.15" customHeight="1" x14ac:dyDescent="0.35">
      <c r="B23" s="632"/>
      <c r="D23" s="72"/>
      <c r="E23" s="68"/>
      <c r="F23" s="638"/>
      <c r="G23" s="638"/>
      <c r="H23" s="638"/>
      <c r="I23" s="638"/>
    </row>
    <row r="24" spans="1:9" ht="17.5" customHeight="1" x14ac:dyDescent="0.35">
      <c r="B24" s="632"/>
      <c r="D24" s="487" t="s">
        <v>23</v>
      </c>
      <c r="E24" s="68"/>
      <c r="F24" s="637" t="s">
        <v>24</v>
      </c>
      <c r="G24" s="637"/>
      <c r="H24" s="637"/>
      <c r="I24" s="637"/>
    </row>
    <row r="25" spans="1:9" ht="5.5" customHeight="1" x14ac:dyDescent="0.35">
      <c r="A25" s="73"/>
      <c r="B25" s="70"/>
      <c r="C25" s="73"/>
      <c r="D25" s="64"/>
      <c r="E25" s="64"/>
      <c r="F25" s="624"/>
      <c r="G25" s="624"/>
      <c r="H25" s="624"/>
      <c r="I25" s="624"/>
    </row>
    <row r="26" spans="1:9" ht="17.25" customHeight="1" x14ac:dyDescent="0.35">
      <c r="B26" s="626" t="s">
        <v>25</v>
      </c>
      <c r="D26" s="488" t="s">
        <v>26</v>
      </c>
      <c r="F26" s="625" t="s">
        <v>27</v>
      </c>
      <c r="G26" s="625"/>
      <c r="H26" s="625"/>
      <c r="I26" s="625"/>
    </row>
    <row r="27" spans="1:9" ht="4.5" customHeight="1" x14ac:dyDescent="0.35">
      <c r="B27" s="626"/>
      <c r="D27" s="70"/>
    </row>
    <row r="28" spans="1:9" ht="17.25" customHeight="1" x14ac:dyDescent="0.35">
      <c r="B28" s="626"/>
      <c r="D28" s="488" t="s">
        <v>28</v>
      </c>
      <c r="F28" s="625" t="s">
        <v>29</v>
      </c>
      <c r="G28" s="625"/>
      <c r="H28" s="625"/>
      <c r="I28" s="625"/>
    </row>
    <row r="29" spans="1:9" ht="4.5" customHeight="1" x14ac:dyDescent="0.35">
      <c r="B29" s="626"/>
      <c r="D29" s="96"/>
    </row>
    <row r="30" spans="1:9" ht="17.25" customHeight="1" x14ac:dyDescent="0.35">
      <c r="B30" s="626"/>
      <c r="D30" s="488" t="s">
        <v>30</v>
      </c>
      <c r="F30" s="625" t="s">
        <v>31</v>
      </c>
      <c r="G30" s="625"/>
      <c r="H30" s="625"/>
      <c r="I30" s="625"/>
    </row>
    <row r="31" spans="1:9" ht="4.5" customHeight="1" x14ac:dyDescent="0.35">
      <c r="B31" s="626"/>
      <c r="D31" s="97"/>
    </row>
    <row r="32" spans="1:9" ht="15" customHeight="1" x14ac:dyDescent="0.35">
      <c r="B32" s="626"/>
      <c r="D32" s="488" t="s">
        <v>32</v>
      </c>
      <c r="F32" s="627" t="s">
        <v>33</v>
      </c>
      <c r="G32" s="627"/>
      <c r="H32" s="627"/>
      <c r="I32" s="627"/>
    </row>
    <row r="33" spans="2:9" ht="4.5" customHeight="1" x14ac:dyDescent="0.35">
      <c r="B33" s="626"/>
      <c r="D33" s="97"/>
    </row>
    <row r="34" spans="2:9" ht="15" customHeight="1" x14ac:dyDescent="0.35">
      <c r="B34" s="626"/>
      <c r="D34" s="488" t="s">
        <v>34</v>
      </c>
      <c r="F34" s="627" t="s">
        <v>35</v>
      </c>
      <c r="G34" s="627"/>
      <c r="H34" s="627"/>
      <c r="I34" s="627"/>
    </row>
    <row r="35" spans="2:9" ht="4.5" customHeight="1" x14ac:dyDescent="0.35">
      <c r="B35" s="626"/>
      <c r="D35" s="97"/>
    </row>
    <row r="36" spans="2:9" ht="16" customHeight="1" x14ac:dyDescent="0.35">
      <c r="B36" s="626"/>
      <c r="D36" s="488" t="s">
        <v>36</v>
      </c>
      <c r="F36" s="625" t="s">
        <v>37</v>
      </c>
      <c r="G36" s="625"/>
      <c r="H36" s="625"/>
      <c r="I36" s="625"/>
    </row>
    <row r="37" spans="2:9" x14ac:dyDescent="0.35"/>
    <row r="38" spans="2:9" x14ac:dyDescent="0.35">
      <c r="B38" s="57" t="s">
        <v>38</v>
      </c>
    </row>
    <row r="39" spans="2:9" ht="15" customHeight="1" x14ac:dyDescent="0.35">
      <c r="B39" s="94" t="s">
        <v>39</v>
      </c>
      <c r="C39" s="66"/>
      <c r="D39" s="94" t="s">
        <v>40</v>
      </c>
      <c r="E39" s="64"/>
      <c r="F39" s="628" t="s">
        <v>41</v>
      </c>
      <c r="G39" s="628"/>
      <c r="H39" s="628"/>
      <c r="I39" s="628"/>
    </row>
    <row r="40" spans="2:9" ht="6" customHeight="1" x14ac:dyDescent="0.35">
      <c r="B40" s="66"/>
      <c r="C40" s="66"/>
      <c r="D40" s="64"/>
      <c r="E40" s="64"/>
      <c r="F40" s="624"/>
      <c r="G40" s="624"/>
      <c r="H40" s="624"/>
      <c r="I40" s="624"/>
    </row>
    <row r="41" spans="2:9" x14ac:dyDescent="0.35">
      <c r="B41" s="601" t="s">
        <v>42</v>
      </c>
      <c r="C41" s="602"/>
      <c r="D41" s="603">
        <v>45264</v>
      </c>
      <c r="F41" s="600" t="s">
        <v>43</v>
      </c>
      <c r="G41" s="600"/>
      <c r="H41" s="600"/>
      <c r="I41" s="600"/>
    </row>
    <row r="42" spans="2:9" x14ac:dyDescent="0.35">
      <c r="B42" s="604">
        <v>1.1000000000000001</v>
      </c>
      <c r="C42" s="602"/>
      <c r="D42" s="605">
        <v>45294</v>
      </c>
      <c r="F42" s="600" t="s">
        <v>44</v>
      </c>
      <c r="G42" s="600"/>
      <c r="H42" s="600"/>
      <c r="I42" s="600"/>
    </row>
    <row r="43" spans="2:9" ht="42" customHeight="1" x14ac:dyDescent="0.35">
      <c r="B43" s="604">
        <v>1.2</v>
      </c>
      <c r="C43" s="602"/>
      <c r="D43" s="605">
        <v>45911</v>
      </c>
      <c r="F43" s="629" t="s">
        <v>45</v>
      </c>
      <c r="G43" s="629"/>
      <c r="H43" s="629"/>
      <c r="I43" s="629"/>
    </row>
    <row r="44" spans="2:9" x14ac:dyDescent="0.35"/>
    <row r="45" spans="2:9" x14ac:dyDescent="0.3">
      <c r="B45" s="74" t="s">
        <v>46</v>
      </c>
      <c r="C45" s="74"/>
      <c r="D45" s="74" t="s">
        <v>47</v>
      </c>
      <c r="E45" s="74"/>
      <c r="H45" s="74" t="s">
        <v>48</v>
      </c>
    </row>
    <row r="46" spans="2:9" x14ac:dyDescent="0.3">
      <c r="B46" s="74"/>
      <c r="C46" s="74"/>
      <c r="D46" s="74" t="s">
        <v>49</v>
      </c>
      <c r="E46" s="74"/>
      <c r="H46" s="74" t="s">
        <v>50</v>
      </c>
    </row>
    <row r="47" spans="2:9" x14ac:dyDescent="0.3">
      <c r="B47" s="74"/>
      <c r="C47" s="74"/>
      <c r="D47" s="74" t="s">
        <v>51</v>
      </c>
      <c r="E47" s="74"/>
      <c r="H47" s="74" t="s">
        <v>52</v>
      </c>
    </row>
    <row r="48" spans="2:9" x14ac:dyDescent="0.3">
      <c r="B48" s="74"/>
      <c r="C48" s="74"/>
      <c r="D48" s="74" t="s">
        <v>53</v>
      </c>
      <c r="E48" s="74"/>
      <c r="H48" s="74" t="s">
        <v>54</v>
      </c>
    </row>
    <row r="49" spans="2:9" x14ac:dyDescent="0.3">
      <c r="B49" s="74"/>
      <c r="C49" s="74"/>
      <c r="D49" s="74" t="s">
        <v>55</v>
      </c>
      <c r="E49" s="74"/>
      <c r="H49" s="74" t="s">
        <v>56</v>
      </c>
    </row>
    <row r="50" spans="2:9" ht="6.75" customHeight="1" x14ac:dyDescent="0.35"/>
    <row r="51" spans="2:9" ht="30" customHeight="1" x14ac:dyDescent="0.35">
      <c r="B51" s="623" t="s">
        <v>57</v>
      </c>
      <c r="C51" s="623"/>
      <c r="D51" s="623"/>
      <c r="E51" s="623"/>
      <c r="F51" s="623"/>
      <c r="G51" s="623"/>
      <c r="H51" s="623"/>
      <c r="I51" s="623"/>
    </row>
    <row r="52" spans="2:9" x14ac:dyDescent="0.35"/>
    <row r="53" spans="2:9" x14ac:dyDescent="0.35"/>
    <row r="54" spans="2:9"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sheetData>
  <sheetProtection algorithmName="SHA-512" hashValue="Bk3Y3PqUHEzcXX8bfRooDF6lrMDXSBR7JsQDFAKX0iiuOjUB9Uut5IuJg2HhdV+A0dj2T/r5Fjij0zsrFqsDiA==" saltValue="w/WUJo2pt0N1cD27D2eqJw==" spinCount="100000" sheet="1" objects="1" scenarios="1"/>
  <mergeCells count="28">
    <mergeCell ref="B11:H11"/>
    <mergeCell ref="B16:B18"/>
    <mergeCell ref="B22:B24"/>
    <mergeCell ref="F12:I12"/>
    <mergeCell ref="F13:I13"/>
    <mergeCell ref="F14:I14"/>
    <mergeCell ref="F15:I15"/>
    <mergeCell ref="F16:I16"/>
    <mergeCell ref="F17:I17"/>
    <mergeCell ref="F18:I18"/>
    <mergeCell ref="F19:I19"/>
    <mergeCell ref="F20:I20"/>
    <mergeCell ref="F21:I21"/>
    <mergeCell ref="F22:I22"/>
    <mergeCell ref="F23:I23"/>
    <mergeCell ref="F24:I24"/>
    <mergeCell ref="B51:I51"/>
    <mergeCell ref="F25:I25"/>
    <mergeCell ref="F36:I36"/>
    <mergeCell ref="B26:B36"/>
    <mergeCell ref="F26:I26"/>
    <mergeCell ref="F28:I28"/>
    <mergeCell ref="F30:I30"/>
    <mergeCell ref="F32:I32"/>
    <mergeCell ref="F34:I34"/>
    <mergeCell ref="F39:I39"/>
    <mergeCell ref="F40:I40"/>
    <mergeCell ref="F43:I43"/>
  </mergeCells>
  <hyperlinks>
    <hyperlink ref="D16" location="'2. General project information'!A1" display="2. General project information" xr:uid="{1CA9C527-F5AE-467C-97D9-A000EEE1B41C}"/>
    <hyperlink ref="D18" location="'3. Option specific inputs'!A1" display="3. Option specific information" xr:uid="{B481697F-B1D4-4F42-9FE4-9D68C6530157}"/>
    <hyperlink ref="D20" location="'4. Impacts'!A1" display="4. Impacts" xr:uid="{A6A78EAE-121C-46FE-B113-DDACC3D2E14A}"/>
    <hyperlink ref="D22" location="'5.1 - Brownfield amenity'!A1" display="5.1 - Brownfield amenity" xr:uid="{B581178B-F6F7-4D59-AF63-79E2998A31C0}"/>
    <hyperlink ref="D14" location="'1. User Guide'!A1" display="1. User guide" xr:uid="{57A88ED9-045C-4E88-BF3D-A36DD2789F52}"/>
    <hyperlink ref="D26" location="'6.1 - Value look-up'!A1" display="6.1 - Value look-up" xr:uid="{D9C97D6B-D9CC-4F2E-A1A8-09925A6FA304}"/>
    <hyperlink ref="D28" location="'6.2 - GDP deflators'!A1" display="6.2 - GDP deflators" xr:uid="{8F8FCF1B-F244-4419-9580-39DDEF4C0C22}"/>
    <hyperlink ref="D24" location="'5.2 - Feature amenity'!A1" display="5.2 - Feature amenity" xr:uid="{D2CAE97A-DB3F-43D0-8958-C8D556EC9D2B}"/>
    <hyperlink ref="D36" location="'6.6 - Lists and lookups'!A1" display="6.6 - Lists and lookups" xr:uid="{2CD2DDE1-9CFB-4C87-8BE7-214BACFC3F51}"/>
    <hyperlink ref="D34" location="'6.5 - Housing densities'!A1" display="6.5 - Housing densities" xr:uid="{C2CBAE55-7EE5-4BA9-BF7F-6E0ADCD44792}"/>
    <hyperlink ref="D32" location="'6.4 - Hectares brownfield'!A1" display="6.4 - Hectares brownfield" xr:uid="{4AB3A31D-6809-4A1D-92C5-46505CC27D25}"/>
    <hyperlink ref="D30" location="'6.3 - Discount rates'!A1" display="6.3 - Discount rates" xr:uid="{A6EC4CB0-CE0B-4569-8DC6-410542B9F318}"/>
  </hyperlinks>
  <pageMargins left="0.7" right="0.7" top="0.75" bottom="0.75" header="0.3" footer="0.3"/>
  <pageSetup paperSize="9" orientation="portrait" horizontalDpi="200" verticalDpi="200" r:id="rId1"/>
  <headerFooter>
    <oddFooter xml:space="preserve">&amp;C_x000D_&amp;1#&amp;"Calibri"&amp;12&amp;K0078D7 OFFICIAL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43F2-C8D3-4F10-903B-E4C67966CE75}">
  <sheetPr codeName="Sheet2">
    <tabColor theme="9"/>
  </sheetPr>
  <dimension ref="A1:XFC40"/>
  <sheetViews>
    <sheetView showGridLines="0" topLeftCell="A17" zoomScaleNormal="100" workbookViewId="0"/>
  </sheetViews>
  <sheetFormatPr defaultColWidth="0" defaultRowHeight="14.5" x14ac:dyDescent="0.35"/>
  <cols>
    <col min="1" max="1" width="2.1796875" customWidth="1"/>
    <col min="2" max="2" width="26.54296875" customWidth="1"/>
    <col min="3" max="3" width="13.453125" bestFit="1" customWidth="1"/>
    <col min="4" max="4" width="14.81640625" bestFit="1" customWidth="1"/>
    <col min="5" max="5" width="50" customWidth="1"/>
    <col min="6" max="8" width="9.1796875" customWidth="1"/>
    <col min="9" max="9" width="15.81640625" customWidth="1"/>
    <col min="10" max="10" width="9.1796875" customWidth="1"/>
    <col min="11" max="12" width="8" hidden="1" customWidth="1"/>
    <col min="13" max="582" width="8" hidden="1"/>
    <col min="583" max="16383" width="9.1796875" hidden="1"/>
    <col min="16384" max="16384" width="8" hidden="1"/>
  </cols>
  <sheetData>
    <row r="1" spans="1:10" s="75" customFormat="1" ht="3" customHeight="1" x14ac:dyDescent="0.3">
      <c r="B1" s="76"/>
    </row>
    <row r="2" spans="1:10" s="77" customFormat="1" ht="18.5" x14ac:dyDescent="0.45">
      <c r="A2" s="474"/>
      <c r="B2" s="475" t="s">
        <v>58</v>
      </c>
      <c r="C2" s="474"/>
      <c r="D2" s="474"/>
      <c r="E2" s="474"/>
      <c r="F2" s="474"/>
      <c r="G2" s="639" t="s">
        <v>59</v>
      </c>
      <c r="H2" s="639"/>
      <c r="I2" s="639"/>
      <c r="J2" s="99"/>
    </row>
    <row r="3" spans="1:10" s="78" customFormat="1" ht="3" customHeight="1" x14ac:dyDescent="0.3">
      <c r="B3" s="79"/>
    </row>
    <row r="4" spans="1:10" s="77" customFormat="1" ht="13" x14ac:dyDescent="0.3">
      <c r="A4" s="472"/>
      <c r="B4" s="473" t="s">
        <v>60</v>
      </c>
      <c r="C4" s="472"/>
      <c r="D4" s="472"/>
      <c r="E4" s="472"/>
      <c r="F4" s="472"/>
      <c r="G4" s="472"/>
      <c r="H4" s="472"/>
      <c r="I4" s="472"/>
      <c r="J4" s="472"/>
    </row>
    <row r="6" spans="1:10" ht="16" thickBot="1" x14ac:dyDescent="0.4">
      <c r="B6" s="137" t="s">
        <v>61</v>
      </c>
      <c r="C6" s="9"/>
      <c r="D6" s="9"/>
      <c r="E6" s="9"/>
      <c r="F6" s="9"/>
      <c r="G6" s="9"/>
      <c r="H6" s="9"/>
      <c r="I6" s="9"/>
      <c r="J6" s="9"/>
    </row>
    <row r="7" spans="1:10" x14ac:dyDescent="0.35">
      <c r="B7" s="640" t="s">
        <v>62</v>
      </c>
      <c r="C7" s="640"/>
      <c r="D7" s="640"/>
      <c r="E7" s="640"/>
      <c r="F7" s="640"/>
      <c r="G7" s="640"/>
      <c r="H7" s="640"/>
      <c r="I7" s="640"/>
    </row>
    <row r="8" spans="1:10" x14ac:dyDescent="0.35">
      <c r="B8" s="81" t="s">
        <v>63</v>
      </c>
    </row>
    <row r="9" spans="1:10" x14ac:dyDescent="0.35">
      <c r="B9" t="s">
        <v>64</v>
      </c>
    </row>
    <row r="13" spans="1:10" x14ac:dyDescent="0.35">
      <c r="B13" s="82"/>
    </row>
    <row r="28" spans="2:9" ht="7.5" customHeight="1" x14ac:dyDescent="0.35"/>
    <row r="29" spans="2:9" ht="53.25" customHeight="1" x14ac:dyDescent="0.35">
      <c r="B29" s="642" t="s">
        <v>65</v>
      </c>
      <c r="C29" s="642"/>
      <c r="D29" s="642"/>
      <c r="E29" s="642"/>
      <c r="F29" s="642"/>
      <c r="G29" s="642"/>
      <c r="H29" s="642"/>
      <c r="I29" s="642"/>
    </row>
    <row r="30" spans="2:9" ht="7.5" customHeight="1" x14ac:dyDescent="0.35">
      <c r="B30" s="88"/>
    </row>
    <row r="31" spans="2:9" ht="27.75" customHeight="1" x14ac:dyDescent="0.35">
      <c r="B31" s="641" t="s">
        <v>66</v>
      </c>
      <c r="C31" s="641"/>
      <c r="D31" s="641"/>
      <c r="E31" s="641"/>
      <c r="F31" s="641"/>
      <c r="G31" s="641"/>
      <c r="H31" s="641"/>
      <c r="I31" s="641"/>
    </row>
    <row r="32" spans="2:9" ht="7.5" customHeight="1" x14ac:dyDescent="0.35">
      <c r="B32" s="88"/>
    </row>
    <row r="33" spans="2:10" ht="27.75" customHeight="1" x14ac:dyDescent="0.35">
      <c r="B33" s="641" t="s">
        <v>67</v>
      </c>
      <c r="C33" s="641"/>
      <c r="D33" s="641"/>
      <c r="E33" s="641"/>
      <c r="F33" s="641"/>
      <c r="G33" s="641"/>
      <c r="H33" s="641"/>
      <c r="I33" s="641"/>
    </row>
    <row r="34" spans="2:10" ht="7.5" customHeight="1" x14ac:dyDescent="0.35">
      <c r="B34" s="88"/>
    </row>
    <row r="35" spans="2:10" ht="15" customHeight="1" x14ac:dyDescent="0.35">
      <c r="B35" s="642" t="s">
        <v>68</v>
      </c>
      <c r="C35" s="642"/>
      <c r="D35" s="642"/>
      <c r="E35" s="642"/>
      <c r="F35" s="642"/>
      <c r="G35" s="642"/>
      <c r="H35" s="642"/>
      <c r="I35" s="642"/>
    </row>
    <row r="36" spans="2:10" ht="12.75" customHeight="1" thickBot="1" x14ac:dyDescent="0.4">
      <c r="B36" s="137"/>
      <c r="C36" s="90"/>
      <c r="D36" s="90"/>
      <c r="E36" s="90"/>
      <c r="F36" s="90"/>
      <c r="G36" s="90"/>
      <c r="H36" s="90"/>
      <c r="I36" s="90"/>
      <c r="J36" s="90"/>
    </row>
    <row r="37" spans="2:10" ht="12.75" customHeight="1" x14ac:dyDescent="0.35"/>
    <row r="38" spans="2:10" ht="15.5" x14ac:dyDescent="0.35">
      <c r="B38" s="93" t="s">
        <v>69</v>
      </c>
      <c r="C38" s="82"/>
      <c r="D38" s="82"/>
      <c r="E38" s="82"/>
      <c r="F38" s="82"/>
      <c r="G38" s="82"/>
      <c r="H38" s="82"/>
      <c r="I38" s="82"/>
      <c r="J38" s="82"/>
    </row>
    <row r="39" spans="2:10" ht="12.75" customHeight="1" x14ac:dyDescent="0.35">
      <c r="B39" s="93"/>
      <c r="C39" s="82"/>
      <c r="D39" s="82"/>
      <c r="E39" s="82"/>
      <c r="F39" s="82"/>
      <c r="G39" s="82"/>
      <c r="H39" s="82"/>
      <c r="I39" s="82"/>
      <c r="J39" s="82"/>
    </row>
    <row r="40" spans="2:10" x14ac:dyDescent="0.35">
      <c r="B40" s="100" t="s">
        <v>13</v>
      </c>
      <c r="C40" s="100"/>
      <c r="D40" s="624"/>
      <c r="E40" s="624"/>
      <c r="F40" s="624"/>
      <c r="G40" s="624"/>
      <c r="H40" s="82"/>
      <c r="I40" s="82"/>
      <c r="J40" s="82"/>
    </row>
  </sheetData>
  <sheetProtection algorithmName="SHA-512" hashValue="SqNZGsufOJFaZi1oNUlGdAAuCO6+zQyDmqVOa75HgDJJsCbbaWDh7GnFlg0u+bozbWqLt1uK7XPh15C+IBMBBw==" saltValue="9rqMP8jznL6fSD3+6crURg==" spinCount="100000" sheet="1" objects="1" scenarios="1"/>
  <mergeCells count="7">
    <mergeCell ref="G2:I2"/>
    <mergeCell ref="B7:I7"/>
    <mergeCell ref="D40:G40"/>
    <mergeCell ref="B33:I33"/>
    <mergeCell ref="B31:I31"/>
    <mergeCell ref="B29:I29"/>
    <mergeCell ref="B35:I35"/>
  </mergeCells>
  <hyperlinks>
    <hyperlink ref="G2" location="Welcome!A1" display="CLICK to return to Welcome screen" xr:uid="{70D9DAFB-9FF0-4ABD-BF1F-AD112EF898AF}"/>
    <hyperlink ref="B40" location="'2. General project information'!A1" display="2. General project information" xr:uid="{11ABFB5F-4610-4349-82CC-EDEAFE3A15D8}"/>
  </hyperlinks>
  <pageMargins left="0.7" right="0.7" top="0.75" bottom="0.75" header="0.3" footer="0.3"/>
  <pageSetup paperSize="9" orientation="portrait" r:id="rId1"/>
  <headerFooter>
    <oddFooter xml:space="preserve">&amp;C_x000D_&amp;1#&amp;"Calibri"&amp;12&amp;K0078D7 OFFICIAL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8E1C2-8975-4A6F-ADD7-23E518285BF9}">
  <sheetPr codeName="Sheet3">
    <tabColor theme="5" tint="-0.249977111117893"/>
  </sheetPr>
  <dimension ref="A1:XFD1142"/>
  <sheetViews>
    <sheetView showGridLines="0" zoomScaleNormal="100" workbookViewId="0">
      <selection activeCell="C19" sqref="C19:H19"/>
    </sheetView>
  </sheetViews>
  <sheetFormatPr defaultColWidth="0" defaultRowHeight="14.5" zeroHeight="1" x14ac:dyDescent="0.35"/>
  <cols>
    <col min="1" max="1" width="1" customWidth="1"/>
    <col min="2" max="2" width="49.1796875" customWidth="1"/>
    <col min="3" max="3" width="22.7265625" customWidth="1"/>
    <col min="4" max="4" width="21.7265625" customWidth="1"/>
    <col min="5" max="7" width="17.1796875" customWidth="1"/>
    <col min="8" max="8" width="12.54296875" customWidth="1"/>
    <col min="9" max="9" width="10.54296875" customWidth="1"/>
    <col min="10" max="10" width="7.26953125" customWidth="1"/>
    <col min="11" max="11" width="12.54296875" customWidth="1"/>
    <col min="12" max="12" width="13.81640625" hidden="1"/>
    <col min="13" max="16383" width="9.1796875" hidden="1"/>
    <col min="16384" max="16384" width="3.81640625" hidden="1"/>
  </cols>
  <sheetData>
    <row r="1" spans="1:34 16383:16384" s="75" customFormat="1" ht="3" customHeight="1" x14ac:dyDescent="0.3">
      <c r="B1" s="76"/>
    </row>
    <row r="2" spans="1:34 16383:16384" s="104" customFormat="1" ht="18.5" x14ac:dyDescent="0.45">
      <c r="B2" s="105" t="s">
        <v>70</v>
      </c>
      <c r="G2" s="639" t="s">
        <v>59</v>
      </c>
      <c r="H2" s="639"/>
      <c r="I2" s="639"/>
      <c r="J2" s="639"/>
      <c r="K2" s="171"/>
      <c r="L2" s="171"/>
    </row>
    <row r="3" spans="1:34 16383:16384" s="78" customFormat="1" ht="3" customHeight="1" x14ac:dyDescent="0.3">
      <c r="B3" s="79"/>
    </row>
    <row r="4" spans="1:34 16383:16384" s="77" customFormat="1" ht="13" x14ac:dyDescent="0.3">
      <c r="A4" s="107"/>
      <c r="B4" s="108" t="s">
        <v>71</v>
      </c>
      <c r="C4" s="107"/>
      <c r="D4" s="107"/>
      <c r="E4" s="107"/>
      <c r="F4" s="107"/>
      <c r="G4" s="107"/>
      <c r="H4" s="107"/>
      <c r="I4" s="107"/>
      <c r="J4" s="107"/>
      <c r="K4" s="107"/>
      <c r="L4" s="106"/>
      <c r="M4" s="106"/>
      <c r="N4" s="106"/>
      <c r="O4" s="106"/>
      <c r="P4" s="106"/>
      <c r="Q4" s="106"/>
      <c r="R4" s="106"/>
      <c r="XFC4" s="106"/>
      <c r="XFD4" s="106"/>
    </row>
    <row r="5" spans="1:34 16383:16384" ht="7.5" customHeight="1" x14ac:dyDescent="0.35"/>
    <row r="6" spans="1:34 16383:16384" ht="66" customHeight="1" x14ac:dyDescent="0.35">
      <c r="B6" s="654" t="s">
        <v>72</v>
      </c>
      <c r="C6" s="654"/>
      <c r="D6" s="654"/>
      <c r="E6" s="654"/>
      <c r="F6" s="654"/>
      <c r="G6" s="654"/>
      <c r="H6" s="654"/>
      <c r="I6" s="654"/>
      <c r="J6" s="654"/>
      <c r="K6" s="122"/>
    </row>
    <row r="7" spans="1:34 16383:16384" ht="12.75" customHeight="1" x14ac:dyDescent="0.35">
      <c r="B7" s="80"/>
      <c r="C7" s="80"/>
      <c r="D7" s="80"/>
      <c r="E7" s="80"/>
      <c r="F7" s="80"/>
      <c r="G7" s="80"/>
      <c r="H7" s="80"/>
      <c r="I7" s="80"/>
      <c r="J7" s="80"/>
      <c r="K7" s="122"/>
    </row>
    <row r="8" spans="1:34 16383:16384" ht="15" customHeight="1" x14ac:dyDescent="0.35">
      <c r="B8" s="84" t="s">
        <v>73</v>
      </c>
      <c r="C8" s="85"/>
      <c r="D8" s="538" t="s">
        <v>74</v>
      </c>
      <c r="E8" s="82"/>
      <c r="F8" s="82"/>
      <c r="G8" s="82"/>
      <c r="H8" s="80"/>
      <c r="I8" s="80"/>
      <c r="J8" s="80"/>
      <c r="K8" s="122"/>
    </row>
    <row r="9" spans="1:34 16383:16384" ht="15" customHeight="1" x14ac:dyDescent="0.35">
      <c r="C9" s="98"/>
      <c r="D9" s="538" t="s">
        <v>75</v>
      </c>
      <c r="E9" s="82"/>
      <c r="F9" s="82"/>
      <c r="G9" s="82"/>
      <c r="H9" s="80"/>
      <c r="I9" s="80"/>
      <c r="J9" s="80"/>
      <c r="K9" s="122"/>
    </row>
    <row r="10" spans="1:34 16383:16384" ht="15" customHeight="1" x14ac:dyDescent="0.35">
      <c r="C10" s="544"/>
      <c r="D10" s="575" t="s">
        <v>76</v>
      </c>
      <c r="E10" s="86"/>
      <c r="F10" s="86"/>
      <c r="G10" s="86"/>
      <c r="H10" s="80"/>
      <c r="I10" s="80"/>
      <c r="J10" s="80"/>
      <c r="K10" s="122"/>
    </row>
    <row r="11" spans="1:34 16383:16384" x14ac:dyDescent="0.35"/>
    <row r="12" spans="1:34 16383:16384" s="82" customFormat="1" ht="16" thickBot="1" x14ac:dyDescent="0.4">
      <c r="B12" s="136" t="s">
        <v>77</v>
      </c>
      <c r="C12" s="110"/>
      <c r="D12" s="111"/>
      <c r="E12" s="92"/>
      <c r="F12" s="92"/>
      <c r="G12" s="92"/>
      <c r="H12" s="92"/>
      <c r="I12" s="92"/>
      <c r="J12" s="92"/>
      <c r="K12" s="111"/>
      <c r="L12" s="112"/>
      <c r="M12" s="112"/>
      <c r="N12" s="112"/>
      <c r="O12" s="112"/>
      <c r="P12" s="112"/>
      <c r="Q12" s="112"/>
      <c r="R12" s="112"/>
    </row>
    <row r="13" spans="1:34 16383:16384" s="82" customFormat="1" ht="12.75" customHeight="1" x14ac:dyDescent="0.35">
      <c r="B13" s="559"/>
      <c r="C13" s="128"/>
      <c r="D13" s="112"/>
      <c r="K13" s="112"/>
      <c r="L13" s="112"/>
      <c r="M13" s="112"/>
      <c r="N13" s="112"/>
      <c r="O13" s="112"/>
      <c r="P13" s="112"/>
      <c r="Q13" s="112"/>
      <c r="R13" s="112"/>
    </row>
    <row r="14" spans="1:34 16383:16384" s="82" customFormat="1" x14ac:dyDescent="0.35">
      <c r="B14" s="558" t="s">
        <v>78</v>
      </c>
      <c r="C14" s="128"/>
      <c r="D14" s="128"/>
      <c r="E14" s="112"/>
      <c r="K14" s="112"/>
      <c r="L14" s="112"/>
      <c r="R14" s="172"/>
      <c r="S14" s="172"/>
      <c r="T14" s="172"/>
    </row>
    <row r="15" spans="1:34 16383:16384" s="82" customFormat="1" ht="15" customHeight="1" x14ac:dyDescent="0.3">
      <c r="B15" s="644" t="s">
        <v>79</v>
      </c>
      <c r="C15" s="644"/>
      <c r="D15" s="644"/>
      <c r="E15" s="644"/>
      <c r="F15" s="644"/>
      <c r="G15" s="644"/>
      <c r="H15" s="644"/>
      <c r="I15" s="644"/>
      <c r="J15" s="644"/>
      <c r="K15" s="112"/>
    </row>
    <row r="16" spans="1:34 16383:16384" s="82" customFormat="1" ht="12.75" customHeight="1" thickBot="1" x14ac:dyDescent="0.35">
      <c r="B16" s="560"/>
      <c r="C16" s="561"/>
      <c r="D16" s="562"/>
      <c r="E16" s="562"/>
      <c r="F16" s="562"/>
      <c r="G16" s="562"/>
      <c r="H16" s="562"/>
      <c r="I16" s="562"/>
      <c r="J16" s="56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row>
    <row r="17" spans="2:34" s="82" customFormat="1" ht="13" x14ac:dyDescent="0.3">
      <c r="B17" s="114"/>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row>
    <row r="18" spans="2:34" s="82" customFormat="1" x14ac:dyDescent="0.35">
      <c r="B18" s="558" t="s">
        <v>80</v>
      </c>
      <c r="C18" s="128"/>
      <c r="D18" s="128"/>
      <c r="E18" s="112"/>
      <c r="K18" s="112"/>
      <c r="L18" s="112"/>
      <c r="R18" s="172"/>
      <c r="S18" s="172"/>
      <c r="T18" s="172"/>
    </row>
    <row r="19" spans="2:34" s="82" customFormat="1" ht="15" customHeight="1" x14ac:dyDescent="0.3">
      <c r="B19" s="127" t="s">
        <v>81</v>
      </c>
      <c r="C19" s="645"/>
      <c r="D19" s="646"/>
      <c r="E19" s="646"/>
      <c r="F19" s="646"/>
      <c r="G19" s="646"/>
      <c r="H19" s="647"/>
      <c r="K19" s="112"/>
      <c r="L19" s="112"/>
      <c r="M19" s="112"/>
      <c r="N19" s="112"/>
      <c r="O19" s="112"/>
      <c r="P19" s="112"/>
      <c r="Q19" s="112"/>
      <c r="R19" s="112"/>
    </row>
    <row r="20" spans="2:34" s="82" customFormat="1" ht="3.75" customHeight="1" x14ac:dyDescent="0.3">
      <c r="B20" s="127"/>
      <c r="C20" s="112"/>
      <c r="D20" s="112"/>
      <c r="E20" s="112"/>
      <c r="K20" s="112"/>
      <c r="L20" s="112"/>
      <c r="M20" s="112"/>
      <c r="N20" s="112"/>
      <c r="O20" s="112"/>
      <c r="P20" s="112"/>
      <c r="Q20" s="112"/>
      <c r="R20" s="112"/>
    </row>
    <row r="21" spans="2:34" s="82" customFormat="1" ht="60" customHeight="1" x14ac:dyDescent="0.3">
      <c r="B21" s="154" t="s">
        <v>82</v>
      </c>
      <c r="C21" s="651"/>
      <c r="D21" s="652"/>
      <c r="E21" s="652"/>
      <c r="F21" s="652"/>
      <c r="G21" s="652"/>
      <c r="H21" s="653"/>
      <c r="K21" s="112"/>
      <c r="L21" s="112"/>
      <c r="M21" s="112"/>
      <c r="N21" s="112"/>
      <c r="O21" s="112"/>
      <c r="P21" s="112"/>
      <c r="Q21" s="112"/>
      <c r="R21" s="112"/>
    </row>
    <row r="22" spans="2:34" s="82" customFormat="1" ht="3.75" customHeight="1" x14ac:dyDescent="0.3">
      <c r="B22" s="127"/>
      <c r="C22" s="112"/>
      <c r="D22" s="112"/>
      <c r="E22" s="112"/>
      <c r="K22" s="112"/>
      <c r="L22" s="112"/>
      <c r="M22" s="112"/>
      <c r="N22" s="112"/>
      <c r="O22" s="112"/>
      <c r="P22" s="112"/>
      <c r="Q22" s="112"/>
      <c r="R22" s="112"/>
    </row>
    <row r="23" spans="2:34" s="82" customFormat="1" ht="15" customHeight="1" x14ac:dyDescent="0.3">
      <c r="B23" s="127" t="s">
        <v>83</v>
      </c>
      <c r="C23" s="645"/>
      <c r="D23" s="646"/>
      <c r="E23" s="646"/>
      <c r="F23" s="646"/>
      <c r="G23" s="646"/>
      <c r="H23" s="647"/>
      <c r="I23" s="172" t="e">
        <f>HLOOKUP(Region,'6.6 - Lists and lookups'!D7:L8,2,FALSE)</f>
        <v>#N/A</v>
      </c>
      <c r="K23" s="112"/>
      <c r="L23" s="112"/>
      <c r="M23" s="112"/>
      <c r="N23" s="112"/>
      <c r="O23" s="112"/>
      <c r="P23" s="112"/>
      <c r="Q23" s="112"/>
      <c r="R23" s="112"/>
    </row>
    <row r="24" spans="2:34" s="82" customFormat="1" ht="3.75" customHeight="1" x14ac:dyDescent="0.3">
      <c r="B24" s="127"/>
      <c r="C24" s="112"/>
      <c r="D24" s="112"/>
      <c r="E24" s="112"/>
      <c r="K24" s="112"/>
      <c r="L24" s="112"/>
      <c r="M24" s="112"/>
      <c r="N24" s="112"/>
      <c r="O24" s="112"/>
      <c r="P24" s="112"/>
      <c r="Q24" s="112"/>
      <c r="R24" s="112"/>
    </row>
    <row r="25" spans="2:34" s="82" customFormat="1" ht="15" customHeight="1" x14ac:dyDescent="0.3">
      <c r="B25" s="81" t="s">
        <v>84</v>
      </c>
      <c r="C25" s="648"/>
      <c r="D25" s="649"/>
      <c r="E25" s="649"/>
      <c r="F25" s="649"/>
      <c r="G25" s="649"/>
      <c r="H25" s="650"/>
      <c r="K25" s="112"/>
      <c r="L25" s="112"/>
      <c r="M25" s="112"/>
      <c r="N25" s="112"/>
      <c r="O25" s="112"/>
      <c r="P25" s="112"/>
      <c r="Q25" s="112"/>
      <c r="R25" s="112"/>
    </row>
    <row r="26" spans="2:34" s="82" customFormat="1" ht="3.75" customHeight="1" x14ac:dyDescent="0.3">
      <c r="B26" s="127"/>
      <c r="C26" s="112"/>
      <c r="D26" s="112"/>
      <c r="E26" s="112"/>
      <c r="K26" s="112"/>
      <c r="L26" s="112"/>
      <c r="M26" s="112"/>
      <c r="N26" s="112"/>
      <c r="O26" s="112"/>
      <c r="P26" s="112"/>
      <c r="Q26" s="112"/>
      <c r="R26" s="112"/>
    </row>
    <row r="27" spans="2:34" s="82" customFormat="1" ht="15" customHeight="1" x14ac:dyDescent="0.3">
      <c r="B27" s="127" t="s">
        <v>85</v>
      </c>
      <c r="C27" s="173"/>
      <c r="D27" s="112"/>
      <c r="E27" s="112"/>
      <c r="K27" s="112"/>
      <c r="L27" s="112"/>
      <c r="M27" s="112"/>
      <c r="N27" s="112"/>
      <c r="O27" s="112"/>
      <c r="P27" s="112"/>
      <c r="Q27" s="112"/>
      <c r="R27" s="112"/>
    </row>
    <row r="28" spans="2:34" s="82" customFormat="1" ht="3.75" customHeight="1" x14ac:dyDescent="0.3">
      <c r="B28" s="127"/>
      <c r="C28" s="112"/>
      <c r="D28" s="112"/>
      <c r="E28" s="112"/>
      <c r="K28" s="112"/>
      <c r="L28" s="112"/>
      <c r="M28" s="112"/>
      <c r="N28" s="112"/>
      <c r="O28" s="112"/>
      <c r="P28" s="112"/>
      <c r="Q28" s="112"/>
      <c r="R28" s="112"/>
    </row>
    <row r="29" spans="2:34" s="82" customFormat="1" ht="15" customHeight="1" x14ac:dyDescent="0.3">
      <c r="B29" s="127" t="s">
        <v>86</v>
      </c>
      <c r="C29" s="173"/>
      <c r="D29" s="112"/>
      <c r="E29" s="180" t="s">
        <v>87</v>
      </c>
      <c r="F29" s="82" t="e">
        <f>VLOOKUP(Appraisal_Base_Year,YearTranslationLookup,2,FALSE)</f>
        <v>#N/A</v>
      </c>
      <c r="K29" s="112"/>
      <c r="L29" s="112"/>
      <c r="M29" s="112"/>
      <c r="N29" s="112"/>
      <c r="O29" s="112"/>
      <c r="P29" s="112"/>
      <c r="Q29" s="112"/>
      <c r="R29" s="112"/>
    </row>
    <row r="30" spans="2:34" s="82" customFormat="1" ht="3.75" customHeight="1" x14ac:dyDescent="0.3">
      <c r="B30" s="127"/>
      <c r="C30" s="112"/>
      <c r="D30" s="112"/>
      <c r="E30" s="176"/>
      <c r="F30" s="175"/>
      <c r="K30" s="112"/>
    </row>
    <row r="31" spans="2:34" s="82" customFormat="1" ht="15" customHeight="1" x14ac:dyDescent="0.3">
      <c r="B31" s="127" t="s">
        <v>88</v>
      </c>
      <c r="C31" s="173"/>
      <c r="D31" s="537" t="s">
        <v>89</v>
      </c>
      <c r="E31" s="177"/>
      <c r="F31" s="175"/>
      <c r="K31" s="112"/>
    </row>
    <row r="32" spans="2:34" s="82" customFormat="1" ht="3.75" customHeight="1" x14ac:dyDescent="0.3">
      <c r="B32" s="128"/>
      <c r="C32" s="128"/>
      <c r="D32" s="537"/>
      <c r="E32" s="176"/>
      <c r="F32" s="175"/>
      <c r="K32" s="112"/>
    </row>
    <row r="33" spans="2:34" s="82" customFormat="1" ht="15" customHeight="1" x14ac:dyDescent="0.3">
      <c r="B33" s="127" t="s">
        <v>90</v>
      </c>
      <c r="C33" s="173"/>
      <c r="D33" s="537" t="s">
        <v>91</v>
      </c>
      <c r="E33" s="176"/>
      <c r="F33" s="175"/>
      <c r="K33" s="112"/>
    </row>
    <row r="34" spans="2:34" s="82" customFormat="1" ht="4.5" customHeight="1" x14ac:dyDescent="0.3">
      <c r="B34" s="127"/>
      <c r="C34" s="128"/>
      <c r="D34" s="128"/>
      <c r="E34" s="176"/>
      <c r="F34" s="175"/>
      <c r="K34" s="112"/>
    </row>
    <row r="35" spans="2:34" s="82" customFormat="1" ht="45" customHeight="1" x14ac:dyDescent="0.3">
      <c r="B35" s="178" t="s">
        <v>92</v>
      </c>
      <c r="C35" s="179"/>
      <c r="D35" s="536" t="s">
        <v>93</v>
      </c>
      <c r="E35" s="284" t="s">
        <v>94</v>
      </c>
      <c r="F35" s="563">
        <f>IF(C35="",1,IF(C35="Thousands",1000,IF(C35="Millions",1000000,1)))</f>
        <v>1</v>
      </c>
      <c r="K35" s="112"/>
    </row>
    <row r="36" spans="2:34" s="82" customFormat="1" ht="3.75" customHeight="1" x14ac:dyDescent="0.3">
      <c r="E36" s="174"/>
      <c r="F36" s="174"/>
      <c r="K36" s="112"/>
    </row>
    <row r="37" spans="2:34" s="82" customFormat="1" ht="13" x14ac:dyDescent="0.3">
      <c r="B37" s="127"/>
      <c r="C37" s="128"/>
      <c r="E37" s="470" t="str">
        <f>IF(OR(Project_Name="",Region="",LA="",UrbanRural="",Appraisal_Base_Year="",C31="",Project_area&lt;0.001),"More inputs are required in this section - please review and fill the missing inputs!",IF(C21="","All required input cells are filled but optional inputs remain blank - please verify your inputs and proceed.",""))</f>
        <v>More inputs are required in this section - please review and fill the missing inputs!</v>
      </c>
      <c r="K37" s="112"/>
    </row>
    <row r="38" spans="2:34" s="82" customFormat="1" ht="18.75" customHeight="1" thickBot="1" x14ac:dyDescent="0.4">
      <c r="B38" s="138" t="s">
        <v>95</v>
      </c>
      <c r="C38" s="110"/>
      <c r="D38" s="110"/>
      <c r="E38" s="111"/>
      <c r="F38" s="92"/>
      <c r="G38" s="92"/>
      <c r="H38" s="92"/>
      <c r="I38" s="92"/>
      <c r="J38" s="92"/>
      <c r="K38" s="111"/>
      <c r="L38" s="112"/>
      <c r="R38" s="172"/>
      <c r="S38" s="172"/>
      <c r="T38" s="172"/>
    </row>
    <row r="39" spans="2:34" s="82" customFormat="1" ht="12.75" customHeight="1" x14ac:dyDescent="0.35">
      <c r="B39" s="557"/>
      <c r="C39" s="128"/>
      <c r="D39" s="128"/>
      <c r="E39" s="112"/>
      <c r="K39" s="112"/>
      <c r="L39" s="112"/>
      <c r="R39" s="172"/>
      <c r="S39" s="172"/>
      <c r="T39" s="172"/>
    </row>
    <row r="40" spans="2:34" s="82" customFormat="1" x14ac:dyDescent="0.35">
      <c r="B40" s="558" t="s">
        <v>78</v>
      </c>
      <c r="C40" s="128"/>
      <c r="D40" s="128"/>
      <c r="E40" s="112"/>
      <c r="K40" s="112"/>
      <c r="L40" s="112"/>
      <c r="R40" s="172"/>
      <c r="S40" s="172"/>
      <c r="T40" s="172"/>
    </row>
    <row r="41" spans="2:34" s="82" customFormat="1" ht="78.75" customHeight="1" x14ac:dyDescent="0.3">
      <c r="B41" s="644" t="s">
        <v>96</v>
      </c>
      <c r="C41" s="644"/>
      <c r="D41" s="644"/>
      <c r="E41" s="644"/>
      <c r="F41" s="644"/>
      <c r="G41" s="644"/>
      <c r="H41" s="644"/>
      <c r="I41" s="644"/>
      <c r="J41" s="644"/>
      <c r="K41" s="112"/>
    </row>
    <row r="42" spans="2:34" s="82" customFormat="1" ht="12.75" customHeight="1" thickBot="1" x14ac:dyDescent="0.35">
      <c r="B42" s="560"/>
      <c r="C42" s="561"/>
      <c r="D42" s="562"/>
      <c r="E42" s="562"/>
      <c r="F42" s="562"/>
      <c r="G42" s="562"/>
      <c r="H42" s="562"/>
      <c r="I42" s="562"/>
      <c r="J42" s="56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row>
    <row r="43" spans="2:34" s="82" customFormat="1" ht="13" x14ac:dyDescent="0.3">
      <c r="B43" s="114"/>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row>
    <row r="44" spans="2:34" s="82" customFormat="1" x14ac:dyDescent="0.35">
      <c r="B44" s="558" t="s">
        <v>80</v>
      </c>
      <c r="C44" s="128"/>
      <c r="D44" s="128"/>
      <c r="E44" s="112"/>
      <c r="K44" s="112"/>
      <c r="L44" s="112"/>
      <c r="R44" s="172"/>
      <c r="S44" s="172"/>
      <c r="T44" s="172"/>
    </row>
    <row r="45" spans="2:34" s="82" customFormat="1" ht="27.75" customHeight="1" x14ac:dyDescent="0.3">
      <c r="B45" s="86" t="s">
        <v>97</v>
      </c>
      <c r="C45" s="543">
        <f>(Project_area*10000)^(1/2)/2</f>
        <v>0</v>
      </c>
      <c r="D45" s="538" t="s">
        <v>98</v>
      </c>
      <c r="E45" s="181"/>
      <c r="G45" s="182" t="s">
        <v>99</v>
      </c>
      <c r="K45" s="112"/>
    </row>
    <row r="46" spans="2:34" s="82" customFormat="1" ht="4.5" customHeight="1" x14ac:dyDescent="0.3">
      <c r="B46" s="84"/>
      <c r="C46" s="128"/>
      <c r="D46" s="538"/>
      <c r="E46" s="112"/>
      <c r="K46" s="112"/>
    </row>
    <row r="47" spans="2:34" s="82" customFormat="1" ht="15" customHeight="1" x14ac:dyDescent="0.3">
      <c r="B47" s="86" t="str">
        <f>_xlfn.CONCAT("Household density in ",C25)</f>
        <v xml:space="preserve">Household density in </v>
      </c>
      <c r="C47" s="543" t="e">
        <f>VLOOKUP($C$25,'6.5 - Housing densities'!C9:J317,5,FALSE)</f>
        <v>#N/A</v>
      </c>
      <c r="D47" s="538" t="s">
        <v>100</v>
      </c>
      <c r="K47" s="112"/>
    </row>
    <row r="48" spans="2:34" s="82" customFormat="1" ht="3.75" customHeight="1" x14ac:dyDescent="0.3">
      <c r="B48" s="84"/>
      <c r="C48" s="128"/>
      <c r="D48" s="538"/>
      <c r="E48" s="112"/>
      <c r="K48" s="112"/>
    </row>
    <row r="49" spans="2:20" s="82" customFormat="1" ht="15" customHeight="1" x14ac:dyDescent="0.3">
      <c r="B49" s="86" t="str">
        <f>_xlfn.CONCAT("Total households in "&amp;C25)</f>
        <v xml:space="preserve">Total households in </v>
      </c>
      <c r="C49" s="543" t="e">
        <f>VLOOKUP($C$25,'6.5 - Housing densities'!C9:J317,4,FALSE)</f>
        <v>#N/A</v>
      </c>
      <c r="D49" s="538" t="s">
        <v>101</v>
      </c>
      <c r="E49" s="112"/>
      <c r="I49" s="112"/>
    </row>
    <row r="50" spans="2:20" s="82" customFormat="1" ht="3.75" customHeight="1" x14ac:dyDescent="0.3">
      <c r="B50" s="84"/>
      <c r="C50" s="112"/>
      <c r="D50" s="112"/>
      <c r="E50" s="112"/>
      <c r="F50" s="112"/>
      <c r="I50" s="112"/>
    </row>
    <row r="51" spans="2:20" s="82" customFormat="1" ht="15" customHeight="1" x14ac:dyDescent="0.3">
      <c r="B51" s="86" t="s">
        <v>102</v>
      </c>
      <c r="C51" s="535" t="s">
        <v>103</v>
      </c>
      <c r="D51" s="535" t="s">
        <v>104</v>
      </c>
      <c r="E51" s="535" t="s">
        <v>105</v>
      </c>
      <c r="H51" s="112"/>
    </row>
    <row r="52" spans="2:20" s="82" customFormat="1" ht="15" customHeight="1" x14ac:dyDescent="0.3">
      <c r="B52" s="84" t="s">
        <v>106</v>
      </c>
      <c r="C52" s="541">
        <v>0.5</v>
      </c>
      <c r="D52" s="541">
        <v>1</v>
      </c>
      <c r="E52" s="541">
        <v>2</v>
      </c>
      <c r="H52" s="112"/>
    </row>
    <row r="53" spans="2:20" s="82" customFormat="1" ht="15" customHeight="1" x14ac:dyDescent="0.3">
      <c r="B53" s="84" t="s">
        <v>107</v>
      </c>
      <c r="C53" s="542">
        <f>PI()*(C52+$C$45/1609.34)^2-Project_area*0.00386102</f>
        <v>0.78539816339744828</v>
      </c>
      <c r="D53" s="542">
        <f>PI()*(D52+$C$45/1609.34)^2-Project_area*0.00386102</f>
        <v>3.1415926535897931</v>
      </c>
      <c r="E53" s="542">
        <f>PI()*(E52+$C$45/1609.34)^2-Project_area*0.00386102</f>
        <v>12.566370614359172</v>
      </c>
      <c r="H53" s="112"/>
    </row>
    <row r="54" spans="2:20" s="82" customFormat="1" ht="15" customHeight="1" x14ac:dyDescent="0.3">
      <c r="B54" s="86" t="s">
        <v>108</v>
      </c>
      <c r="C54" s="543" t="e">
        <f>ROUND(MIN($C$47*C53,$C$49),-2)</f>
        <v>#N/A</v>
      </c>
      <c r="D54" s="543" t="e">
        <f>ROUND(MIN($C$47*D53,$C$49),-2)</f>
        <v>#N/A</v>
      </c>
      <c r="E54" s="543" t="e">
        <f>ROUND(MIN($C$47*E53,$C$49),-2)</f>
        <v>#N/A</v>
      </c>
      <c r="G54" s="184"/>
      <c r="H54" s="112"/>
    </row>
    <row r="55" spans="2:20" s="82" customFormat="1" ht="15" customHeight="1" x14ac:dyDescent="0.3">
      <c r="B55" s="84" t="s">
        <v>109</v>
      </c>
      <c r="C55" s="534"/>
      <c r="D55" s="534"/>
      <c r="E55" s="534"/>
      <c r="H55" s="112"/>
    </row>
    <row r="56" spans="2:20" s="82" customFormat="1" ht="15" customHeight="1" x14ac:dyDescent="0.3">
      <c r="B56" s="84" t="s">
        <v>110</v>
      </c>
      <c r="C56" s="543" t="e">
        <f>IF(C55&gt;0,C55,C54)</f>
        <v>#N/A</v>
      </c>
      <c r="D56" s="543" t="e">
        <f>IF(D55&gt;0,D55,D54)</f>
        <v>#N/A</v>
      </c>
      <c r="E56" s="543" t="e">
        <f>IF(E55&gt;0,E55,E54)</f>
        <v>#N/A</v>
      </c>
      <c r="H56" s="112"/>
    </row>
    <row r="57" spans="2:20" s="82" customFormat="1" ht="27.75" customHeight="1" x14ac:dyDescent="0.3">
      <c r="B57" s="84" t="s">
        <v>111</v>
      </c>
      <c r="C57" s="555" t="s">
        <v>112</v>
      </c>
      <c r="D57" s="555" t="s">
        <v>113</v>
      </c>
      <c r="E57" s="555" t="s">
        <v>114</v>
      </c>
      <c r="H57" s="112"/>
    </row>
    <row r="58" spans="2:20" s="82" customFormat="1" ht="15" customHeight="1" x14ac:dyDescent="0.3">
      <c r="B58" s="84" t="s">
        <v>115</v>
      </c>
      <c r="C58" s="556" t="e">
        <f>IF(C56&gt;0,C56,C55)</f>
        <v>#N/A</v>
      </c>
      <c r="D58" s="556" t="e">
        <f>D56-C56</f>
        <v>#N/A</v>
      </c>
      <c r="E58" s="556" t="e">
        <f>E56-D56</f>
        <v>#N/A</v>
      </c>
      <c r="H58" s="112"/>
    </row>
    <row r="59" spans="2:20" s="82" customFormat="1" ht="7.5" customHeight="1" x14ac:dyDescent="0.3">
      <c r="B59" s="127"/>
      <c r="C59" s="185"/>
      <c r="D59" s="185"/>
      <c r="E59" s="185"/>
      <c r="H59" s="112"/>
    </row>
    <row r="60" spans="2:20" s="82" customFormat="1" ht="13" x14ac:dyDescent="0.3">
      <c r="B60" s="127"/>
      <c r="C60" s="128"/>
      <c r="D60" s="128"/>
      <c r="E60" s="470" t="e">
        <f>IF(OR(C58&lt;0,D58&lt;0,E58&lt;0),"Error - estimated dwelling within a band is negative - please revise manual inputs",IF(OR(C55=0,D55=0,E55=0),"Optional inputs remain blank - please verify your inputs and proceed.",""))</f>
        <v>#N/A</v>
      </c>
      <c r="I60" s="112"/>
    </row>
    <row r="61" spans="2:20" s="82" customFormat="1" ht="18.75" customHeight="1" thickBot="1" x14ac:dyDescent="0.4">
      <c r="B61" s="138" t="s">
        <v>116</v>
      </c>
      <c r="C61" s="110"/>
      <c r="D61" s="110"/>
      <c r="E61" s="111"/>
      <c r="F61" s="92"/>
      <c r="G61" s="92"/>
      <c r="H61" s="92"/>
      <c r="I61" s="111"/>
      <c r="J61" s="111"/>
      <c r="K61" s="92"/>
      <c r="P61" s="172"/>
      <c r="Q61" s="172"/>
      <c r="R61" s="172"/>
    </row>
    <row r="62" spans="2:20" s="82" customFormat="1" ht="12.75" customHeight="1" x14ac:dyDescent="0.35">
      <c r="B62" s="557"/>
      <c r="C62" s="128"/>
      <c r="D62" s="128"/>
      <c r="E62" s="112"/>
      <c r="I62" s="112"/>
      <c r="J62" s="112"/>
      <c r="P62" s="172"/>
      <c r="Q62" s="172"/>
      <c r="R62" s="172"/>
    </row>
    <row r="63" spans="2:20" s="82" customFormat="1" x14ac:dyDescent="0.35">
      <c r="B63" s="558" t="s">
        <v>78</v>
      </c>
      <c r="C63" s="576"/>
      <c r="D63" s="576"/>
      <c r="E63" s="577"/>
      <c r="F63" s="578"/>
      <c r="G63" s="578"/>
      <c r="H63" s="578"/>
      <c r="I63" s="578"/>
      <c r="J63" s="578"/>
      <c r="K63" s="112"/>
      <c r="L63" s="112"/>
      <c r="R63" s="172"/>
      <c r="S63" s="172"/>
      <c r="T63" s="172"/>
    </row>
    <row r="64" spans="2:20" s="82" customFormat="1" ht="78.75" customHeight="1" x14ac:dyDescent="0.3">
      <c r="B64" s="644" t="s">
        <v>117</v>
      </c>
      <c r="C64" s="644"/>
      <c r="D64" s="644"/>
      <c r="E64" s="644"/>
      <c r="F64" s="644"/>
      <c r="G64" s="644"/>
      <c r="H64" s="644"/>
      <c r="I64" s="644"/>
      <c r="J64" s="644"/>
      <c r="P64" s="172"/>
      <c r="Q64" s="172"/>
      <c r="R64" s="172"/>
    </row>
    <row r="65" spans="1:20" s="82" customFormat="1" ht="12.75" customHeight="1" thickBot="1" x14ac:dyDescent="0.35">
      <c r="B65" s="574"/>
      <c r="C65" s="561"/>
      <c r="D65" s="561"/>
      <c r="E65" s="562"/>
      <c r="F65" s="561"/>
      <c r="G65" s="561"/>
      <c r="H65" s="561"/>
      <c r="I65" s="561"/>
      <c r="J65" s="561"/>
      <c r="K65" s="112"/>
      <c r="L65" s="112"/>
      <c r="R65" s="172"/>
      <c r="S65" s="172"/>
      <c r="T65" s="172"/>
    </row>
    <row r="66" spans="1:20" s="82" customFormat="1" ht="13" x14ac:dyDescent="0.3">
      <c r="B66" s="127"/>
      <c r="E66" s="112"/>
      <c r="K66" s="112"/>
      <c r="L66" s="112"/>
      <c r="R66" s="172"/>
      <c r="S66" s="172"/>
      <c r="T66" s="172"/>
    </row>
    <row r="67" spans="1:20" s="82" customFormat="1" x14ac:dyDescent="0.35">
      <c r="B67" s="558" t="s">
        <v>80</v>
      </c>
      <c r="C67" s="128"/>
      <c r="D67" s="128"/>
      <c r="E67" s="112"/>
      <c r="K67" s="112"/>
      <c r="L67" s="112"/>
      <c r="R67" s="172"/>
      <c r="S67" s="172"/>
      <c r="T67" s="172"/>
    </row>
    <row r="68" spans="1:20" s="82" customFormat="1" ht="15" customHeight="1" x14ac:dyDescent="0.3">
      <c r="B68" s="128" t="s">
        <v>118</v>
      </c>
      <c r="C68" s="179"/>
      <c r="D68" s="537" t="s">
        <v>119</v>
      </c>
      <c r="E68" s="112"/>
      <c r="K68" s="112"/>
      <c r="L68" s="112"/>
      <c r="R68" s="172"/>
      <c r="S68" s="172"/>
      <c r="T68" s="172"/>
    </row>
    <row r="69" spans="1:20" s="82" customFormat="1" ht="9" customHeight="1" x14ac:dyDescent="0.3">
      <c r="C69" s="187"/>
      <c r="D69" s="537"/>
      <c r="E69" s="112"/>
      <c r="N69" s="172"/>
      <c r="O69" s="172"/>
      <c r="P69" s="172"/>
    </row>
    <row r="70" spans="1:20" s="82" customFormat="1" ht="15" customHeight="1" x14ac:dyDescent="0.3">
      <c r="B70" s="128" t="s">
        <v>120</v>
      </c>
      <c r="C70" s="179"/>
      <c r="D70" s="537"/>
      <c r="E70" s="112"/>
      <c r="F70" s="127"/>
      <c r="H70" s="128"/>
      <c r="K70" s="112"/>
      <c r="L70" s="112"/>
      <c r="R70" s="172"/>
      <c r="S70" s="172"/>
      <c r="T70" s="172"/>
    </row>
    <row r="71" spans="1:20" s="82" customFormat="1" ht="7.5" customHeight="1" x14ac:dyDescent="0.3">
      <c r="B71" s="127"/>
      <c r="C71" s="128"/>
      <c r="D71" s="537"/>
      <c r="E71" s="112"/>
      <c r="I71" s="112"/>
    </row>
    <row r="72" spans="1:20" s="82" customFormat="1" ht="13" x14ac:dyDescent="0.3">
      <c r="A72" s="127"/>
      <c r="B72" s="127" t="s">
        <v>121</v>
      </c>
      <c r="C72" s="187"/>
      <c r="D72" s="537"/>
      <c r="K72" s="112"/>
      <c r="L72" s="112"/>
      <c r="R72" s="172"/>
      <c r="S72" s="172"/>
      <c r="T72" s="172"/>
    </row>
    <row r="73" spans="1:20" s="82" customFormat="1" ht="15" customHeight="1" x14ac:dyDescent="0.3">
      <c r="A73" s="127"/>
      <c r="B73" s="551" t="s">
        <v>122</v>
      </c>
      <c r="C73" s="596"/>
      <c r="D73" s="537"/>
      <c r="K73" s="112"/>
      <c r="L73" s="112"/>
      <c r="R73" s="172"/>
      <c r="S73" s="172"/>
      <c r="T73" s="172"/>
    </row>
    <row r="74" spans="1:20" s="82" customFormat="1" ht="15" customHeight="1" x14ac:dyDescent="0.3">
      <c r="A74" s="128"/>
      <c r="B74" s="551" t="s">
        <v>123</v>
      </c>
      <c r="C74" s="596"/>
      <c r="D74" s="537"/>
      <c r="K74" s="112"/>
      <c r="L74" s="112"/>
      <c r="R74" s="172"/>
      <c r="S74" s="172"/>
      <c r="T74" s="172"/>
    </row>
    <row r="75" spans="1:20" s="82" customFormat="1" ht="15" customHeight="1" x14ac:dyDescent="0.3">
      <c r="B75" s="551" t="s">
        <v>124</v>
      </c>
      <c r="C75" s="597"/>
      <c r="D75" s="537"/>
      <c r="K75" s="112"/>
      <c r="L75" s="112"/>
      <c r="R75" s="172"/>
      <c r="S75" s="172"/>
      <c r="T75" s="172"/>
    </row>
    <row r="76" spans="1:20" s="82" customFormat="1" ht="15" customHeight="1" x14ac:dyDescent="0.3">
      <c r="B76" s="551" t="s">
        <v>125</v>
      </c>
      <c r="C76" s="595">
        <f>SUM(C73:C75)</f>
        <v>0</v>
      </c>
      <c r="D76" s="82" t="str">
        <f>IF(OR(C76=1,C76=0),"","VALUES DO NOT ADD TO 100% - PLEASE REVISE")</f>
        <v/>
      </c>
      <c r="J76" s="112"/>
      <c r="K76" s="188"/>
      <c r="Q76" s="172"/>
      <c r="R76" s="172"/>
      <c r="S76" s="172"/>
    </row>
    <row r="77" spans="1:20" s="82" customFormat="1" ht="13" x14ac:dyDescent="0.3">
      <c r="B77" s="128"/>
      <c r="C77" s="128"/>
      <c r="D77" s="128"/>
      <c r="E77" s="470" t="str">
        <f>IF(OR(C68="",C70="",AND(C73="",C74="",C75="")),"More inputs are required in this section - please review and fill the missing inputs!",IF(SUM(C73:C75)=1,"","The percentage of residential, commercial, and industrial land must add to 100%"))</f>
        <v>More inputs are required in this section - please review and fill the missing inputs!</v>
      </c>
      <c r="J77" s="112"/>
      <c r="K77" s="188"/>
      <c r="Q77" s="172"/>
      <c r="R77" s="172"/>
      <c r="S77" s="172"/>
    </row>
    <row r="78" spans="1:20" s="82" customFormat="1" ht="18.75" customHeight="1" thickBot="1" x14ac:dyDescent="0.4">
      <c r="B78" s="138" t="s">
        <v>126</v>
      </c>
      <c r="C78" s="110"/>
      <c r="D78" s="110"/>
      <c r="E78" s="111"/>
      <c r="F78" s="92"/>
      <c r="G78" s="92"/>
      <c r="H78" s="92"/>
      <c r="I78" s="111"/>
      <c r="J78" s="111"/>
      <c r="K78" s="92"/>
      <c r="P78" s="172"/>
      <c r="Q78" s="172"/>
      <c r="R78" s="172"/>
    </row>
    <row r="79" spans="1:20" s="82" customFormat="1" ht="12.75" customHeight="1" x14ac:dyDescent="0.35">
      <c r="B79" s="557"/>
      <c r="C79" s="128"/>
      <c r="D79" s="128"/>
      <c r="E79" s="112"/>
      <c r="I79" s="112"/>
      <c r="J79" s="112"/>
      <c r="P79" s="172"/>
      <c r="Q79" s="172"/>
      <c r="R79" s="172"/>
    </row>
    <row r="80" spans="1:20" s="82" customFormat="1" x14ac:dyDescent="0.35">
      <c r="B80" s="558" t="s">
        <v>78</v>
      </c>
      <c r="C80" s="128"/>
      <c r="D80" s="128"/>
      <c r="E80" s="112"/>
      <c r="K80" s="112"/>
      <c r="L80" s="112"/>
      <c r="R80" s="172"/>
      <c r="S80" s="172"/>
      <c r="T80" s="172"/>
    </row>
    <row r="81" spans="2:34" s="82" customFormat="1" ht="180" customHeight="1" x14ac:dyDescent="0.3">
      <c r="B81" s="655" t="s">
        <v>127</v>
      </c>
      <c r="C81" s="655"/>
      <c r="D81" s="655"/>
      <c r="E81" s="655"/>
      <c r="F81" s="655"/>
      <c r="G81" s="655"/>
      <c r="H81" s="655"/>
      <c r="I81" s="655"/>
      <c r="J81" s="655"/>
      <c r="K81" s="112"/>
    </row>
    <row r="82" spans="2:34" s="82" customFormat="1" ht="12.75" customHeight="1" thickBot="1" x14ac:dyDescent="0.35">
      <c r="B82" s="560"/>
      <c r="C82" s="561"/>
      <c r="D82" s="562"/>
      <c r="E82" s="562"/>
      <c r="F82" s="562"/>
      <c r="G82" s="562"/>
      <c r="H82" s="562"/>
      <c r="I82" s="562"/>
      <c r="J82" s="56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row>
    <row r="83" spans="2:34" s="82" customFormat="1" ht="13" x14ac:dyDescent="0.3">
      <c r="B83" s="114"/>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row>
    <row r="84" spans="2:34" s="82" customFormat="1" x14ac:dyDescent="0.35">
      <c r="B84" s="558" t="s">
        <v>80</v>
      </c>
      <c r="C84" s="128"/>
      <c r="D84" s="128"/>
      <c r="E84" s="112"/>
      <c r="K84" s="112"/>
      <c r="L84" s="112"/>
      <c r="R84" s="172"/>
      <c r="S84" s="172"/>
      <c r="T84" s="172"/>
    </row>
    <row r="85" spans="2:34" s="82" customFormat="1" ht="15.75" customHeight="1" x14ac:dyDescent="0.3">
      <c r="B85" s="82" t="s">
        <v>128</v>
      </c>
      <c r="C85" s="179"/>
      <c r="D85" s="109"/>
      <c r="E85" s="109"/>
      <c r="F85" s="109"/>
      <c r="G85" s="109"/>
    </row>
    <row r="86" spans="2:34" s="82" customFormat="1" ht="13" x14ac:dyDescent="0.3">
      <c r="D86" s="109"/>
      <c r="E86" s="109"/>
      <c r="F86" s="109"/>
      <c r="G86" s="109"/>
    </row>
    <row r="87" spans="2:34" s="82" customFormat="1" ht="13" x14ac:dyDescent="0.3">
      <c r="B87" s="86" t="str">
        <f>_xlfn.CONCAT("Total area in ",$C$25)</f>
        <v xml:space="preserve">Total area in </v>
      </c>
      <c r="C87" s="539" t="e">
        <f>VLOOKUP(LA,'6.5 - Housing densities'!$C$9:$J$317,3,FALSE)</f>
        <v>#N/A</v>
      </c>
      <c r="D87" s="537" t="s">
        <v>129</v>
      </c>
      <c r="E87" s="112"/>
      <c r="J87" s="112"/>
      <c r="K87" s="188"/>
      <c r="Q87" s="172"/>
      <c r="R87" s="172"/>
      <c r="S87" s="172"/>
    </row>
    <row r="88" spans="2:34" s="82" customFormat="1" ht="7.5" customHeight="1" x14ac:dyDescent="0.3">
      <c r="B88" s="127"/>
      <c r="C88" s="128"/>
      <c r="D88" s="128"/>
      <c r="E88" s="112"/>
      <c r="I88" s="112"/>
    </row>
    <row r="89" spans="2:34" s="82" customFormat="1" ht="27.75" customHeight="1" x14ac:dyDescent="0.3">
      <c r="B89" s="86" t="str">
        <f>_xlfn.CONCAT("Total brownfield in ",$C$25," (2019 brownfield register)")</f>
        <v>Total brownfield in  (2019 brownfield register)</v>
      </c>
      <c r="C89" s="540" t="e">
        <f>VLOOKUP(LA,'6.4 - Hectares brownfield'!$C$8:$J$316,4,FALSE)</f>
        <v>#N/A</v>
      </c>
      <c r="D89" s="537" t="s">
        <v>119</v>
      </c>
      <c r="E89" s="112"/>
      <c r="J89" s="112"/>
      <c r="K89" s="188"/>
      <c r="Q89" s="172"/>
      <c r="R89" s="172"/>
      <c r="S89" s="172"/>
    </row>
    <row r="90" spans="2:34" s="82" customFormat="1" ht="27.75" customHeight="1" x14ac:dyDescent="0.3">
      <c r="B90" s="86" t="str">
        <f>_xlfn.CONCAT("Total brownfield in ",$C$25," (user input)")</f>
        <v>Total brownfield in  (user input)</v>
      </c>
      <c r="C90" s="598"/>
      <c r="D90" s="537" t="s">
        <v>119</v>
      </c>
      <c r="E90" s="112"/>
      <c r="J90" s="112"/>
      <c r="K90" s="188"/>
      <c r="Q90" s="172"/>
      <c r="R90" s="172"/>
      <c r="S90" s="172"/>
    </row>
    <row r="91" spans="2:34" s="82" customFormat="1" ht="27.75" customHeight="1" x14ac:dyDescent="0.3">
      <c r="B91" s="120" t="str">
        <f>_xlfn.CONCAT("Estimated brownfield in ",$C$25)</f>
        <v xml:space="preserve">Estimated brownfield in </v>
      </c>
      <c r="C91" s="554" t="e">
        <f>IF(C90&gt;0,C90,C89)</f>
        <v>#N/A</v>
      </c>
      <c r="D91" s="537" t="s">
        <v>119</v>
      </c>
      <c r="E91" s="112"/>
      <c r="J91" s="112"/>
      <c r="K91" s="188"/>
      <c r="Q91" s="172"/>
      <c r="R91" s="172"/>
      <c r="S91" s="172"/>
    </row>
    <row r="92" spans="2:34" s="82" customFormat="1" ht="15" customHeight="1" x14ac:dyDescent="0.3">
      <c r="B92" s="128"/>
      <c r="C92" s="128"/>
      <c r="D92" s="537"/>
      <c r="E92" s="112"/>
      <c r="I92" s="112"/>
    </row>
    <row r="93" spans="2:34" s="82" customFormat="1" ht="15" customHeight="1" x14ac:dyDescent="0.3">
      <c r="B93" s="120" t="str">
        <f>_xlfn.CONCAT("Brownfield density in ",$C$25)</f>
        <v xml:space="preserve">Brownfield density in </v>
      </c>
      <c r="C93" s="539" t="e">
        <f>$C$91/$C$87</f>
        <v>#N/A</v>
      </c>
      <c r="D93" s="538" t="s">
        <v>130</v>
      </c>
      <c r="J93" s="112"/>
      <c r="K93" s="188"/>
      <c r="Q93" s="172"/>
      <c r="R93" s="172"/>
      <c r="S93" s="172"/>
    </row>
    <row r="94" spans="2:34" s="82" customFormat="1" ht="15" customHeight="1" x14ac:dyDescent="0.3">
      <c r="B94" s="128"/>
      <c r="C94" s="112"/>
      <c r="D94" s="112"/>
      <c r="E94" s="112"/>
      <c r="F94" s="112"/>
      <c r="J94" s="112"/>
      <c r="K94" s="188"/>
      <c r="Q94" s="172"/>
      <c r="R94" s="172"/>
      <c r="S94" s="172"/>
    </row>
    <row r="95" spans="2:34" s="82" customFormat="1" ht="15" customHeight="1" x14ac:dyDescent="0.3">
      <c r="B95" s="109" t="s">
        <v>102</v>
      </c>
      <c r="C95" s="535" t="s">
        <v>105</v>
      </c>
      <c r="D95" s="535" t="s">
        <v>131</v>
      </c>
      <c r="I95" s="112"/>
      <c r="J95" s="188"/>
      <c r="P95" s="172"/>
      <c r="Q95" s="172"/>
      <c r="R95" s="172"/>
    </row>
    <row r="96" spans="2:34" s="82" customFormat="1" ht="15" customHeight="1" x14ac:dyDescent="0.3">
      <c r="B96" s="128" t="s">
        <v>132</v>
      </c>
      <c r="C96" s="541">
        <v>2</v>
      </c>
      <c r="D96" s="541">
        <v>4</v>
      </c>
      <c r="E96" s="537" t="s">
        <v>133</v>
      </c>
      <c r="I96" s="112"/>
      <c r="J96" s="188"/>
      <c r="P96" s="172"/>
      <c r="Q96" s="172"/>
      <c r="R96" s="172"/>
    </row>
    <row r="97" spans="1:34" s="82" customFormat="1" ht="15" customHeight="1" x14ac:dyDescent="0.3">
      <c r="B97" s="128" t="s">
        <v>134</v>
      </c>
      <c r="C97" s="542">
        <f>PI()*(C96+$C$45/1609.34)^2-Project_area*0.00386102</f>
        <v>12.566370614359172</v>
      </c>
      <c r="D97" s="542">
        <f>PI()*(D96+$C$45/1609.34)^2-Project_area*0.00386102</f>
        <v>50.26548245743669</v>
      </c>
      <c r="E97" s="537" t="s">
        <v>129</v>
      </c>
      <c r="I97" s="112"/>
      <c r="J97" s="188"/>
      <c r="P97" s="172"/>
      <c r="Q97" s="172"/>
      <c r="R97" s="172"/>
    </row>
    <row r="98" spans="1:34" s="82" customFormat="1" ht="15" customHeight="1" x14ac:dyDescent="0.3">
      <c r="B98" s="109" t="s">
        <v>135</v>
      </c>
      <c r="C98" s="540" t="e">
        <f>$C$93*C97</f>
        <v>#N/A</v>
      </c>
      <c r="D98" s="540" t="e">
        <f>$C$93*D97</f>
        <v>#N/A</v>
      </c>
      <c r="E98" s="537" t="s">
        <v>119</v>
      </c>
      <c r="I98" s="112"/>
      <c r="J98" s="188"/>
      <c r="P98" s="172"/>
      <c r="Q98" s="172"/>
      <c r="R98" s="172"/>
    </row>
    <row r="99" spans="1:34" s="82" customFormat="1" ht="15" customHeight="1" x14ac:dyDescent="0.3">
      <c r="B99" s="128" t="s">
        <v>136</v>
      </c>
      <c r="C99" s="598"/>
      <c r="D99" s="598"/>
      <c r="E99" s="537" t="s">
        <v>119</v>
      </c>
      <c r="I99" s="112"/>
      <c r="J99" s="188"/>
      <c r="P99" s="172"/>
      <c r="Q99" s="172"/>
      <c r="R99" s="172"/>
    </row>
    <row r="100" spans="1:34" s="82" customFormat="1" ht="15" customHeight="1" x14ac:dyDescent="0.3">
      <c r="B100" s="128" t="s">
        <v>137</v>
      </c>
      <c r="C100" s="554" t="e">
        <f>IF(C99&gt;0,C99,C98)</f>
        <v>#N/A</v>
      </c>
      <c r="D100" s="554" t="e">
        <f>IF(D99&gt;0,D99,D98)</f>
        <v>#N/A</v>
      </c>
      <c r="E100" s="537" t="s">
        <v>119</v>
      </c>
      <c r="I100" s="112"/>
      <c r="J100" s="188"/>
      <c r="P100" s="172"/>
      <c r="Q100" s="172"/>
      <c r="R100" s="172"/>
    </row>
    <row r="101" spans="1:34" s="82" customFormat="1" ht="3.75" customHeight="1" x14ac:dyDescent="0.3">
      <c r="C101" s="187"/>
      <c r="G101" s="112"/>
      <c r="H101" s="112"/>
      <c r="I101" s="112"/>
      <c r="J101" s="112"/>
      <c r="K101" s="112"/>
      <c r="O101" s="172"/>
      <c r="P101" s="189"/>
      <c r="Q101" s="189"/>
    </row>
    <row r="102" spans="1:34" s="82" customFormat="1" ht="13" x14ac:dyDescent="0.3">
      <c r="B102" s="127"/>
      <c r="C102" s="128"/>
      <c r="D102" s="128"/>
      <c r="E102" s="470" t="str">
        <f>IF($C$85="","More inputs are required in this section - please review and fill the missing inputs!",IF(OR(C90=0,C99=0,D99=0),"All required input cells are filled but optional inputs remain blank - please verify your inputs and proceed.",""))</f>
        <v>More inputs are required in this section - please review and fill the missing inputs!</v>
      </c>
      <c r="I102" s="112"/>
    </row>
    <row r="103" spans="1:34" ht="16" thickBot="1" x14ac:dyDescent="0.4">
      <c r="B103" s="138" t="s">
        <v>138</v>
      </c>
      <c r="C103" s="110"/>
      <c r="D103" s="111"/>
      <c r="E103" s="92"/>
      <c r="F103" s="92"/>
      <c r="G103" s="92"/>
      <c r="H103" s="92"/>
      <c r="I103" s="92"/>
      <c r="J103" s="92"/>
      <c r="K103" s="111"/>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x14ac:dyDescent="0.35">
      <c r="B104" s="643" t="s">
        <v>139</v>
      </c>
      <c r="C104" s="643"/>
      <c r="D104" s="643"/>
      <c r="E104" s="643"/>
      <c r="F104" s="643"/>
      <c r="G104" s="643"/>
      <c r="H104" s="643"/>
      <c r="I104" s="643"/>
      <c r="J104" s="643"/>
      <c r="K104" s="643"/>
      <c r="L104" s="643"/>
      <c r="M104" s="643"/>
      <c r="N104" s="643"/>
      <c r="O104" s="643"/>
      <c r="P104" s="643"/>
      <c r="Q104" s="643"/>
      <c r="R104" s="643"/>
    </row>
    <row r="105" spans="1:34" ht="7.5" customHeight="1" x14ac:dyDescent="0.35">
      <c r="B105" s="123"/>
      <c r="C105" s="123"/>
      <c r="D105" s="123"/>
      <c r="E105" s="123"/>
      <c r="F105" s="123"/>
      <c r="G105" s="123"/>
      <c r="H105" s="123"/>
      <c r="I105" s="123"/>
      <c r="J105" s="123"/>
      <c r="K105" s="123"/>
      <c r="L105" s="123"/>
      <c r="M105" s="123"/>
      <c r="N105" s="123"/>
      <c r="O105" s="123"/>
      <c r="P105" s="123"/>
      <c r="Q105" s="123"/>
      <c r="R105" s="123"/>
    </row>
    <row r="106" spans="1:34" ht="16.5" customHeight="1" x14ac:dyDescent="0.35">
      <c r="B106" s="131" t="s">
        <v>140</v>
      </c>
      <c r="C106" s="132" t="s">
        <v>141</v>
      </c>
      <c r="D106" s="133"/>
      <c r="E106" s="134"/>
      <c r="F106" s="134"/>
      <c r="G106" s="134"/>
      <c r="H106" s="134"/>
      <c r="I106" s="134"/>
      <c r="J106" s="82"/>
      <c r="K106" s="112"/>
    </row>
    <row r="107" spans="1:34" x14ac:dyDescent="0.35">
      <c r="B107" s="123" t="s">
        <v>142</v>
      </c>
      <c r="C107" s="135" t="str">
        <f>IF($E$37="","All optional and required input cells filled",$E$37)</f>
        <v>More inputs are required in this section - please review and fill the missing inputs!</v>
      </c>
      <c r="D107" s="112"/>
      <c r="E107" s="82"/>
      <c r="F107" s="82"/>
      <c r="G107" s="82"/>
      <c r="H107" s="82"/>
      <c r="I107" s="82"/>
      <c r="J107" s="82"/>
      <c r="K107" s="112"/>
    </row>
    <row r="108" spans="1:34" x14ac:dyDescent="0.35">
      <c r="B108" s="123" t="s">
        <v>143</v>
      </c>
      <c r="C108" s="135" t="e">
        <f>IF($E$60="","All optional and required input cells filled",$E$60)</f>
        <v>#N/A</v>
      </c>
      <c r="D108" s="112"/>
      <c r="E108" s="82"/>
      <c r="F108" s="82"/>
      <c r="G108" s="82"/>
      <c r="H108" s="82"/>
      <c r="I108" s="82"/>
      <c r="J108" s="82"/>
      <c r="K108" s="112"/>
    </row>
    <row r="109" spans="1:34" x14ac:dyDescent="0.35">
      <c r="B109" s="123" t="s">
        <v>144</v>
      </c>
      <c r="C109" s="135" t="str">
        <f>IF($E$77="","All optional and required input cells filled",$E$77)</f>
        <v>More inputs are required in this section - please review and fill the missing inputs!</v>
      </c>
      <c r="D109" s="112"/>
      <c r="E109" s="82"/>
      <c r="F109" s="82"/>
      <c r="G109" s="82"/>
      <c r="H109" s="82"/>
      <c r="I109" s="82"/>
      <c r="J109" s="82"/>
      <c r="K109" s="112"/>
    </row>
    <row r="110" spans="1:34" x14ac:dyDescent="0.35">
      <c r="B110" s="123" t="s">
        <v>145</v>
      </c>
      <c r="C110" s="135" t="str">
        <f>IF($E$102="","All optional and required input cells filled",$E$102)</f>
        <v>More inputs are required in this section - please review and fill the missing inputs!</v>
      </c>
      <c r="D110" s="112"/>
      <c r="E110" s="82"/>
      <c r="F110" s="82"/>
      <c r="G110" s="82"/>
      <c r="H110" s="82"/>
      <c r="I110" s="82"/>
      <c r="J110" s="82"/>
      <c r="K110" s="112"/>
    </row>
    <row r="111" spans="1:34" s="82" customFormat="1" ht="14.25" customHeight="1" x14ac:dyDescent="0.3">
      <c r="A111" s="172"/>
      <c r="B111" s="177"/>
    </row>
    <row r="112" spans="1:34" s="82" customFormat="1" ht="20.25" customHeight="1" thickBot="1" x14ac:dyDescent="0.4">
      <c r="B112" s="91" t="s">
        <v>146</v>
      </c>
      <c r="C112" s="92"/>
      <c r="D112" s="92"/>
      <c r="E112" s="92"/>
      <c r="F112" s="92"/>
      <c r="G112" s="92"/>
      <c r="H112" s="92"/>
      <c r="I112" s="92"/>
      <c r="J112" s="92"/>
      <c r="K112" s="92"/>
    </row>
    <row r="113" spans="2:3" s="82" customFormat="1" ht="7.5" customHeight="1" x14ac:dyDescent="0.35">
      <c r="B113" s="93"/>
    </row>
    <row r="114" spans="2:3" s="82" customFormat="1" ht="27" customHeight="1" x14ac:dyDescent="0.3">
      <c r="B114" s="103" t="s">
        <v>15</v>
      </c>
      <c r="C114" s="67"/>
    </row>
    <row r="115" spans="2:3" x14ac:dyDescent="0.35"/>
    <row r="116" spans="2:3" x14ac:dyDescent="0.35"/>
    <row r="129" customFormat="1" hidden="1" x14ac:dyDescent="0.35"/>
    <row r="130" customFormat="1" hidden="1" x14ac:dyDescent="0.35"/>
    <row r="131" customFormat="1" hidden="1" x14ac:dyDescent="0.35"/>
    <row r="132" customFormat="1" hidden="1" x14ac:dyDescent="0.35"/>
    <row r="133" customFormat="1" hidden="1" x14ac:dyDescent="0.35"/>
    <row r="134" customFormat="1" hidden="1" x14ac:dyDescent="0.35"/>
    <row r="135" customFormat="1" hidden="1" x14ac:dyDescent="0.35"/>
    <row r="136" customFormat="1" hidden="1" x14ac:dyDescent="0.35"/>
    <row r="137" customFormat="1" hidden="1" x14ac:dyDescent="0.35"/>
    <row r="138" customFormat="1" hidden="1" x14ac:dyDescent="0.35"/>
    <row r="139" customFormat="1" hidden="1" x14ac:dyDescent="0.35"/>
    <row r="140" customFormat="1" hidden="1" x14ac:dyDescent="0.35"/>
    <row r="141" customFormat="1" hidden="1" x14ac:dyDescent="0.35"/>
    <row r="142" customFormat="1" hidden="1" x14ac:dyDescent="0.35"/>
    <row r="143" customFormat="1" hidden="1" x14ac:dyDescent="0.35"/>
    <row r="144" customFormat="1" hidden="1" x14ac:dyDescent="0.35"/>
    <row r="145" customFormat="1" hidden="1" x14ac:dyDescent="0.35"/>
    <row r="146" customFormat="1" hidden="1" x14ac:dyDescent="0.35"/>
    <row r="147" customFormat="1" hidden="1" x14ac:dyDescent="0.35"/>
    <row r="148" customFormat="1" hidden="1" x14ac:dyDescent="0.35"/>
    <row r="149" customFormat="1" hidden="1" x14ac:dyDescent="0.35"/>
    <row r="150" customFormat="1" hidden="1" x14ac:dyDescent="0.35"/>
    <row r="151" customFormat="1" hidden="1" x14ac:dyDescent="0.35"/>
    <row r="152" customFormat="1" hidden="1" x14ac:dyDescent="0.35"/>
    <row r="153" customFormat="1" hidden="1" x14ac:dyDescent="0.35"/>
    <row r="154" customFormat="1" hidden="1" x14ac:dyDescent="0.35"/>
    <row r="155" customFormat="1" hidden="1" x14ac:dyDescent="0.35"/>
    <row r="156" customFormat="1" hidden="1" x14ac:dyDescent="0.35"/>
    <row r="157" customFormat="1" hidden="1" x14ac:dyDescent="0.35"/>
    <row r="158" customFormat="1" hidden="1" x14ac:dyDescent="0.35"/>
    <row r="159" customFormat="1" hidden="1" x14ac:dyDescent="0.35"/>
    <row r="160" customFormat="1" hidden="1" x14ac:dyDescent="0.35"/>
    <row r="161" customFormat="1" hidden="1" x14ac:dyDescent="0.35"/>
    <row r="162" customFormat="1" hidden="1" x14ac:dyDescent="0.35"/>
    <row r="163" customFormat="1" hidden="1" x14ac:dyDescent="0.35"/>
    <row r="164" customFormat="1" hidden="1" x14ac:dyDescent="0.35"/>
    <row r="165" customFormat="1" hidden="1" x14ac:dyDescent="0.35"/>
    <row r="166" customFormat="1" hidden="1" x14ac:dyDescent="0.35"/>
    <row r="167" customFormat="1" hidden="1" x14ac:dyDescent="0.35"/>
    <row r="168" customFormat="1" hidden="1" x14ac:dyDescent="0.35"/>
    <row r="169" customFormat="1" hidden="1" x14ac:dyDescent="0.35"/>
    <row r="170" customFormat="1" hidden="1" x14ac:dyDescent="0.35"/>
    <row r="171" customFormat="1" hidden="1" x14ac:dyDescent="0.35"/>
    <row r="172" customFormat="1" hidden="1" x14ac:dyDescent="0.35"/>
    <row r="173" customFormat="1" hidden="1" x14ac:dyDescent="0.35"/>
    <row r="174" customFormat="1" hidden="1" x14ac:dyDescent="0.35"/>
    <row r="175" customFormat="1" hidden="1" x14ac:dyDescent="0.35"/>
    <row r="176" customFormat="1" hidden="1" x14ac:dyDescent="0.35"/>
    <row r="177" customFormat="1" hidden="1" x14ac:dyDescent="0.35"/>
    <row r="178" customFormat="1" hidden="1" x14ac:dyDescent="0.35"/>
    <row r="179" customFormat="1" hidden="1" x14ac:dyDescent="0.35"/>
    <row r="180" customFormat="1" hidden="1" x14ac:dyDescent="0.35"/>
    <row r="181" customFormat="1" hidden="1" x14ac:dyDescent="0.35"/>
    <row r="182" customFormat="1" hidden="1" x14ac:dyDescent="0.35"/>
    <row r="183" customFormat="1" hidden="1" x14ac:dyDescent="0.35"/>
    <row r="184" customFormat="1" hidden="1" x14ac:dyDescent="0.35"/>
    <row r="185" customFormat="1" hidden="1" x14ac:dyDescent="0.35"/>
    <row r="186" customFormat="1" hidden="1" x14ac:dyDescent="0.35"/>
    <row r="187" customFormat="1" hidden="1" x14ac:dyDescent="0.35"/>
    <row r="188" customFormat="1" hidden="1" x14ac:dyDescent="0.35"/>
    <row r="189" customFormat="1" hidden="1" x14ac:dyDescent="0.35"/>
    <row r="190" customFormat="1" hidden="1" x14ac:dyDescent="0.35"/>
    <row r="191" customFormat="1" hidden="1" x14ac:dyDescent="0.35"/>
    <row r="192" customFormat="1" hidden="1" x14ac:dyDescent="0.35"/>
    <row r="193" customFormat="1" hidden="1" x14ac:dyDescent="0.35"/>
    <row r="194" customFormat="1" hidden="1" x14ac:dyDescent="0.35"/>
    <row r="195" customFormat="1" hidden="1" x14ac:dyDescent="0.35"/>
    <row r="196" customFormat="1" hidden="1" x14ac:dyDescent="0.35"/>
    <row r="197" customFormat="1" hidden="1" x14ac:dyDescent="0.35"/>
    <row r="198" customFormat="1" hidden="1" x14ac:dyDescent="0.35"/>
    <row r="199" customFormat="1" hidden="1" x14ac:dyDescent="0.35"/>
    <row r="200" customFormat="1" hidden="1" x14ac:dyDescent="0.35"/>
    <row r="201" customFormat="1" hidden="1" x14ac:dyDescent="0.35"/>
    <row r="202" customFormat="1" hidden="1" x14ac:dyDescent="0.35"/>
    <row r="203" customFormat="1" hidden="1" x14ac:dyDescent="0.35"/>
    <row r="204" customFormat="1" hidden="1" x14ac:dyDescent="0.35"/>
    <row r="205" customFormat="1" hidden="1" x14ac:dyDescent="0.35"/>
    <row r="206" customFormat="1" hidden="1" x14ac:dyDescent="0.35"/>
    <row r="207" customFormat="1" hidden="1" x14ac:dyDescent="0.35"/>
    <row r="208" customFormat="1" hidden="1" x14ac:dyDescent="0.35"/>
    <row r="209" customFormat="1" hidden="1" x14ac:dyDescent="0.35"/>
    <row r="210" customFormat="1" hidden="1" x14ac:dyDescent="0.35"/>
    <row r="211" customFormat="1" hidden="1" x14ac:dyDescent="0.35"/>
    <row r="212" customFormat="1" hidden="1" x14ac:dyDescent="0.35"/>
    <row r="213" customFormat="1" hidden="1" x14ac:dyDescent="0.35"/>
    <row r="214" customFormat="1" hidden="1" x14ac:dyDescent="0.35"/>
    <row r="215" customFormat="1" hidden="1" x14ac:dyDescent="0.35"/>
    <row r="216" customFormat="1" hidden="1" x14ac:dyDescent="0.35"/>
    <row r="217" customFormat="1" hidden="1" x14ac:dyDescent="0.35"/>
    <row r="218" customFormat="1" hidden="1" x14ac:dyDescent="0.35"/>
    <row r="219" customFormat="1" hidden="1" x14ac:dyDescent="0.35"/>
    <row r="220" customFormat="1" hidden="1" x14ac:dyDescent="0.35"/>
    <row r="221" customFormat="1" hidden="1" x14ac:dyDescent="0.35"/>
    <row r="222" customFormat="1" hidden="1" x14ac:dyDescent="0.35"/>
    <row r="223" customFormat="1" hidden="1" x14ac:dyDescent="0.35"/>
    <row r="224" customFormat="1" hidden="1" x14ac:dyDescent="0.35"/>
    <row r="225" customFormat="1" hidden="1" x14ac:dyDescent="0.35"/>
    <row r="226" customFormat="1" hidden="1" x14ac:dyDescent="0.35"/>
    <row r="227" customFormat="1" hidden="1" x14ac:dyDescent="0.35"/>
    <row r="228" customFormat="1" hidden="1" x14ac:dyDescent="0.35"/>
    <row r="229" customFormat="1" hidden="1" x14ac:dyDescent="0.35"/>
    <row r="230" customFormat="1" hidden="1" x14ac:dyDescent="0.35"/>
    <row r="231" customFormat="1" hidden="1" x14ac:dyDescent="0.35"/>
    <row r="232" customFormat="1" hidden="1" x14ac:dyDescent="0.35"/>
    <row r="233" customFormat="1" hidden="1" x14ac:dyDescent="0.35"/>
    <row r="234" customFormat="1" hidden="1" x14ac:dyDescent="0.35"/>
    <row r="235" customFormat="1" hidden="1" x14ac:dyDescent="0.35"/>
    <row r="236" customFormat="1" hidden="1" x14ac:dyDescent="0.35"/>
    <row r="237" customFormat="1" hidden="1" x14ac:dyDescent="0.35"/>
    <row r="238" customFormat="1" hidden="1" x14ac:dyDescent="0.35"/>
    <row r="239" customFormat="1" hidden="1" x14ac:dyDescent="0.35"/>
    <row r="240" customFormat="1" hidden="1" x14ac:dyDescent="0.35"/>
    <row r="241" customFormat="1" hidden="1" x14ac:dyDescent="0.35"/>
    <row r="242" customFormat="1" hidden="1" x14ac:dyDescent="0.35"/>
    <row r="243" customFormat="1" hidden="1" x14ac:dyDescent="0.35"/>
    <row r="244" customFormat="1" hidden="1" x14ac:dyDescent="0.35"/>
    <row r="245" customFormat="1" hidden="1" x14ac:dyDescent="0.35"/>
    <row r="246" customFormat="1" hidden="1" x14ac:dyDescent="0.35"/>
    <row r="247" customFormat="1" hidden="1" x14ac:dyDescent="0.35"/>
    <row r="248" customFormat="1" hidden="1" x14ac:dyDescent="0.35"/>
    <row r="249" customFormat="1" hidden="1" x14ac:dyDescent="0.35"/>
    <row r="250" customFormat="1" hidden="1" x14ac:dyDescent="0.35"/>
    <row r="251" customFormat="1" hidden="1" x14ac:dyDescent="0.35"/>
    <row r="252" customFormat="1" hidden="1" x14ac:dyDescent="0.35"/>
    <row r="253" customFormat="1" hidden="1" x14ac:dyDescent="0.35"/>
    <row r="254" customFormat="1" hidden="1" x14ac:dyDescent="0.35"/>
    <row r="255" customFormat="1" hidden="1" x14ac:dyDescent="0.35"/>
    <row r="256" customFormat="1" hidden="1" x14ac:dyDescent="0.35"/>
    <row r="257" customFormat="1" hidden="1" x14ac:dyDescent="0.35"/>
    <row r="258" customFormat="1" hidden="1" x14ac:dyDescent="0.35"/>
    <row r="259" customFormat="1" hidden="1" x14ac:dyDescent="0.35"/>
    <row r="260" customFormat="1" hidden="1" x14ac:dyDescent="0.35"/>
    <row r="261" customFormat="1" hidden="1" x14ac:dyDescent="0.35"/>
    <row r="262" customFormat="1" hidden="1" x14ac:dyDescent="0.35"/>
    <row r="263" customFormat="1" hidden="1" x14ac:dyDescent="0.35"/>
    <row r="264" customFormat="1" hidden="1" x14ac:dyDescent="0.35"/>
    <row r="265" customFormat="1" hidden="1" x14ac:dyDescent="0.35"/>
    <row r="266" customFormat="1" hidden="1" x14ac:dyDescent="0.35"/>
    <row r="267" customFormat="1" hidden="1" x14ac:dyDescent="0.35"/>
    <row r="268" customFormat="1" hidden="1" x14ac:dyDescent="0.35"/>
    <row r="269" customFormat="1" hidden="1" x14ac:dyDescent="0.35"/>
    <row r="270" customFormat="1" hidden="1" x14ac:dyDescent="0.35"/>
    <row r="271" customFormat="1" hidden="1" x14ac:dyDescent="0.35"/>
    <row r="272" customFormat="1" hidden="1" x14ac:dyDescent="0.35"/>
    <row r="273" customFormat="1" hidden="1" x14ac:dyDescent="0.35"/>
    <row r="274" customFormat="1" hidden="1" x14ac:dyDescent="0.35"/>
    <row r="275" customFormat="1" hidden="1" x14ac:dyDescent="0.35"/>
    <row r="276" customFormat="1" hidden="1" x14ac:dyDescent="0.35"/>
    <row r="277" customFormat="1" hidden="1" x14ac:dyDescent="0.35"/>
    <row r="278" customFormat="1" hidden="1" x14ac:dyDescent="0.35"/>
    <row r="279" customFormat="1" hidden="1" x14ac:dyDescent="0.35"/>
    <row r="280" customFormat="1" hidden="1" x14ac:dyDescent="0.35"/>
    <row r="281" customFormat="1" hidden="1" x14ac:dyDescent="0.35"/>
    <row r="282" customFormat="1" hidden="1" x14ac:dyDescent="0.35"/>
    <row r="283" customFormat="1" hidden="1" x14ac:dyDescent="0.35"/>
    <row r="284" customFormat="1" hidden="1" x14ac:dyDescent="0.35"/>
    <row r="285" customFormat="1" hidden="1" x14ac:dyDescent="0.35"/>
    <row r="286" customFormat="1" hidden="1" x14ac:dyDescent="0.35"/>
    <row r="287" customFormat="1" hidden="1" x14ac:dyDescent="0.35"/>
    <row r="288" customFormat="1" hidden="1" x14ac:dyDescent="0.35"/>
    <row r="289" customFormat="1" hidden="1" x14ac:dyDescent="0.35"/>
    <row r="290" customFormat="1" hidden="1" x14ac:dyDescent="0.35"/>
    <row r="291" customFormat="1" hidden="1" x14ac:dyDescent="0.35"/>
    <row r="292" customFormat="1" hidden="1" x14ac:dyDescent="0.35"/>
    <row r="293" customFormat="1" hidden="1" x14ac:dyDescent="0.35"/>
    <row r="294" customFormat="1" hidden="1" x14ac:dyDescent="0.35"/>
    <row r="295" customFormat="1" hidden="1" x14ac:dyDescent="0.35"/>
    <row r="296" customFormat="1" hidden="1" x14ac:dyDescent="0.35"/>
    <row r="297" customFormat="1" hidden="1" x14ac:dyDescent="0.35"/>
    <row r="298" customFormat="1" hidden="1" x14ac:dyDescent="0.35"/>
    <row r="299" customFormat="1" hidden="1" x14ac:dyDescent="0.35"/>
    <row r="300" customFormat="1" hidden="1" x14ac:dyDescent="0.35"/>
    <row r="301" customFormat="1" hidden="1" x14ac:dyDescent="0.35"/>
    <row r="302" customFormat="1" hidden="1" x14ac:dyDescent="0.35"/>
    <row r="303" customFormat="1" hidden="1" x14ac:dyDescent="0.35"/>
    <row r="304" customFormat="1" hidden="1" x14ac:dyDescent="0.35"/>
    <row r="305" customFormat="1" hidden="1" x14ac:dyDescent="0.35"/>
    <row r="306" customFormat="1" hidden="1" x14ac:dyDescent="0.35"/>
    <row r="307" customFormat="1" hidden="1" x14ac:dyDescent="0.35"/>
    <row r="308" customFormat="1" hidden="1" x14ac:dyDescent="0.35"/>
    <row r="309" customFormat="1" hidden="1" x14ac:dyDescent="0.35"/>
    <row r="310" customFormat="1" hidden="1" x14ac:dyDescent="0.35"/>
    <row r="311" customFormat="1" hidden="1" x14ac:dyDescent="0.35"/>
    <row r="312" customFormat="1" hidden="1" x14ac:dyDescent="0.35"/>
    <row r="313" customFormat="1" hidden="1" x14ac:dyDescent="0.35"/>
    <row r="314" customFormat="1" hidden="1" x14ac:dyDescent="0.35"/>
    <row r="315" customFormat="1" hidden="1" x14ac:dyDescent="0.35"/>
    <row r="316" customFormat="1" hidden="1" x14ac:dyDescent="0.35"/>
    <row r="317" customFormat="1" hidden="1" x14ac:dyDescent="0.35"/>
    <row r="318" customFormat="1" hidden="1" x14ac:dyDescent="0.35"/>
    <row r="319" customFormat="1" hidden="1" x14ac:dyDescent="0.35"/>
    <row r="320" customFormat="1" hidden="1" x14ac:dyDescent="0.35"/>
    <row r="321" customFormat="1" hidden="1" x14ac:dyDescent="0.35"/>
    <row r="322" customFormat="1" hidden="1" x14ac:dyDescent="0.35"/>
    <row r="323" customFormat="1" hidden="1" x14ac:dyDescent="0.35"/>
    <row r="324" customFormat="1" hidden="1" x14ac:dyDescent="0.35"/>
    <row r="325" customFormat="1" hidden="1" x14ac:dyDescent="0.35"/>
    <row r="326" customFormat="1" hidden="1" x14ac:dyDescent="0.35"/>
    <row r="327" customFormat="1" hidden="1" x14ac:dyDescent="0.35"/>
    <row r="328" customFormat="1" hidden="1" x14ac:dyDescent="0.35"/>
    <row r="329" customFormat="1" hidden="1" x14ac:dyDescent="0.35"/>
    <row r="330" customFormat="1" hidden="1" x14ac:dyDescent="0.35"/>
    <row r="331" customFormat="1" hidden="1" x14ac:dyDescent="0.35"/>
    <row r="332" customFormat="1" hidden="1" x14ac:dyDescent="0.35"/>
    <row r="333" customFormat="1" hidden="1" x14ac:dyDescent="0.35"/>
    <row r="334" customFormat="1" hidden="1" x14ac:dyDescent="0.35"/>
    <row r="335" customFormat="1" hidden="1" x14ac:dyDescent="0.35"/>
    <row r="336" customFormat="1" hidden="1" x14ac:dyDescent="0.35"/>
    <row r="337" customFormat="1" hidden="1" x14ac:dyDescent="0.35"/>
    <row r="338" customFormat="1" hidden="1" x14ac:dyDescent="0.35"/>
    <row r="339" customFormat="1" hidden="1" x14ac:dyDescent="0.35"/>
    <row r="340" customFormat="1" hidden="1" x14ac:dyDescent="0.35"/>
    <row r="341" customFormat="1" hidden="1" x14ac:dyDescent="0.35"/>
    <row r="342" customFormat="1" hidden="1" x14ac:dyDescent="0.35"/>
    <row r="343" customFormat="1" hidden="1" x14ac:dyDescent="0.35"/>
    <row r="344" customFormat="1" hidden="1" x14ac:dyDescent="0.35"/>
    <row r="345" customFormat="1" hidden="1" x14ac:dyDescent="0.35"/>
    <row r="346" customFormat="1" hidden="1" x14ac:dyDescent="0.35"/>
    <row r="347" customFormat="1" hidden="1" x14ac:dyDescent="0.35"/>
    <row r="348" customFormat="1" hidden="1" x14ac:dyDescent="0.35"/>
    <row r="349" customFormat="1" hidden="1" x14ac:dyDescent="0.35"/>
    <row r="350" customFormat="1" hidden="1" x14ac:dyDescent="0.35"/>
    <row r="351" customFormat="1" hidden="1" x14ac:dyDescent="0.35"/>
    <row r="352" customFormat="1" hidden="1" x14ac:dyDescent="0.35"/>
    <row r="353" customFormat="1" hidden="1" x14ac:dyDescent="0.35"/>
    <row r="354" customFormat="1" hidden="1" x14ac:dyDescent="0.35"/>
    <row r="355" customFormat="1" hidden="1" x14ac:dyDescent="0.35"/>
    <row r="356" customFormat="1" hidden="1" x14ac:dyDescent="0.35"/>
    <row r="357" customFormat="1" hidden="1" x14ac:dyDescent="0.35"/>
    <row r="358" customFormat="1" hidden="1" x14ac:dyDescent="0.35"/>
    <row r="359" customFormat="1" hidden="1" x14ac:dyDescent="0.35"/>
    <row r="360" customFormat="1" hidden="1" x14ac:dyDescent="0.35"/>
    <row r="361" customFormat="1" hidden="1" x14ac:dyDescent="0.35"/>
    <row r="362" customFormat="1" hidden="1" x14ac:dyDescent="0.35"/>
    <row r="363" customFormat="1" hidden="1" x14ac:dyDescent="0.35"/>
    <row r="364" customFormat="1" hidden="1" x14ac:dyDescent="0.35"/>
    <row r="365" customFormat="1" hidden="1" x14ac:dyDescent="0.35"/>
    <row r="366" customFormat="1" hidden="1" x14ac:dyDescent="0.35"/>
    <row r="367" customFormat="1" hidden="1" x14ac:dyDescent="0.35"/>
    <row r="368" customFormat="1" hidden="1" x14ac:dyDescent="0.35"/>
    <row r="369" customFormat="1" hidden="1" x14ac:dyDescent="0.35"/>
    <row r="370" customFormat="1" hidden="1" x14ac:dyDescent="0.35"/>
    <row r="371" customFormat="1" hidden="1" x14ac:dyDescent="0.35"/>
    <row r="372" customFormat="1" hidden="1" x14ac:dyDescent="0.35"/>
    <row r="373" customFormat="1" hidden="1" x14ac:dyDescent="0.35"/>
    <row r="374" customFormat="1" hidden="1" x14ac:dyDescent="0.35"/>
    <row r="375" customFormat="1" hidden="1" x14ac:dyDescent="0.35"/>
    <row r="376" customFormat="1" hidden="1" x14ac:dyDescent="0.35"/>
    <row r="377" customFormat="1" hidden="1" x14ac:dyDescent="0.35"/>
    <row r="378" customFormat="1" hidden="1" x14ac:dyDescent="0.35"/>
    <row r="379" customFormat="1" hidden="1" x14ac:dyDescent="0.35"/>
    <row r="380" customFormat="1" hidden="1" x14ac:dyDescent="0.35"/>
    <row r="381" customFormat="1" hidden="1" x14ac:dyDescent="0.35"/>
    <row r="382" customFormat="1" hidden="1" x14ac:dyDescent="0.35"/>
    <row r="383" customFormat="1" hidden="1" x14ac:dyDescent="0.35"/>
    <row r="384" customFormat="1" hidden="1" x14ac:dyDescent="0.35"/>
    <row r="385" customFormat="1" hidden="1" x14ac:dyDescent="0.35"/>
    <row r="386" customFormat="1" hidden="1" x14ac:dyDescent="0.35"/>
    <row r="387" customFormat="1" hidden="1" x14ac:dyDescent="0.35"/>
    <row r="388" customFormat="1" hidden="1" x14ac:dyDescent="0.35"/>
    <row r="389" customFormat="1" hidden="1" x14ac:dyDescent="0.35"/>
    <row r="390" customFormat="1" hidden="1" x14ac:dyDescent="0.35"/>
    <row r="391" customFormat="1" hidden="1" x14ac:dyDescent="0.35"/>
    <row r="392" customFormat="1" hidden="1" x14ac:dyDescent="0.35"/>
    <row r="393" customFormat="1" hidden="1" x14ac:dyDescent="0.35"/>
    <row r="394" customFormat="1" hidden="1" x14ac:dyDescent="0.35"/>
    <row r="395" customFormat="1" hidden="1" x14ac:dyDescent="0.35"/>
    <row r="396" customFormat="1" hidden="1" x14ac:dyDescent="0.35"/>
    <row r="397" customFormat="1" hidden="1" x14ac:dyDescent="0.35"/>
    <row r="398" customFormat="1" hidden="1" x14ac:dyDescent="0.35"/>
    <row r="399" customFormat="1" hidden="1" x14ac:dyDescent="0.35"/>
    <row r="400" customFormat="1" hidden="1" x14ac:dyDescent="0.35"/>
    <row r="401" customFormat="1" hidden="1" x14ac:dyDescent="0.35"/>
    <row r="402" customFormat="1" hidden="1" x14ac:dyDescent="0.35"/>
    <row r="403" customFormat="1" hidden="1" x14ac:dyDescent="0.35"/>
    <row r="404" customFormat="1" hidden="1" x14ac:dyDescent="0.35"/>
    <row r="405" customFormat="1" hidden="1" x14ac:dyDescent="0.35"/>
    <row r="406" customFormat="1" hidden="1" x14ac:dyDescent="0.35"/>
    <row r="407" customFormat="1" hidden="1" x14ac:dyDescent="0.35"/>
    <row r="408" customFormat="1" hidden="1" x14ac:dyDescent="0.35"/>
    <row r="409" customFormat="1" hidden="1" x14ac:dyDescent="0.35"/>
    <row r="410" customFormat="1" hidden="1" x14ac:dyDescent="0.35"/>
    <row r="411" customFormat="1" hidden="1" x14ac:dyDescent="0.35"/>
    <row r="412" customFormat="1" hidden="1" x14ac:dyDescent="0.35"/>
    <row r="413" customFormat="1" hidden="1" x14ac:dyDescent="0.35"/>
    <row r="414" customFormat="1" hidden="1" x14ac:dyDescent="0.35"/>
    <row r="415" customFormat="1" hidden="1" x14ac:dyDescent="0.35"/>
    <row r="416" customFormat="1" hidden="1" x14ac:dyDescent="0.35"/>
    <row r="417" customFormat="1" hidden="1" x14ac:dyDescent="0.35"/>
    <row r="418" customFormat="1" hidden="1" x14ac:dyDescent="0.35"/>
    <row r="419" customFormat="1" hidden="1" x14ac:dyDescent="0.35"/>
    <row r="420" customFormat="1" hidden="1" x14ac:dyDescent="0.35"/>
    <row r="421" customFormat="1" hidden="1" x14ac:dyDescent="0.35"/>
    <row r="422" customFormat="1" hidden="1" x14ac:dyDescent="0.35"/>
    <row r="423" customFormat="1" hidden="1" x14ac:dyDescent="0.35"/>
    <row r="424" customFormat="1" hidden="1" x14ac:dyDescent="0.35"/>
    <row r="425" customFormat="1" hidden="1" x14ac:dyDescent="0.35"/>
    <row r="426" customFormat="1" hidden="1" x14ac:dyDescent="0.35"/>
    <row r="427" customFormat="1" hidden="1" x14ac:dyDescent="0.35"/>
    <row r="428" customFormat="1" hidden="1" x14ac:dyDescent="0.35"/>
    <row r="429" customFormat="1" hidden="1" x14ac:dyDescent="0.35"/>
    <row r="430" customFormat="1" hidden="1" x14ac:dyDescent="0.35"/>
    <row r="431" customFormat="1" hidden="1" x14ac:dyDescent="0.35"/>
    <row r="432" customFormat="1" hidden="1" x14ac:dyDescent="0.35"/>
    <row r="433" customFormat="1" hidden="1" x14ac:dyDescent="0.35"/>
    <row r="434" customFormat="1" hidden="1" x14ac:dyDescent="0.35"/>
    <row r="435" customFormat="1" hidden="1" x14ac:dyDescent="0.35"/>
    <row r="436" customFormat="1" hidden="1" x14ac:dyDescent="0.35"/>
    <row r="437" customFormat="1" hidden="1" x14ac:dyDescent="0.35"/>
    <row r="438" customFormat="1" hidden="1" x14ac:dyDescent="0.35"/>
    <row r="439" customFormat="1" hidden="1" x14ac:dyDescent="0.35"/>
    <row r="440" customFormat="1" hidden="1" x14ac:dyDescent="0.35"/>
    <row r="441" customFormat="1" hidden="1" x14ac:dyDescent="0.35"/>
    <row r="442" customFormat="1" hidden="1" x14ac:dyDescent="0.35"/>
    <row r="443" customFormat="1" hidden="1" x14ac:dyDescent="0.35"/>
    <row r="444" customFormat="1" hidden="1" x14ac:dyDescent="0.35"/>
    <row r="445" customFormat="1" hidden="1" x14ac:dyDescent="0.35"/>
    <row r="446" customFormat="1" hidden="1" x14ac:dyDescent="0.35"/>
    <row r="447" customFormat="1" hidden="1" x14ac:dyDescent="0.35"/>
    <row r="448" customFormat="1" hidden="1" x14ac:dyDescent="0.35"/>
    <row r="449" customFormat="1" hidden="1" x14ac:dyDescent="0.35"/>
    <row r="450" customFormat="1" hidden="1" x14ac:dyDescent="0.35"/>
    <row r="451" customFormat="1" hidden="1" x14ac:dyDescent="0.35"/>
    <row r="452" customFormat="1" hidden="1" x14ac:dyDescent="0.35"/>
    <row r="453" customFormat="1" hidden="1" x14ac:dyDescent="0.35"/>
    <row r="454" customFormat="1" hidden="1" x14ac:dyDescent="0.35"/>
    <row r="455" customFormat="1" hidden="1" x14ac:dyDescent="0.35"/>
    <row r="456" customFormat="1" hidden="1" x14ac:dyDescent="0.35"/>
    <row r="457" customFormat="1" hidden="1" x14ac:dyDescent="0.35"/>
    <row r="458" customFormat="1" hidden="1" x14ac:dyDescent="0.35"/>
    <row r="459" customFormat="1" hidden="1" x14ac:dyDescent="0.35"/>
    <row r="460" customFormat="1" hidden="1" x14ac:dyDescent="0.35"/>
    <row r="461" customFormat="1" hidden="1" x14ac:dyDescent="0.35"/>
    <row r="462" customFormat="1" hidden="1" x14ac:dyDescent="0.35"/>
    <row r="463" customFormat="1" hidden="1" x14ac:dyDescent="0.35"/>
    <row r="464" customFormat="1" hidden="1" x14ac:dyDescent="0.35"/>
    <row r="465" customFormat="1" hidden="1" x14ac:dyDescent="0.35"/>
    <row r="466" customFormat="1" hidden="1" x14ac:dyDescent="0.35"/>
    <row r="467" customFormat="1" hidden="1" x14ac:dyDescent="0.35"/>
    <row r="468" customFormat="1" hidden="1" x14ac:dyDescent="0.35"/>
    <row r="469" customFormat="1" hidden="1" x14ac:dyDescent="0.35"/>
    <row r="470" customFormat="1" hidden="1" x14ac:dyDescent="0.35"/>
    <row r="471" customFormat="1" hidden="1" x14ac:dyDescent="0.35"/>
    <row r="472" customFormat="1" hidden="1" x14ac:dyDescent="0.35"/>
    <row r="473" customFormat="1" hidden="1" x14ac:dyDescent="0.35"/>
    <row r="474" customFormat="1" hidden="1" x14ac:dyDescent="0.35"/>
    <row r="475" customFormat="1" hidden="1" x14ac:dyDescent="0.35"/>
    <row r="476" customFormat="1" hidden="1" x14ac:dyDescent="0.35"/>
    <row r="477" customFormat="1" hidden="1" x14ac:dyDescent="0.35"/>
    <row r="478" customFormat="1" hidden="1" x14ac:dyDescent="0.35"/>
    <row r="479" customFormat="1" hidden="1" x14ac:dyDescent="0.35"/>
    <row r="480" customFormat="1" hidden="1" x14ac:dyDescent="0.35"/>
    <row r="481" customFormat="1" hidden="1" x14ac:dyDescent="0.35"/>
    <row r="482" customFormat="1" hidden="1" x14ac:dyDescent="0.35"/>
    <row r="483" customFormat="1" hidden="1" x14ac:dyDescent="0.35"/>
    <row r="484" customFormat="1" hidden="1" x14ac:dyDescent="0.35"/>
    <row r="485" customFormat="1" hidden="1" x14ac:dyDescent="0.35"/>
    <row r="486" customFormat="1" hidden="1" x14ac:dyDescent="0.35"/>
    <row r="487" customFormat="1" hidden="1" x14ac:dyDescent="0.35"/>
    <row r="488" customFormat="1" hidden="1" x14ac:dyDescent="0.35"/>
    <row r="489" customFormat="1" hidden="1" x14ac:dyDescent="0.35"/>
    <row r="490" customFormat="1" hidden="1" x14ac:dyDescent="0.35"/>
    <row r="491" customFormat="1" hidden="1" x14ac:dyDescent="0.35"/>
    <row r="492" customFormat="1" hidden="1" x14ac:dyDescent="0.35"/>
    <row r="493" customFormat="1" hidden="1" x14ac:dyDescent="0.35"/>
    <row r="494" customFormat="1" hidden="1" x14ac:dyDescent="0.35"/>
    <row r="495" customFormat="1" hidden="1" x14ac:dyDescent="0.35"/>
    <row r="496" customFormat="1" hidden="1" x14ac:dyDescent="0.35"/>
    <row r="497" customFormat="1" hidden="1" x14ac:dyDescent="0.35"/>
    <row r="498" customFormat="1" hidden="1" x14ac:dyDescent="0.35"/>
    <row r="499" customFormat="1" hidden="1" x14ac:dyDescent="0.35"/>
    <row r="500" customFormat="1" hidden="1" x14ac:dyDescent="0.35"/>
    <row r="501" customFormat="1" hidden="1" x14ac:dyDescent="0.35"/>
    <row r="502" customFormat="1" hidden="1" x14ac:dyDescent="0.35"/>
    <row r="503" customFormat="1" hidden="1" x14ac:dyDescent="0.35"/>
    <row r="504" customFormat="1" hidden="1" x14ac:dyDescent="0.35"/>
    <row r="505" customFormat="1" hidden="1" x14ac:dyDescent="0.35"/>
    <row r="506" customFormat="1" hidden="1" x14ac:dyDescent="0.35"/>
    <row r="507" customFormat="1" hidden="1" x14ac:dyDescent="0.35"/>
    <row r="508" customFormat="1" hidden="1" x14ac:dyDescent="0.35"/>
    <row r="509" customFormat="1" hidden="1" x14ac:dyDescent="0.35"/>
    <row r="510" customFormat="1" hidden="1" x14ac:dyDescent="0.35"/>
    <row r="511" customFormat="1" hidden="1" x14ac:dyDescent="0.35"/>
    <row r="512" customFormat="1" hidden="1" x14ac:dyDescent="0.35"/>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customFormat="1" hidden="1" x14ac:dyDescent="0.35"/>
    <row r="626" customFormat="1" hidden="1" x14ac:dyDescent="0.35"/>
    <row r="627" customFormat="1" hidden="1" x14ac:dyDescent="0.35"/>
    <row r="628" customFormat="1" hidden="1" x14ac:dyDescent="0.35"/>
    <row r="629" customFormat="1" hidden="1" x14ac:dyDescent="0.35"/>
    <row r="630" customFormat="1" hidden="1" x14ac:dyDescent="0.35"/>
    <row r="631" customFormat="1" hidden="1" x14ac:dyDescent="0.35"/>
    <row r="632" customFormat="1" hidden="1" x14ac:dyDescent="0.35"/>
    <row r="633" customFormat="1" hidden="1" x14ac:dyDescent="0.35"/>
    <row r="634" customFormat="1" hidden="1" x14ac:dyDescent="0.35"/>
    <row r="635" customFormat="1" hidden="1" x14ac:dyDescent="0.35"/>
    <row r="636" customFormat="1" hidden="1" x14ac:dyDescent="0.35"/>
    <row r="637" customFormat="1" hidden="1" x14ac:dyDescent="0.35"/>
    <row r="638" customFormat="1" hidden="1" x14ac:dyDescent="0.35"/>
    <row r="639" customFormat="1" hidden="1" x14ac:dyDescent="0.35"/>
    <row r="640" customFormat="1" hidden="1" x14ac:dyDescent="0.35"/>
    <row r="641" customFormat="1" hidden="1" x14ac:dyDescent="0.35"/>
    <row r="642" customFormat="1" hidden="1" x14ac:dyDescent="0.35"/>
    <row r="643" customFormat="1" hidden="1" x14ac:dyDescent="0.35"/>
    <row r="644" customFormat="1" hidden="1" x14ac:dyDescent="0.35"/>
    <row r="645" customFormat="1" hidden="1" x14ac:dyDescent="0.35"/>
    <row r="646" customFormat="1" hidden="1" x14ac:dyDescent="0.35"/>
    <row r="647" customFormat="1" hidden="1" x14ac:dyDescent="0.35"/>
    <row r="648" customFormat="1" hidden="1" x14ac:dyDescent="0.35"/>
    <row r="649" customFormat="1" hidden="1" x14ac:dyDescent="0.35"/>
    <row r="650" customFormat="1" hidden="1" x14ac:dyDescent="0.35"/>
    <row r="651" customFormat="1" hidden="1" x14ac:dyDescent="0.35"/>
    <row r="652" customFormat="1" hidden="1" x14ac:dyDescent="0.35"/>
    <row r="653" customFormat="1" hidden="1" x14ac:dyDescent="0.35"/>
    <row r="654" customFormat="1" hidden="1" x14ac:dyDescent="0.35"/>
    <row r="655" customFormat="1" hidden="1" x14ac:dyDescent="0.35"/>
    <row r="656" customFormat="1" hidden="1" x14ac:dyDescent="0.35"/>
    <row r="657" customFormat="1" hidden="1" x14ac:dyDescent="0.35"/>
    <row r="658" customFormat="1" hidden="1" x14ac:dyDescent="0.35"/>
    <row r="659" customFormat="1" hidden="1" x14ac:dyDescent="0.35"/>
    <row r="660" customFormat="1" hidden="1" x14ac:dyDescent="0.35"/>
    <row r="661" customFormat="1" hidden="1" x14ac:dyDescent="0.35"/>
    <row r="662" customFormat="1" hidden="1" x14ac:dyDescent="0.35"/>
    <row r="663" customFormat="1" hidden="1" x14ac:dyDescent="0.35"/>
    <row r="664" customFormat="1" hidden="1" x14ac:dyDescent="0.35"/>
    <row r="665" customFormat="1" hidden="1" x14ac:dyDescent="0.35"/>
    <row r="666" customFormat="1" hidden="1" x14ac:dyDescent="0.35"/>
    <row r="667" customFormat="1" hidden="1" x14ac:dyDescent="0.35"/>
    <row r="668" customFormat="1" hidden="1" x14ac:dyDescent="0.35"/>
    <row r="669" customFormat="1" hidden="1" x14ac:dyDescent="0.35"/>
    <row r="670" customFormat="1" hidden="1" x14ac:dyDescent="0.35"/>
    <row r="671" customFormat="1" hidden="1" x14ac:dyDescent="0.35"/>
    <row r="672" customFormat="1" hidden="1" x14ac:dyDescent="0.35"/>
    <row r="673" customFormat="1" hidden="1" x14ac:dyDescent="0.35"/>
    <row r="674" customFormat="1" hidden="1" x14ac:dyDescent="0.35"/>
    <row r="675" customFormat="1" hidden="1" x14ac:dyDescent="0.35"/>
    <row r="676" customFormat="1" hidden="1" x14ac:dyDescent="0.35"/>
    <row r="677" customFormat="1" hidden="1" x14ac:dyDescent="0.35"/>
    <row r="678" customFormat="1" hidden="1" x14ac:dyDescent="0.35"/>
    <row r="679" customFormat="1" hidden="1" x14ac:dyDescent="0.35"/>
    <row r="680" customFormat="1" hidden="1" x14ac:dyDescent="0.35"/>
    <row r="681" customFormat="1" hidden="1" x14ac:dyDescent="0.35"/>
    <row r="682" customFormat="1" hidden="1" x14ac:dyDescent="0.35"/>
    <row r="683" customFormat="1" hidden="1" x14ac:dyDescent="0.35"/>
    <row r="684" customFormat="1" hidden="1" x14ac:dyDescent="0.35"/>
    <row r="685" customFormat="1" hidden="1" x14ac:dyDescent="0.35"/>
    <row r="686" customFormat="1" hidden="1" x14ac:dyDescent="0.35"/>
    <row r="687" customFormat="1" hidden="1" x14ac:dyDescent="0.35"/>
    <row r="688" customFormat="1" hidden="1" x14ac:dyDescent="0.35"/>
    <row r="689" customFormat="1" hidden="1" x14ac:dyDescent="0.35"/>
    <row r="690" customFormat="1" hidden="1" x14ac:dyDescent="0.35"/>
    <row r="691" customFormat="1" hidden="1" x14ac:dyDescent="0.35"/>
    <row r="692" customFormat="1" hidden="1" x14ac:dyDescent="0.35"/>
    <row r="693" customFormat="1" hidden="1" x14ac:dyDescent="0.35"/>
    <row r="694" customFormat="1" hidden="1" x14ac:dyDescent="0.35"/>
    <row r="695" customFormat="1" hidden="1" x14ac:dyDescent="0.35"/>
    <row r="696" customFormat="1" hidden="1" x14ac:dyDescent="0.35"/>
    <row r="697" customFormat="1" hidden="1" x14ac:dyDescent="0.35"/>
    <row r="698" customFormat="1" hidden="1" x14ac:dyDescent="0.35"/>
    <row r="699" customFormat="1" hidden="1" x14ac:dyDescent="0.35"/>
    <row r="700" customFormat="1" hidden="1" x14ac:dyDescent="0.35"/>
    <row r="701" customFormat="1" hidden="1" x14ac:dyDescent="0.35"/>
    <row r="702" customFormat="1" hidden="1" x14ac:dyDescent="0.35"/>
    <row r="703" customFormat="1" hidden="1" x14ac:dyDescent="0.35"/>
    <row r="704" customFormat="1" hidden="1" x14ac:dyDescent="0.35"/>
    <row r="705" customFormat="1" hidden="1" x14ac:dyDescent="0.35"/>
    <row r="706" customFormat="1" hidden="1" x14ac:dyDescent="0.35"/>
    <row r="707" customFormat="1" hidden="1" x14ac:dyDescent="0.35"/>
    <row r="708" customFormat="1" hidden="1" x14ac:dyDescent="0.35"/>
    <row r="709" customFormat="1" hidden="1" x14ac:dyDescent="0.35"/>
    <row r="710" customFormat="1" hidden="1" x14ac:dyDescent="0.35"/>
    <row r="711" customFormat="1" hidden="1" x14ac:dyDescent="0.35"/>
    <row r="712" customFormat="1" hidden="1" x14ac:dyDescent="0.35"/>
    <row r="713" customFormat="1" hidden="1" x14ac:dyDescent="0.35"/>
    <row r="714" customFormat="1" hidden="1" x14ac:dyDescent="0.35"/>
    <row r="715" customFormat="1" hidden="1" x14ac:dyDescent="0.35"/>
    <row r="716" customFormat="1" hidden="1" x14ac:dyDescent="0.35"/>
    <row r="717" customFormat="1" hidden="1" x14ac:dyDescent="0.35"/>
    <row r="718" customFormat="1" hidden="1" x14ac:dyDescent="0.35"/>
    <row r="719" customFormat="1" hidden="1" x14ac:dyDescent="0.35"/>
    <row r="720" customFormat="1" hidden="1" x14ac:dyDescent="0.35"/>
    <row r="721" customFormat="1" hidden="1" x14ac:dyDescent="0.35"/>
    <row r="722" customFormat="1" hidden="1" x14ac:dyDescent="0.35"/>
    <row r="723" customFormat="1" hidden="1" x14ac:dyDescent="0.35"/>
    <row r="724" customFormat="1" hidden="1" x14ac:dyDescent="0.35"/>
    <row r="725" customFormat="1" hidden="1" x14ac:dyDescent="0.35"/>
    <row r="726" customFormat="1" hidden="1" x14ac:dyDescent="0.35"/>
    <row r="727" customFormat="1" hidden="1" x14ac:dyDescent="0.35"/>
    <row r="728" customFormat="1" hidden="1" x14ac:dyDescent="0.35"/>
    <row r="729" customFormat="1" hidden="1" x14ac:dyDescent="0.35"/>
    <row r="730" customFormat="1" hidden="1" x14ac:dyDescent="0.35"/>
    <row r="731" customFormat="1" hidden="1" x14ac:dyDescent="0.35"/>
    <row r="732" customFormat="1" hidden="1" x14ac:dyDescent="0.35"/>
    <row r="733" customFormat="1" hidden="1" x14ac:dyDescent="0.35"/>
    <row r="734" customFormat="1" hidden="1" x14ac:dyDescent="0.35"/>
    <row r="735" customFormat="1" hidden="1" x14ac:dyDescent="0.35"/>
    <row r="736" customFormat="1" hidden="1" x14ac:dyDescent="0.35"/>
    <row r="737" customFormat="1" hidden="1" x14ac:dyDescent="0.35"/>
    <row r="738" customFormat="1" hidden="1" x14ac:dyDescent="0.35"/>
    <row r="739" customFormat="1" hidden="1" x14ac:dyDescent="0.35"/>
    <row r="740" customFormat="1" hidden="1" x14ac:dyDescent="0.35"/>
    <row r="741" customFormat="1" hidden="1" x14ac:dyDescent="0.35"/>
    <row r="742" customFormat="1" hidden="1" x14ac:dyDescent="0.35"/>
    <row r="743" customFormat="1" hidden="1" x14ac:dyDescent="0.35"/>
    <row r="744" customFormat="1" hidden="1" x14ac:dyDescent="0.35"/>
    <row r="745" customFormat="1" hidden="1" x14ac:dyDescent="0.35"/>
    <row r="746" customFormat="1" hidden="1" x14ac:dyDescent="0.35"/>
    <row r="747" customFormat="1" hidden="1" x14ac:dyDescent="0.35"/>
    <row r="748" customFormat="1" hidden="1" x14ac:dyDescent="0.35"/>
    <row r="749" customFormat="1" hidden="1" x14ac:dyDescent="0.35"/>
    <row r="750" customFormat="1" hidden="1" x14ac:dyDescent="0.35"/>
    <row r="751" customFormat="1" hidden="1" x14ac:dyDescent="0.35"/>
    <row r="752" customFormat="1" hidden="1" x14ac:dyDescent="0.35"/>
    <row r="753" customFormat="1" hidden="1" x14ac:dyDescent="0.35"/>
    <row r="754" customFormat="1" hidden="1" x14ac:dyDescent="0.35"/>
    <row r="755" customFormat="1" hidden="1" x14ac:dyDescent="0.35"/>
    <row r="756" customFormat="1" hidden="1" x14ac:dyDescent="0.35"/>
    <row r="757" customFormat="1" hidden="1" x14ac:dyDescent="0.35"/>
    <row r="758" customFormat="1" hidden="1" x14ac:dyDescent="0.35"/>
    <row r="759" customFormat="1" hidden="1" x14ac:dyDescent="0.35"/>
    <row r="760" customFormat="1" hidden="1" x14ac:dyDescent="0.35"/>
    <row r="761" customFormat="1" hidden="1" x14ac:dyDescent="0.35"/>
    <row r="762" customFormat="1" hidden="1" x14ac:dyDescent="0.35"/>
    <row r="763" customFormat="1" hidden="1" x14ac:dyDescent="0.35"/>
    <row r="764" customFormat="1" hidden="1" x14ac:dyDescent="0.35"/>
    <row r="765" customFormat="1" hidden="1" x14ac:dyDescent="0.35"/>
    <row r="766" customFormat="1" hidden="1" x14ac:dyDescent="0.35"/>
    <row r="767" customFormat="1" hidden="1" x14ac:dyDescent="0.35"/>
    <row r="768" customFormat="1" hidden="1" x14ac:dyDescent="0.35"/>
    <row r="769" customFormat="1" hidden="1" x14ac:dyDescent="0.35"/>
    <row r="770" customFormat="1" hidden="1" x14ac:dyDescent="0.35"/>
    <row r="771" customFormat="1" hidden="1" x14ac:dyDescent="0.35"/>
    <row r="772" customFormat="1" hidden="1" x14ac:dyDescent="0.35"/>
    <row r="773" customFormat="1" hidden="1" x14ac:dyDescent="0.35"/>
    <row r="774" customFormat="1" hidden="1" x14ac:dyDescent="0.35"/>
    <row r="775" customFormat="1" hidden="1" x14ac:dyDescent="0.35"/>
    <row r="776" customFormat="1" hidden="1" x14ac:dyDescent="0.35"/>
    <row r="777" customFormat="1" hidden="1" x14ac:dyDescent="0.35"/>
    <row r="778" customFormat="1" hidden="1" x14ac:dyDescent="0.35"/>
    <row r="779" customFormat="1" hidden="1" x14ac:dyDescent="0.35"/>
    <row r="780" customFormat="1" hidden="1" x14ac:dyDescent="0.35"/>
    <row r="781" customFormat="1" hidden="1" x14ac:dyDescent="0.35"/>
    <row r="782" customFormat="1" hidden="1" x14ac:dyDescent="0.35"/>
    <row r="783" customFormat="1" hidden="1" x14ac:dyDescent="0.35"/>
    <row r="784" customFormat="1" hidden="1" x14ac:dyDescent="0.35"/>
    <row r="785" customFormat="1" hidden="1" x14ac:dyDescent="0.35"/>
    <row r="786" customFormat="1" hidden="1" x14ac:dyDescent="0.35"/>
    <row r="787" customFormat="1" hidden="1" x14ac:dyDescent="0.35"/>
    <row r="788" customFormat="1" hidden="1" x14ac:dyDescent="0.35"/>
    <row r="789" customFormat="1" hidden="1" x14ac:dyDescent="0.35"/>
    <row r="790" customFormat="1" hidden="1" x14ac:dyDescent="0.35"/>
    <row r="791" customFormat="1" hidden="1" x14ac:dyDescent="0.35"/>
    <row r="792" customFormat="1" hidden="1" x14ac:dyDescent="0.35"/>
    <row r="793" customFormat="1" hidden="1" x14ac:dyDescent="0.35"/>
    <row r="794" customFormat="1" hidden="1" x14ac:dyDescent="0.35"/>
    <row r="795" customFormat="1" hidden="1" x14ac:dyDescent="0.35"/>
    <row r="796" customFormat="1" hidden="1" x14ac:dyDescent="0.35"/>
    <row r="797" customFormat="1" hidden="1" x14ac:dyDescent="0.35"/>
    <row r="798" customFormat="1" hidden="1" x14ac:dyDescent="0.35"/>
    <row r="799" customFormat="1" hidden="1" x14ac:dyDescent="0.35"/>
    <row r="800" customFormat="1" hidden="1" x14ac:dyDescent="0.35"/>
    <row r="801" customFormat="1" hidden="1" x14ac:dyDescent="0.35"/>
    <row r="802" customFormat="1" hidden="1" x14ac:dyDescent="0.35"/>
    <row r="803" customFormat="1" hidden="1" x14ac:dyDescent="0.35"/>
    <row r="804" customFormat="1" hidden="1" x14ac:dyDescent="0.35"/>
    <row r="805" customFormat="1" hidden="1" x14ac:dyDescent="0.35"/>
    <row r="806" customFormat="1" hidden="1" x14ac:dyDescent="0.35"/>
    <row r="807" customFormat="1" hidden="1" x14ac:dyDescent="0.35"/>
    <row r="808" customFormat="1" hidden="1" x14ac:dyDescent="0.35"/>
    <row r="809" customFormat="1" hidden="1" x14ac:dyDescent="0.35"/>
    <row r="810" customFormat="1" hidden="1" x14ac:dyDescent="0.35"/>
    <row r="811" customFormat="1" hidden="1" x14ac:dyDescent="0.35"/>
    <row r="812" customFormat="1" hidden="1" x14ac:dyDescent="0.35"/>
    <row r="813" customFormat="1" hidden="1" x14ac:dyDescent="0.35"/>
    <row r="814" customFormat="1" hidden="1" x14ac:dyDescent="0.35"/>
    <row r="815" customFormat="1" hidden="1" x14ac:dyDescent="0.35"/>
    <row r="816" customFormat="1" hidden="1" x14ac:dyDescent="0.35"/>
    <row r="817" customFormat="1" hidden="1" x14ac:dyDescent="0.35"/>
    <row r="818" customFormat="1" hidden="1" x14ac:dyDescent="0.35"/>
    <row r="819" customFormat="1" hidden="1" x14ac:dyDescent="0.35"/>
    <row r="820" customFormat="1" hidden="1" x14ac:dyDescent="0.35"/>
    <row r="821" customFormat="1" hidden="1" x14ac:dyDescent="0.35"/>
    <row r="822" customFormat="1" hidden="1" x14ac:dyDescent="0.35"/>
    <row r="823" customFormat="1" hidden="1" x14ac:dyDescent="0.35"/>
    <row r="824" customFormat="1" hidden="1" x14ac:dyDescent="0.35"/>
    <row r="825" customFormat="1" hidden="1" x14ac:dyDescent="0.35"/>
    <row r="826" customFormat="1" hidden="1" x14ac:dyDescent="0.35"/>
    <row r="827" customFormat="1" hidden="1" x14ac:dyDescent="0.35"/>
    <row r="828" customFormat="1" hidden="1" x14ac:dyDescent="0.35"/>
    <row r="829" customFormat="1" hidden="1" x14ac:dyDescent="0.35"/>
    <row r="830" customFormat="1" hidden="1" x14ac:dyDescent="0.35"/>
    <row r="831" customFormat="1" hidden="1" x14ac:dyDescent="0.35"/>
    <row r="832" customFormat="1" hidden="1" x14ac:dyDescent="0.35"/>
    <row r="833" customFormat="1" hidden="1" x14ac:dyDescent="0.35"/>
    <row r="834" customFormat="1" hidden="1" x14ac:dyDescent="0.35"/>
    <row r="835" customFormat="1" hidden="1" x14ac:dyDescent="0.35"/>
    <row r="836" customFormat="1" hidden="1" x14ac:dyDescent="0.35"/>
    <row r="837" customFormat="1" hidden="1" x14ac:dyDescent="0.35"/>
    <row r="838" customFormat="1" hidden="1" x14ac:dyDescent="0.35"/>
    <row r="839" customFormat="1" hidden="1" x14ac:dyDescent="0.35"/>
    <row r="840" customFormat="1" hidden="1" x14ac:dyDescent="0.35"/>
    <row r="841" customFormat="1" hidden="1" x14ac:dyDescent="0.35"/>
    <row r="842" customFormat="1" hidden="1" x14ac:dyDescent="0.35"/>
    <row r="843" customFormat="1" hidden="1" x14ac:dyDescent="0.35"/>
    <row r="844" customFormat="1" hidden="1" x14ac:dyDescent="0.35"/>
    <row r="845" customFormat="1" hidden="1" x14ac:dyDescent="0.35"/>
    <row r="846" customFormat="1" hidden="1" x14ac:dyDescent="0.35"/>
    <row r="847" customFormat="1" hidden="1" x14ac:dyDescent="0.35"/>
    <row r="848" customFormat="1" hidden="1" x14ac:dyDescent="0.35"/>
    <row r="849" customFormat="1" hidden="1" x14ac:dyDescent="0.35"/>
    <row r="850" customFormat="1" hidden="1" x14ac:dyDescent="0.35"/>
    <row r="851" customFormat="1" hidden="1" x14ac:dyDescent="0.35"/>
    <row r="852" customFormat="1" hidden="1" x14ac:dyDescent="0.35"/>
    <row r="853" customFormat="1" hidden="1" x14ac:dyDescent="0.35"/>
    <row r="854" customFormat="1" hidden="1" x14ac:dyDescent="0.35"/>
    <row r="855" customFormat="1" hidden="1" x14ac:dyDescent="0.35"/>
    <row r="856" customFormat="1" hidden="1" x14ac:dyDescent="0.35"/>
    <row r="857" customFormat="1" hidden="1" x14ac:dyDescent="0.35"/>
    <row r="858" customFormat="1" hidden="1" x14ac:dyDescent="0.35"/>
    <row r="859" customFormat="1" hidden="1" x14ac:dyDescent="0.35"/>
    <row r="860" customFormat="1" hidden="1" x14ac:dyDescent="0.35"/>
    <row r="861" customFormat="1" hidden="1" x14ac:dyDescent="0.35"/>
    <row r="862" customFormat="1" hidden="1" x14ac:dyDescent="0.35"/>
    <row r="863" customFormat="1" hidden="1" x14ac:dyDescent="0.35"/>
    <row r="864" customFormat="1" hidden="1" x14ac:dyDescent="0.35"/>
    <row r="865" customFormat="1" hidden="1" x14ac:dyDescent="0.35"/>
    <row r="866" customFormat="1" hidden="1" x14ac:dyDescent="0.35"/>
    <row r="867" customFormat="1" hidden="1" x14ac:dyDescent="0.35"/>
    <row r="868" customFormat="1" hidden="1" x14ac:dyDescent="0.35"/>
    <row r="869" customFormat="1" hidden="1" x14ac:dyDescent="0.35"/>
    <row r="870" customFormat="1" hidden="1" x14ac:dyDescent="0.35"/>
    <row r="871" customFormat="1" hidden="1" x14ac:dyDescent="0.35"/>
    <row r="872" customFormat="1" hidden="1" x14ac:dyDescent="0.35"/>
    <row r="873" customFormat="1" hidden="1" x14ac:dyDescent="0.35"/>
    <row r="874" customFormat="1" hidden="1" x14ac:dyDescent="0.35"/>
    <row r="875" customFormat="1" hidden="1" x14ac:dyDescent="0.35"/>
    <row r="876" customFormat="1" hidden="1" x14ac:dyDescent="0.35"/>
    <row r="877" customFormat="1" hidden="1" x14ac:dyDescent="0.35"/>
    <row r="878" customFormat="1" hidden="1" x14ac:dyDescent="0.35"/>
    <row r="879" customFormat="1" hidden="1" x14ac:dyDescent="0.35"/>
    <row r="880" customFormat="1" hidden="1" x14ac:dyDescent="0.35"/>
    <row r="881" customFormat="1" hidden="1" x14ac:dyDescent="0.35"/>
    <row r="882" customFormat="1" hidden="1" x14ac:dyDescent="0.35"/>
    <row r="883" customFormat="1" hidden="1" x14ac:dyDescent="0.35"/>
    <row r="884" customFormat="1" hidden="1" x14ac:dyDescent="0.35"/>
    <row r="885" customFormat="1" hidden="1" x14ac:dyDescent="0.35"/>
    <row r="886" customFormat="1" hidden="1" x14ac:dyDescent="0.35"/>
    <row r="887" customFormat="1" hidden="1" x14ac:dyDescent="0.35"/>
    <row r="888" customFormat="1" hidden="1" x14ac:dyDescent="0.35"/>
    <row r="889" customFormat="1" hidden="1" x14ac:dyDescent="0.35"/>
    <row r="890" customFormat="1" hidden="1" x14ac:dyDescent="0.35"/>
    <row r="891" customFormat="1" hidden="1" x14ac:dyDescent="0.35"/>
    <row r="892" customFormat="1" hidden="1" x14ac:dyDescent="0.35"/>
    <row r="893" customFormat="1" hidden="1" x14ac:dyDescent="0.35"/>
    <row r="894" customFormat="1" hidden="1" x14ac:dyDescent="0.35"/>
    <row r="895" customFormat="1" hidden="1" x14ac:dyDescent="0.35"/>
    <row r="896" customFormat="1" hidden="1" x14ac:dyDescent="0.35"/>
    <row r="897" customFormat="1" hidden="1" x14ac:dyDescent="0.35"/>
    <row r="898" customFormat="1" hidden="1" x14ac:dyDescent="0.35"/>
    <row r="899" customFormat="1" hidden="1" x14ac:dyDescent="0.35"/>
    <row r="900" customFormat="1" hidden="1" x14ac:dyDescent="0.35"/>
    <row r="901" customFormat="1" hidden="1" x14ac:dyDescent="0.35"/>
    <row r="902" customFormat="1" hidden="1" x14ac:dyDescent="0.35"/>
    <row r="903" customFormat="1" hidden="1" x14ac:dyDescent="0.35"/>
    <row r="904" customFormat="1" hidden="1" x14ac:dyDescent="0.35"/>
    <row r="905" customFormat="1" hidden="1" x14ac:dyDescent="0.35"/>
    <row r="906" customFormat="1" hidden="1" x14ac:dyDescent="0.35"/>
    <row r="907" customFormat="1" hidden="1" x14ac:dyDescent="0.35"/>
    <row r="908" customFormat="1" hidden="1" x14ac:dyDescent="0.35"/>
    <row r="909" customFormat="1" hidden="1" x14ac:dyDescent="0.35"/>
    <row r="910" customFormat="1" hidden="1" x14ac:dyDescent="0.35"/>
    <row r="911" customFormat="1" hidden="1" x14ac:dyDescent="0.35"/>
    <row r="912" customFormat="1" hidden="1" x14ac:dyDescent="0.35"/>
    <row r="913" customFormat="1" hidden="1" x14ac:dyDescent="0.35"/>
    <row r="914" customFormat="1" hidden="1" x14ac:dyDescent="0.35"/>
    <row r="915" customFormat="1" hidden="1" x14ac:dyDescent="0.35"/>
    <row r="916" customFormat="1" hidden="1" x14ac:dyDescent="0.35"/>
    <row r="917" customFormat="1" hidden="1" x14ac:dyDescent="0.35"/>
    <row r="918" customFormat="1" hidden="1" x14ac:dyDescent="0.35"/>
    <row r="919" customFormat="1" hidden="1" x14ac:dyDescent="0.35"/>
    <row r="920" customFormat="1" hidden="1" x14ac:dyDescent="0.35"/>
    <row r="921" customFormat="1" hidden="1" x14ac:dyDescent="0.35"/>
    <row r="922" customFormat="1" hidden="1" x14ac:dyDescent="0.35"/>
    <row r="923" customFormat="1" hidden="1" x14ac:dyDescent="0.35"/>
    <row r="924" customFormat="1" hidden="1" x14ac:dyDescent="0.35"/>
    <row r="925" customFormat="1" hidden="1" x14ac:dyDescent="0.35"/>
    <row r="926" customFormat="1" hidden="1" x14ac:dyDescent="0.35"/>
    <row r="927" customFormat="1" hidden="1" x14ac:dyDescent="0.35"/>
    <row r="928" customFormat="1" hidden="1" x14ac:dyDescent="0.35"/>
    <row r="929" customFormat="1" hidden="1" x14ac:dyDescent="0.35"/>
    <row r="930" customFormat="1" hidden="1" x14ac:dyDescent="0.35"/>
    <row r="931" customFormat="1" hidden="1" x14ac:dyDescent="0.35"/>
    <row r="932" customFormat="1" hidden="1" x14ac:dyDescent="0.35"/>
    <row r="933" customFormat="1" hidden="1" x14ac:dyDescent="0.35"/>
    <row r="934" customFormat="1" hidden="1" x14ac:dyDescent="0.35"/>
    <row r="935" customFormat="1" hidden="1" x14ac:dyDescent="0.35"/>
    <row r="936" customFormat="1" hidden="1" x14ac:dyDescent="0.35"/>
    <row r="937" customFormat="1" hidden="1" x14ac:dyDescent="0.35"/>
    <row r="938" customFormat="1" hidden="1" x14ac:dyDescent="0.35"/>
    <row r="939" customFormat="1" hidden="1" x14ac:dyDescent="0.35"/>
    <row r="940" customFormat="1" hidden="1" x14ac:dyDescent="0.35"/>
    <row r="941" customFormat="1" hidden="1" x14ac:dyDescent="0.35"/>
    <row r="942" customFormat="1" hidden="1" x14ac:dyDescent="0.35"/>
    <row r="943" customFormat="1" hidden="1" x14ac:dyDescent="0.35"/>
    <row r="944" customFormat="1" hidden="1" x14ac:dyDescent="0.35"/>
    <row r="945" customFormat="1" hidden="1" x14ac:dyDescent="0.35"/>
    <row r="946" customFormat="1" hidden="1" x14ac:dyDescent="0.35"/>
    <row r="947" customFormat="1" hidden="1" x14ac:dyDescent="0.35"/>
    <row r="948" customFormat="1" hidden="1" x14ac:dyDescent="0.35"/>
    <row r="949" customFormat="1" hidden="1" x14ac:dyDescent="0.35"/>
    <row r="950" customFormat="1" hidden="1" x14ac:dyDescent="0.35"/>
    <row r="951" customFormat="1" hidden="1" x14ac:dyDescent="0.35"/>
    <row r="952" customFormat="1" hidden="1" x14ac:dyDescent="0.35"/>
    <row r="953" customFormat="1" hidden="1" x14ac:dyDescent="0.35"/>
    <row r="954" customFormat="1" hidden="1" x14ac:dyDescent="0.35"/>
    <row r="955" customFormat="1" hidden="1" x14ac:dyDescent="0.35"/>
    <row r="956" customFormat="1" hidden="1" x14ac:dyDescent="0.35"/>
    <row r="957" customFormat="1" hidden="1" x14ac:dyDescent="0.35"/>
    <row r="958" customFormat="1" hidden="1" x14ac:dyDescent="0.35"/>
    <row r="959" customFormat="1" hidden="1" x14ac:dyDescent="0.35"/>
    <row r="960" customFormat="1" hidden="1" x14ac:dyDescent="0.35"/>
    <row r="961" customFormat="1" hidden="1" x14ac:dyDescent="0.35"/>
    <row r="962" customFormat="1" hidden="1" x14ac:dyDescent="0.35"/>
    <row r="963" customFormat="1" hidden="1" x14ac:dyDescent="0.35"/>
    <row r="964" customFormat="1" hidden="1" x14ac:dyDescent="0.35"/>
    <row r="965" customFormat="1" hidden="1" x14ac:dyDescent="0.35"/>
    <row r="966" customFormat="1" hidden="1" x14ac:dyDescent="0.35"/>
    <row r="967" customFormat="1" hidden="1" x14ac:dyDescent="0.35"/>
    <row r="968" customFormat="1" hidden="1" x14ac:dyDescent="0.35"/>
    <row r="969" customFormat="1" hidden="1" x14ac:dyDescent="0.35"/>
    <row r="970" customFormat="1" hidden="1" x14ac:dyDescent="0.35"/>
    <row r="971" customFormat="1" hidden="1" x14ac:dyDescent="0.35"/>
    <row r="972" customFormat="1" hidden="1" x14ac:dyDescent="0.35"/>
    <row r="973" customFormat="1" hidden="1" x14ac:dyDescent="0.35"/>
    <row r="974" customFormat="1" hidden="1" x14ac:dyDescent="0.35"/>
    <row r="975" customFormat="1" hidden="1" x14ac:dyDescent="0.35"/>
    <row r="976" customFormat="1" hidden="1" x14ac:dyDescent="0.35"/>
    <row r="977" customFormat="1" hidden="1" x14ac:dyDescent="0.35"/>
    <row r="978" customFormat="1" hidden="1" x14ac:dyDescent="0.35"/>
    <row r="979" customFormat="1" hidden="1" x14ac:dyDescent="0.35"/>
    <row r="980" customFormat="1" hidden="1" x14ac:dyDescent="0.35"/>
    <row r="981" customFormat="1" hidden="1" x14ac:dyDescent="0.35"/>
    <row r="982" customFormat="1" hidden="1" x14ac:dyDescent="0.35"/>
    <row r="983" customFormat="1" hidden="1" x14ac:dyDescent="0.35"/>
    <row r="984" customFormat="1" hidden="1" x14ac:dyDescent="0.35"/>
    <row r="985" customFormat="1" hidden="1" x14ac:dyDescent="0.35"/>
    <row r="986" customFormat="1" hidden="1" x14ac:dyDescent="0.35"/>
    <row r="987" customFormat="1" hidden="1" x14ac:dyDescent="0.35"/>
    <row r="988" customFormat="1" hidden="1" x14ac:dyDescent="0.35"/>
    <row r="989" customFormat="1" hidden="1" x14ac:dyDescent="0.35"/>
    <row r="990" customFormat="1" hidden="1" x14ac:dyDescent="0.35"/>
    <row r="991" customFormat="1" hidden="1" x14ac:dyDescent="0.35"/>
    <row r="992" customFormat="1" hidden="1" x14ac:dyDescent="0.35"/>
    <row r="993" customFormat="1" hidden="1" x14ac:dyDescent="0.35"/>
    <row r="994" customFormat="1" hidden="1" x14ac:dyDescent="0.35"/>
    <row r="995" customFormat="1" hidden="1" x14ac:dyDescent="0.35"/>
    <row r="996" customFormat="1" hidden="1" x14ac:dyDescent="0.35"/>
    <row r="997" customFormat="1" hidden="1" x14ac:dyDescent="0.35"/>
    <row r="998" customFormat="1" hidden="1" x14ac:dyDescent="0.35"/>
    <row r="999" customFormat="1" hidden="1" x14ac:dyDescent="0.35"/>
    <row r="1000" customFormat="1" hidden="1" x14ac:dyDescent="0.35"/>
    <row r="1001" customFormat="1" hidden="1" x14ac:dyDescent="0.35"/>
    <row r="1002" customFormat="1" hidden="1" x14ac:dyDescent="0.35"/>
    <row r="1003" customFormat="1" hidden="1" x14ac:dyDescent="0.35"/>
    <row r="1004" customFormat="1" hidden="1" x14ac:dyDescent="0.35"/>
    <row r="1005" customFormat="1" hidden="1" x14ac:dyDescent="0.35"/>
    <row r="1006" customFormat="1" hidden="1" x14ac:dyDescent="0.35"/>
    <row r="1007" customFormat="1" hidden="1" x14ac:dyDescent="0.35"/>
    <row r="1008" customFormat="1" hidden="1" x14ac:dyDescent="0.35"/>
    <row r="1009" customFormat="1" hidden="1" x14ac:dyDescent="0.35"/>
    <row r="1010" customFormat="1" hidden="1" x14ac:dyDescent="0.35"/>
    <row r="1011" customFormat="1" hidden="1" x14ac:dyDescent="0.35"/>
    <row r="1012" customFormat="1" hidden="1" x14ac:dyDescent="0.35"/>
    <row r="1013" customFormat="1" hidden="1" x14ac:dyDescent="0.35"/>
    <row r="1014" customFormat="1" hidden="1" x14ac:dyDescent="0.35"/>
    <row r="1015" customFormat="1" hidden="1" x14ac:dyDescent="0.35"/>
    <row r="1016" customFormat="1" hidden="1" x14ac:dyDescent="0.35"/>
    <row r="1017" customFormat="1" hidden="1" x14ac:dyDescent="0.35"/>
    <row r="1018" customFormat="1" hidden="1" x14ac:dyDescent="0.35"/>
    <row r="1019" customFormat="1" hidden="1" x14ac:dyDescent="0.35"/>
    <row r="1020" customFormat="1" hidden="1" x14ac:dyDescent="0.35"/>
    <row r="1021" customFormat="1" hidden="1" x14ac:dyDescent="0.35"/>
    <row r="1022" customFormat="1" hidden="1" x14ac:dyDescent="0.35"/>
    <row r="1023" customFormat="1" hidden="1" x14ac:dyDescent="0.35"/>
    <row r="1024" customFormat="1" hidden="1" x14ac:dyDescent="0.35"/>
    <row r="1025" customFormat="1" hidden="1" x14ac:dyDescent="0.35"/>
    <row r="1026" customFormat="1" hidden="1" x14ac:dyDescent="0.35"/>
    <row r="1027" customFormat="1" hidden="1" x14ac:dyDescent="0.35"/>
    <row r="1028" customFormat="1" hidden="1" x14ac:dyDescent="0.35"/>
    <row r="1029" customFormat="1" hidden="1" x14ac:dyDescent="0.35"/>
    <row r="1030" customFormat="1" hidden="1" x14ac:dyDescent="0.35"/>
    <row r="1031" customFormat="1" hidden="1" x14ac:dyDescent="0.35"/>
    <row r="1032" customFormat="1" hidden="1" x14ac:dyDescent="0.35"/>
    <row r="1033" customFormat="1" hidden="1" x14ac:dyDescent="0.35"/>
    <row r="1034" customFormat="1" hidden="1" x14ac:dyDescent="0.35"/>
    <row r="1035" customFormat="1" hidden="1" x14ac:dyDescent="0.35"/>
    <row r="1036" customFormat="1" hidden="1" x14ac:dyDescent="0.35"/>
    <row r="1037" customFormat="1" hidden="1" x14ac:dyDescent="0.35"/>
    <row r="1038" customFormat="1" hidden="1" x14ac:dyDescent="0.35"/>
    <row r="1039" customFormat="1" hidden="1" x14ac:dyDescent="0.35"/>
    <row r="1040" customFormat="1" hidden="1" x14ac:dyDescent="0.35"/>
    <row r="1041" customFormat="1" hidden="1" x14ac:dyDescent="0.35"/>
    <row r="1042" customFormat="1" hidden="1" x14ac:dyDescent="0.35"/>
    <row r="1043" customFormat="1" hidden="1" x14ac:dyDescent="0.35"/>
    <row r="1044" customFormat="1" hidden="1" x14ac:dyDescent="0.35"/>
    <row r="1045" customFormat="1" hidden="1" x14ac:dyDescent="0.35"/>
    <row r="1046" customFormat="1" hidden="1" x14ac:dyDescent="0.35"/>
    <row r="1047" customFormat="1" hidden="1" x14ac:dyDescent="0.35"/>
    <row r="1048" customFormat="1" hidden="1" x14ac:dyDescent="0.35"/>
    <row r="1049" customFormat="1" hidden="1" x14ac:dyDescent="0.35"/>
    <row r="1050" customFormat="1" hidden="1" x14ac:dyDescent="0.35"/>
    <row r="1051" customFormat="1" hidden="1" x14ac:dyDescent="0.35"/>
    <row r="1052" customFormat="1" hidden="1" x14ac:dyDescent="0.35"/>
    <row r="1053" customFormat="1" hidden="1" x14ac:dyDescent="0.35"/>
    <row r="1054" customFormat="1" hidden="1" x14ac:dyDescent="0.35"/>
    <row r="1055" customFormat="1" hidden="1" x14ac:dyDescent="0.35"/>
    <row r="1056" customFormat="1" hidden="1" x14ac:dyDescent="0.35"/>
    <row r="1057" customFormat="1" hidden="1" x14ac:dyDescent="0.35"/>
    <row r="1058" customFormat="1" hidden="1" x14ac:dyDescent="0.35"/>
    <row r="1059" customFormat="1" hidden="1" x14ac:dyDescent="0.35"/>
    <row r="1060" customFormat="1" hidden="1" x14ac:dyDescent="0.35"/>
    <row r="1061" customFormat="1" hidden="1" x14ac:dyDescent="0.35"/>
    <row r="1062" customFormat="1" hidden="1" x14ac:dyDescent="0.35"/>
    <row r="1063" customFormat="1" hidden="1" x14ac:dyDescent="0.35"/>
    <row r="1064" customFormat="1" hidden="1" x14ac:dyDescent="0.35"/>
    <row r="1065" customFormat="1" hidden="1" x14ac:dyDescent="0.35"/>
    <row r="1066" customFormat="1" hidden="1" x14ac:dyDescent="0.35"/>
    <row r="1067" customFormat="1" hidden="1" x14ac:dyDescent="0.35"/>
    <row r="1068" customFormat="1" hidden="1" x14ac:dyDescent="0.35"/>
    <row r="1069" customFormat="1" hidden="1" x14ac:dyDescent="0.35"/>
    <row r="1070" customFormat="1" hidden="1" x14ac:dyDescent="0.35"/>
    <row r="1071" customFormat="1" hidden="1" x14ac:dyDescent="0.35"/>
    <row r="1072" customFormat="1" hidden="1" x14ac:dyDescent="0.35"/>
    <row r="1073" customFormat="1" hidden="1" x14ac:dyDescent="0.35"/>
    <row r="1074" customFormat="1" hidden="1" x14ac:dyDescent="0.35"/>
    <row r="1075" customFormat="1" hidden="1" x14ac:dyDescent="0.35"/>
    <row r="1076" customFormat="1" hidden="1" x14ac:dyDescent="0.35"/>
    <row r="1077" customFormat="1" hidden="1" x14ac:dyDescent="0.35"/>
    <row r="1078" customFormat="1" hidden="1" x14ac:dyDescent="0.35"/>
    <row r="1079" customFormat="1" hidden="1" x14ac:dyDescent="0.35"/>
    <row r="1080" customFormat="1" hidden="1" x14ac:dyDescent="0.35"/>
    <row r="1081" customFormat="1" hidden="1" x14ac:dyDescent="0.35"/>
    <row r="1082" customFormat="1" hidden="1" x14ac:dyDescent="0.35"/>
    <row r="1083" customFormat="1" hidden="1" x14ac:dyDescent="0.35"/>
    <row r="1084" customFormat="1" hidden="1" x14ac:dyDescent="0.35"/>
    <row r="1085" customFormat="1" hidden="1" x14ac:dyDescent="0.35"/>
    <row r="1086" customFormat="1" hidden="1" x14ac:dyDescent="0.35"/>
    <row r="1087" customFormat="1" hidden="1" x14ac:dyDescent="0.35"/>
    <row r="1088" customFormat="1" hidden="1" x14ac:dyDescent="0.35"/>
    <row r="1089" customFormat="1" hidden="1" x14ac:dyDescent="0.35"/>
    <row r="1090" customFormat="1" hidden="1" x14ac:dyDescent="0.35"/>
    <row r="1091" customFormat="1" hidden="1" x14ac:dyDescent="0.35"/>
    <row r="1092" customFormat="1" hidden="1" x14ac:dyDescent="0.35"/>
    <row r="1093" customFormat="1" hidden="1" x14ac:dyDescent="0.35"/>
    <row r="1094" customFormat="1" hidden="1" x14ac:dyDescent="0.35"/>
    <row r="1095" customFormat="1" hidden="1" x14ac:dyDescent="0.35"/>
    <row r="1096" customFormat="1" hidden="1" x14ac:dyDescent="0.35"/>
    <row r="1097" customFormat="1" hidden="1" x14ac:dyDescent="0.35"/>
    <row r="1098" customFormat="1" hidden="1" x14ac:dyDescent="0.35"/>
    <row r="1099" customFormat="1" hidden="1" x14ac:dyDescent="0.35"/>
    <row r="1100" customFormat="1" hidden="1" x14ac:dyDescent="0.35"/>
    <row r="1101" customFormat="1" hidden="1" x14ac:dyDescent="0.35"/>
    <row r="1102" customFormat="1" hidden="1" x14ac:dyDescent="0.35"/>
    <row r="1103" customFormat="1" hidden="1" x14ac:dyDescent="0.35"/>
    <row r="1104" customFormat="1" hidden="1" x14ac:dyDescent="0.35"/>
    <row r="1105" customFormat="1" hidden="1" x14ac:dyDescent="0.35"/>
    <row r="1106" customFormat="1" hidden="1" x14ac:dyDescent="0.35"/>
    <row r="1107" customFormat="1" hidden="1" x14ac:dyDescent="0.35"/>
    <row r="1108" customFormat="1" hidden="1" x14ac:dyDescent="0.35"/>
    <row r="1109" customFormat="1" hidden="1" x14ac:dyDescent="0.35"/>
    <row r="1110" customFormat="1" hidden="1" x14ac:dyDescent="0.35"/>
    <row r="1111" customFormat="1" hidden="1" x14ac:dyDescent="0.35"/>
    <row r="1112" customFormat="1" hidden="1" x14ac:dyDescent="0.35"/>
    <row r="1113" customFormat="1" hidden="1" x14ac:dyDescent="0.35"/>
    <row r="1114" customFormat="1" hidden="1" x14ac:dyDescent="0.35"/>
    <row r="1115" customFormat="1" hidden="1" x14ac:dyDescent="0.35"/>
    <row r="1116" customFormat="1" hidden="1" x14ac:dyDescent="0.35"/>
    <row r="1117" customFormat="1" hidden="1" x14ac:dyDescent="0.35"/>
    <row r="1118" customFormat="1" x14ac:dyDescent="0.35"/>
    <row r="1119" customFormat="1" x14ac:dyDescent="0.35"/>
    <row r="1120" customFormat="1" x14ac:dyDescent="0.35"/>
    <row r="1121" customFormat="1" hidden="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heetProtection algorithmName="SHA-512" hashValue="xlK/bXsVy/E6U76hrna+g0kBc6FUuQudnTPisVNNYFtf98E5qzyxK3OW1kOFllJCeE8MQHI2ltX15ys2asEf+g==" saltValue="ed1ek/IIp6vd5neMMiY7Dw==" spinCount="100000" sheet="1" objects="1" formatRows="0"/>
  <protectedRanges>
    <protectedRange sqref="C19 C21 C23 C25 C27 C29 C31 C33 C35" name="General inputs"/>
    <protectedRange sqref="C55:E55" name="Population inputs"/>
    <protectedRange sqref="C68 C70 C73 C74 C75" name="Brownfield characteristics"/>
    <protectedRange sqref="C85 C90 C99:D99" name="Local brownfield"/>
  </protectedRanges>
  <mergeCells count="11">
    <mergeCell ref="B104:R104"/>
    <mergeCell ref="B41:J41"/>
    <mergeCell ref="B64:J64"/>
    <mergeCell ref="G2:J2"/>
    <mergeCell ref="C19:H19"/>
    <mergeCell ref="C23:H23"/>
    <mergeCell ref="C25:H25"/>
    <mergeCell ref="C21:H21"/>
    <mergeCell ref="B15:J15"/>
    <mergeCell ref="B6:J6"/>
    <mergeCell ref="B81:J81"/>
  </mergeCells>
  <phoneticPr fontId="10" type="noConversion"/>
  <dataValidations xWindow="872" yWindow="784" count="17">
    <dataValidation type="decimal" errorStyle="warning" allowBlank="1" showInputMessage="1" showErrorMessage="1" errorTitle="Percentage Warning" error="An amount that does not add to 100% has been entered. Please verify your percentages." sqref="C76" xr:uid="{BC03F4DA-D376-4E73-ACB4-C725A321639D}">
      <formula1>1</formula1>
      <formula2>1</formula2>
    </dataValidation>
    <dataValidation type="list" allowBlank="1" showInputMessage="1" showErrorMessage="1" error="Please select one of the available options" prompt="Please select whether any current structure on the site will need to be removed for the development, will be renovated, or are already removed. If there is a mix, please select the option that best represents the site as a whole." sqref="C70" xr:uid="{5668009D-5BE2-418B-9358-4135D1F83D7B}">
      <formula1>"Will need to be removed, Already removed, Will be reused"</formula1>
    </dataValidation>
    <dataValidation type="decimal" allowBlank="1" showInputMessage="1" showErrorMessage="1" prompt="Please input the size of the project site in hectares" sqref="C33" xr:uid="{2315BD07-2E8D-436F-9704-E87B6939D345}">
      <formula1>0</formula1>
      <formula2>10000</formula2>
    </dataValidation>
    <dataValidation type="textLength" allowBlank="1" showInputMessage="1" showErrorMessage="1" prompt="Please input the project name" sqref="C19:H19" xr:uid="{0E8440CD-1F43-4A07-A78C-121292F2A013}">
      <formula1>1</formula1>
      <formula2>100</formula2>
    </dataValidation>
    <dataValidation type="textLength" allowBlank="1" showInputMessage="1" showErrorMessage="1" prompt="Please input the project name" sqref="C21:H21" xr:uid="{CBD17F00-7D63-4848-9D55-B4703AA655E9}">
      <formula1>1</formula1>
      <formula2>2000</formula2>
    </dataValidation>
    <dataValidation type="list" allowBlank="1" showInputMessage="1" showErrorMessage="1" prompt="Please choose the local area for the purposes of determining brownfield disamenity" sqref="C85" xr:uid="{94072E43-7734-4419-961E-726D05F73C37}">
      <formula1>"2 mile radius, 4 mile radius, Local authority"</formula1>
    </dataValidation>
    <dataValidation type="list" allowBlank="1" showInputMessage="1" showErrorMessage="1" prompt="Please input the preferred cost scalar (for reporting)" sqref="C35" xr:uid="{F430FA00-AC8A-417D-9439-04B1FAC6782F}">
      <formula1>"Thousands, Millions"</formula1>
    </dataValidation>
    <dataValidation type="list" allowBlank="1" showInputMessage="1" showErrorMessage="1" prompt="Please select the project local authority." sqref="C25:H25" xr:uid="{75B3FFEF-B059-456F-A031-659CE4150F03}">
      <formula1>INDIRECT($I$23)</formula1>
    </dataValidation>
    <dataValidation type="list" allowBlank="1" showInputMessage="1" showErrorMessage="1" prompt="Please input whether the site is in an urban, suburban, or rural area" sqref="C27" xr:uid="{BE15E443-96A3-425D-93C8-321DD8A8AF23}">
      <formula1>"Urban, Suburban, Rural"</formula1>
    </dataValidation>
    <dataValidation type="custom" allowBlank="1" showInputMessage="1" showErrorMessage="1" error="Inputs must be a number between 0 and the total project area." prompt="Please input the current amount of brownfield land on the site in hectares." sqref="C68" xr:uid="{5425F817-6C2E-45A9-B4B1-824FB9B4DB77}">
      <formula1>C68&lt;=C33</formula1>
    </dataValidation>
    <dataValidation type="whole" allowBlank="1" showInputMessage="1" showErrorMessage="1" error="This value must be more than 0 (or the value for the previous distance band) and no more than 300,000." prompt="Please input the number of dwellings within the specified distance band. If this data is not available, leave blank and proceed with the default values." sqref="C55" xr:uid="{E2AAC488-988A-4457-9976-02488B26C4F9}">
      <formula1>0</formula1>
      <formula2>100000</formula2>
    </dataValidation>
    <dataValidation type="whole" allowBlank="1" showInputMessage="1" showErrorMessage="1" error="This value must be more than 0 (or the value for the previous distance band) and no more than 300,000." prompt="Please input the number of dwellings with the specified distance band. If this data is not available, leave blank and proceed with the default values." sqref="E55" xr:uid="{5575649B-C494-4BF4-8483-58B3F44FAA8A}">
      <formula1>D55</formula1>
      <formula2>300000</formula2>
    </dataValidation>
    <dataValidation type="whole" allowBlank="1" showInputMessage="1" showErrorMessage="1" error="This value must be more than 0 (or the value for the previous distance band) and no more than 300,000." prompt="Please input the number of dwellings with the specified distance band. If this data is not available, leave blank and proceed with the default values." sqref="D55" xr:uid="{8FD1AA98-ED0D-49F5-8A25-66220E461DD1}">
      <formula1>C58</formula1>
      <formula2>200000</formula2>
    </dataValidation>
    <dataValidation type="custom" allowBlank="1" showInputMessage="1" showErrorMessage="1" error="Please ensure you input a percentage between 0 &amp; 100% and the total does not exceed 100%" prompt="Please input whether the brownfield land on the site was previously residential, commercial, or industrial in use. If the land had a mix of uses, please reflect that using percentages." sqref="C73:C75" xr:uid="{D25F9613-4462-452C-9812-EFE92F56039C}">
      <formula1>AND(C73&gt;=0,C73&lt;=1,$C$76&lt;=1)</formula1>
    </dataValidation>
    <dataValidation type="decimal" allowBlank="1" showInputMessage="1" showErrorMessage="1" error="Please input a figure greater than 0 in hectares." prompt="Please input the total brownfield that exists within a 2 mile radius of the site. This can often be estimated by using brownfield registers. If this data is not available, leave blank and proceed with the default values." sqref="C99" xr:uid="{DBEAE6AD-10C0-4C64-8D87-686FC83BED15}">
      <formula1>0</formula1>
      <formula2>10000</formula2>
    </dataValidation>
    <dataValidation type="decimal" allowBlank="1" showInputMessage="1" showErrorMessage="1" error="Please input a figure at least as great as the amount of brownfield &lt;2 miles from the site." prompt="Please input the total brownfield that exists within a 4 mile radius of the site. This can often be estimated by using brownfield registers. If this data is not available, leave blank and proceed with the default values." sqref="D99" xr:uid="{F330121C-B37E-4A7B-A63F-B349BB3E0A7F}">
      <formula1>C100</formula1>
      <formula2>10000</formula2>
    </dataValidation>
    <dataValidation allowBlank="1" showInputMessage="1" showErrorMessage="1" prompt="Please input the brownfield extent within the Local Authority of a more up-to-date figure is known. If this data is not available, leave blank and proceed with the default values." sqref="C90" xr:uid="{0C3DF61C-883D-4A15-AADF-F73688408B9D}"/>
  </dataValidations>
  <hyperlinks>
    <hyperlink ref="G2" location="Welcome!A1" display="CLICK to return to Welcome screen" xr:uid="{9C37A276-F458-4F83-9385-79012586BAB6}"/>
    <hyperlink ref="B114" location="'3. Option specific inputs'!A1" display="3. Option specific information" xr:uid="{59C05DAB-CEA2-470A-A8D9-59548370D51F}"/>
  </hyperlinks>
  <pageMargins left="0.7" right="0.7" top="0.75" bottom="0.75" header="0.3" footer="0.3"/>
  <pageSetup paperSize="9" orientation="portrait" r:id="rId1"/>
  <headerFooter>
    <oddFooter xml:space="preserve">&amp;C_x000D_&amp;1#&amp;"Calibri"&amp;12&amp;K0078D7 OFFICIAL </oddFooter>
  </headerFooter>
  <drawing r:id="rId2"/>
  <extLst>
    <ext xmlns:x14="http://schemas.microsoft.com/office/spreadsheetml/2009/9/main" uri="{CCE6A557-97BC-4b89-ADB6-D9C93CAAB3DF}">
      <x14:dataValidations xmlns:xm="http://schemas.microsoft.com/office/excel/2006/main" xWindow="872" yWindow="784" count="3">
        <x14:dataValidation type="list" allowBlank="1" showInputMessage="1" showErrorMessage="1" prompt="Please input the appraisal base year - this will determine the price year and discounting calculations, as well as the years over which benefits/costs are accrued." xr:uid="{D39BD161-B5A9-4F48-AFC5-49DD1E181BA8}">
          <x14:formula1>
            <xm:f>'6.6 - Lists and lookups'!$B$48:$B$67</xm:f>
          </x14:formula1>
          <xm:sqref>C29</xm:sqref>
        </x14:dataValidation>
        <x14:dataValidation type="list" allowBlank="1" showInputMessage="1" showErrorMessage="1" prompt="Please select the project region." xr:uid="{8836FCC6-EA32-4D1A-A70F-53798443B32C}">
          <x14:formula1>
            <xm:f>'6.6 - Lists and lookups'!$B$8:$B$16</xm:f>
          </x14:formula1>
          <xm:sqref>C23:H23</xm:sqref>
        </x14:dataValidation>
        <x14:dataValidation type="list" allowBlank="1" showInputMessage="1" showErrorMessage="1" prompt="Please select the appraisal period" xr:uid="{CC2ACD83-DED0-4F63-8847-A9F125F521CF}">
          <x14:formula1>
            <xm:f>'6.6 - Lists and lookups'!$B$42:$B$44</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7D70-4F64-48B8-B782-5C53AAEE6306}">
  <sheetPr codeName="Sheet4">
    <tabColor theme="5" tint="-0.249977111117893"/>
  </sheetPr>
  <dimension ref="A1:XFD1022"/>
  <sheetViews>
    <sheetView showGridLines="0" workbookViewId="0">
      <selection activeCell="C19" sqref="C19:H19"/>
    </sheetView>
  </sheetViews>
  <sheetFormatPr defaultColWidth="0" defaultRowHeight="14.5" zeroHeight="1" x14ac:dyDescent="0.35"/>
  <cols>
    <col min="1" max="1" width="1" customWidth="1"/>
    <col min="2" max="2" width="37.1796875" customWidth="1"/>
    <col min="3" max="3" width="23.26953125" bestFit="1" customWidth="1"/>
    <col min="4" max="4" width="22.453125" customWidth="1"/>
    <col min="5" max="7" width="14.81640625" customWidth="1"/>
    <col min="8" max="34" width="10.81640625" customWidth="1"/>
    <col min="35" max="65" width="8.54296875" customWidth="1"/>
    <col min="66" max="66" width="9.1796875" customWidth="1"/>
  </cols>
  <sheetData>
    <row r="1" spans="1:65 16383:16384" s="75" customFormat="1" ht="3" customHeight="1" x14ac:dyDescent="0.3">
      <c r="B1" s="76"/>
    </row>
    <row r="2" spans="1:65 16383:16384" s="77" customFormat="1" ht="18.5" x14ac:dyDescent="0.45">
      <c r="A2" s="104"/>
      <c r="B2" s="105" t="s">
        <v>147</v>
      </c>
      <c r="C2" s="104"/>
      <c r="D2" s="104"/>
      <c r="E2" s="104"/>
      <c r="F2" s="104"/>
      <c r="G2" s="639" t="s">
        <v>59</v>
      </c>
      <c r="H2" s="639"/>
      <c r="I2" s="639"/>
      <c r="J2" s="639"/>
      <c r="K2" s="639"/>
      <c r="L2" s="639"/>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XFC2" s="106"/>
      <c r="XFD2" s="106"/>
    </row>
    <row r="3" spans="1:65 16383:16384" s="78" customFormat="1" ht="3" customHeight="1" x14ac:dyDescent="0.3">
      <c r="B3" s="79"/>
    </row>
    <row r="4" spans="1:65 16383:16384" s="77" customFormat="1" ht="13" x14ac:dyDescent="0.3">
      <c r="A4" s="107"/>
      <c r="B4" s="108" t="s">
        <v>148</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XFC4" s="106"/>
      <c r="XFD4" s="106"/>
    </row>
    <row r="5" spans="1:65 16383:16384" ht="7.5" customHeight="1" x14ac:dyDescent="0.35"/>
    <row r="6" spans="1:65 16383:16384" ht="66" customHeight="1" x14ac:dyDescent="0.35">
      <c r="B6" s="642" t="s">
        <v>149</v>
      </c>
      <c r="C6" s="642"/>
      <c r="D6" s="642"/>
      <c r="E6" s="642"/>
      <c r="F6" s="642"/>
      <c r="G6" s="642"/>
      <c r="H6" s="642"/>
    </row>
    <row r="7" spans="1:65 16383:16384" ht="12.75" customHeight="1" x14ac:dyDescent="0.35">
      <c r="B7" s="83"/>
      <c r="C7" s="83"/>
      <c r="D7" s="83"/>
      <c r="E7" s="83"/>
      <c r="F7" s="83"/>
      <c r="G7" s="83"/>
      <c r="H7" s="83"/>
    </row>
    <row r="8" spans="1:65 16383:16384" ht="15" customHeight="1" x14ac:dyDescent="0.35">
      <c r="B8" s="84" t="s">
        <v>73</v>
      </c>
      <c r="C8" s="85"/>
      <c r="D8" s="538" t="s">
        <v>74</v>
      </c>
      <c r="E8" s="82"/>
      <c r="F8" s="82"/>
      <c r="G8" s="82"/>
      <c r="H8" s="80"/>
      <c r="I8" s="80"/>
      <c r="J8" s="80"/>
      <c r="K8" s="122"/>
    </row>
    <row r="9" spans="1:65 16383:16384" ht="15" customHeight="1" x14ac:dyDescent="0.35">
      <c r="C9" s="98"/>
      <c r="D9" s="538" t="s">
        <v>75</v>
      </c>
      <c r="E9" s="82"/>
      <c r="F9" s="82"/>
      <c r="G9" s="82"/>
      <c r="H9" s="80"/>
      <c r="I9" s="80"/>
      <c r="J9" s="80"/>
      <c r="K9" s="122"/>
    </row>
    <row r="10" spans="1:65 16383:16384" ht="15" customHeight="1" x14ac:dyDescent="0.35">
      <c r="C10" s="544"/>
      <c r="D10" s="575" t="s">
        <v>76</v>
      </c>
      <c r="E10" s="86"/>
      <c r="F10" s="86"/>
      <c r="G10" s="86"/>
      <c r="H10" s="80"/>
      <c r="I10" s="80"/>
      <c r="J10" s="80"/>
      <c r="K10" s="122"/>
    </row>
    <row r="11" spans="1:65 16383:16384" ht="12.75" customHeight="1" x14ac:dyDescent="0.35">
      <c r="B11" s="109"/>
      <c r="C11" s="109"/>
      <c r="D11" s="109"/>
      <c r="E11" s="109"/>
      <c r="F11" s="109"/>
      <c r="G11" s="109"/>
      <c r="H11" s="109"/>
    </row>
    <row r="12" spans="1:65 16383:16384" s="82" customFormat="1" ht="16" thickBot="1" x14ac:dyDescent="0.4">
      <c r="B12" s="138" t="s">
        <v>150</v>
      </c>
      <c r="C12" s="110"/>
      <c r="D12" s="111"/>
      <c r="E12" s="92"/>
      <c r="F12" s="92"/>
      <c r="G12" s="92"/>
      <c r="H12" s="92"/>
      <c r="I12" s="92"/>
      <c r="J12" s="92"/>
      <c r="K12" s="111"/>
      <c r="L12" s="111"/>
      <c r="M12" s="111"/>
      <c r="N12" s="111"/>
      <c r="O12" s="111"/>
      <c r="P12" s="111"/>
      <c r="Q12" s="111"/>
      <c r="R12" s="111"/>
      <c r="S12" s="92"/>
      <c r="T12" s="92"/>
      <c r="U12" s="92"/>
      <c r="V12" s="92"/>
      <c r="W12" s="92"/>
      <c r="X12" s="92"/>
      <c r="Y12" s="92"/>
      <c r="Z12" s="92"/>
      <c r="AA12" s="92"/>
      <c r="AB12" s="92"/>
      <c r="AC12" s="92"/>
      <c r="AD12" s="92"/>
      <c r="AE12" s="92"/>
      <c r="AF12" s="92"/>
      <c r="AG12" s="92"/>
      <c r="AH12" s="92"/>
    </row>
    <row r="13" spans="1:65 16383:16384" s="82" customFormat="1" ht="12.75" customHeight="1" x14ac:dyDescent="0.35">
      <c r="B13" s="557"/>
      <c r="C13" s="128"/>
      <c r="D13" s="112"/>
      <c r="K13" s="112"/>
      <c r="L13" s="112"/>
      <c r="M13" s="112"/>
      <c r="N13" s="112"/>
      <c r="O13" s="112"/>
      <c r="P13" s="112"/>
      <c r="Q13" s="112"/>
      <c r="R13" s="112"/>
    </row>
    <row r="14" spans="1:65 16383:16384" s="82" customFormat="1" x14ac:dyDescent="0.35">
      <c r="B14" s="558" t="s">
        <v>78</v>
      </c>
      <c r="C14" s="128"/>
      <c r="D14" s="128"/>
      <c r="E14" s="112"/>
      <c r="K14" s="112"/>
      <c r="L14" s="112"/>
      <c r="R14" s="172"/>
      <c r="S14" s="172"/>
      <c r="T14" s="172"/>
    </row>
    <row r="15" spans="1:65 16383:16384" s="82" customFormat="1" ht="13" x14ac:dyDescent="0.3">
      <c r="B15" s="661" t="s">
        <v>151</v>
      </c>
      <c r="C15" s="661"/>
      <c r="D15" s="661"/>
      <c r="E15" s="661"/>
      <c r="F15" s="661"/>
      <c r="G15" s="661"/>
      <c r="H15" s="661"/>
      <c r="I15" s="661"/>
      <c r="J15" s="661"/>
      <c r="K15" s="112"/>
      <c r="L15" s="112"/>
      <c r="M15" s="112"/>
      <c r="N15" s="112"/>
      <c r="O15" s="112"/>
      <c r="P15" s="112"/>
      <c r="Q15" s="112"/>
      <c r="R15" s="112"/>
    </row>
    <row r="16" spans="1:65 16383:16384" s="82" customFormat="1" ht="12.75" customHeight="1" thickBot="1" x14ac:dyDescent="0.35">
      <c r="B16" s="560"/>
      <c r="C16" s="561"/>
      <c r="D16" s="562"/>
      <c r="E16" s="562"/>
      <c r="F16" s="562"/>
      <c r="G16" s="562"/>
      <c r="H16" s="562"/>
      <c r="I16" s="562"/>
      <c r="J16" s="56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row>
    <row r="17" spans="1:34" s="82" customFormat="1" ht="13" x14ac:dyDescent="0.3">
      <c r="B17" s="114"/>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row>
    <row r="18" spans="1:34" s="82" customFormat="1" x14ac:dyDescent="0.35">
      <c r="B18" s="558" t="s">
        <v>80</v>
      </c>
      <c r="C18" s="128"/>
      <c r="D18" s="128"/>
      <c r="E18" s="112"/>
      <c r="K18" s="112"/>
      <c r="L18" s="112"/>
      <c r="R18" s="172"/>
      <c r="S18" s="172"/>
      <c r="T18" s="172"/>
    </row>
    <row r="19" spans="1:34" ht="15" customHeight="1" x14ac:dyDescent="0.35">
      <c r="A19" s="113"/>
      <c r="B19" s="572" t="s">
        <v>152</v>
      </c>
      <c r="C19" s="662"/>
      <c r="D19" s="663"/>
      <c r="E19" s="663"/>
      <c r="F19" s="663"/>
      <c r="G19" s="663"/>
      <c r="H19" s="664"/>
    </row>
    <row r="20" spans="1:34" ht="30" customHeight="1" x14ac:dyDescent="0.35">
      <c r="A20" s="113"/>
      <c r="B20" s="573" t="s">
        <v>153</v>
      </c>
      <c r="C20" s="665"/>
      <c r="D20" s="666"/>
      <c r="E20" s="666"/>
      <c r="F20" s="666"/>
      <c r="G20" s="666"/>
      <c r="H20" s="667"/>
    </row>
    <row r="21" spans="1:34" ht="12.75" customHeight="1" x14ac:dyDescent="0.35">
      <c r="A21" s="113"/>
      <c r="B21" s="114"/>
      <c r="C21" s="80"/>
      <c r="D21" s="80"/>
      <c r="E21" s="80"/>
      <c r="F21" s="470" t="str">
        <f>IF(Option_Name="","More inputs are required in this section - please review and fill the missing inputs.",IF(Option_Description="","All required input cells are filled but optional inputs remain blank - please verify your inputs and proceed.",""))</f>
        <v>More inputs are required in this section - please review and fill the missing inputs.</v>
      </c>
      <c r="G21" s="80"/>
      <c r="H21" s="80"/>
    </row>
    <row r="22" spans="1:34" s="82" customFormat="1" ht="16" thickBot="1" x14ac:dyDescent="0.4">
      <c r="B22" s="138" t="s">
        <v>154</v>
      </c>
      <c r="C22" s="110"/>
      <c r="D22" s="111"/>
      <c r="E22" s="92"/>
      <c r="F22" s="92"/>
      <c r="G22" s="92"/>
      <c r="H22" s="92"/>
      <c r="I22" s="92"/>
      <c r="J22" s="92"/>
      <c r="K22" s="111"/>
      <c r="L22" s="111"/>
      <c r="M22" s="111"/>
      <c r="N22" s="111"/>
      <c r="O22" s="111"/>
      <c r="P22" s="111"/>
      <c r="Q22" s="111"/>
      <c r="R22" s="111"/>
      <c r="S22" s="92"/>
      <c r="T22" s="92"/>
      <c r="U22" s="92"/>
      <c r="V22" s="92"/>
      <c r="W22" s="92"/>
      <c r="X22" s="92"/>
      <c r="Y22" s="92"/>
      <c r="Z22" s="92"/>
      <c r="AA22" s="92"/>
      <c r="AB22" s="92"/>
      <c r="AC22" s="92"/>
      <c r="AD22" s="92"/>
      <c r="AE22" s="92"/>
      <c r="AF22" s="92"/>
      <c r="AG22" s="92"/>
      <c r="AH22" s="92"/>
    </row>
    <row r="23" spans="1:34" s="82" customFormat="1" ht="12.75" customHeight="1" x14ac:dyDescent="0.35">
      <c r="B23" s="557"/>
      <c r="C23" s="128"/>
      <c r="D23" s="112"/>
      <c r="K23" s="112"/>
      <c r="L23" s="112"/>
      <c r="M23" s="112"/>
      <c r="N23" s="112"/>
      <c r="O23" s="112"/>
      <c r="P23" s="112"/>
      <c r="Q23" s="112"/>
      <c r="R23" s="112"/>
    </row>
    <row r="24" spans="1:34" s="82" customFormat="1" x14ac:dyDescent="0.35">
      <c r="B24" s="558" t="s">
        <v>78</v>
      </c>
      <c r="C24" s="128"/>
      <c r="D24" s="128"/>
      <c r="E24" s="112"/>
      <c r="K24" s="112"/>
      <c r="L24" s="112"/>
      <c r="R24" s="172"/>
      <c r="S24" s="172"/>
      <c r="T24" s="172"/>
    </row>
    <row r="25" spans="1:34" s="82" customFormat="1" ht="13" x14ac:dyDescent="0.3">
      <c r="B25" s="661" t="s">
        <v>155</v>
      </c>
      <c r="C25" s="661"/>
      <c r="D25" s="661"/>
      <c r="E25" s="661"/>
      <c r="F25" s="661"/>
      <c r="G25" s="661"/>
      <c r="H25" s="661"/>
      <c r="I25" s="661"/>
      <c r="J25" s="661"/>
      <c r="K25" s="112"/>
      <c r="L25" s="112"/>
      <c r="M25" s="112"/>
      <c r="N25" s="112"/>
      <c r="O25" s="112"/>
      <c r="P25" s="112"/>
      <c r="Q25" s="112"/>
      <c r="R25" s="112"/>
    </row>
    <row r="26" spans="1:34" s="82" customFormat="1" ht="12.75" customHeight="1" thickBot="1" x14ac:dyDescent="0.35">
      <c r="B26" s="560"/>
      <c r="C26" s="561"/>
      <c r="D26" s="562"/>
      <c r="E26" s="562"/>
      <c r="F26" s="562"/>
      <c r="G26" s="562"/>
      <c r="H26" s="562"/>
      <c r="I26" s="562"/>
      <c r="J26" s="56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row>
    <row r="27" spans="1:34" s="82" customFormat="1" ht="13" x14ac:dyDescent="0.3">
      <c r="B27" s="114"/>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row>
    <row r="28" spans="1:34" s="82" customFormat="1" x14ac:dyDescent="0.35">
      <c r="B28" s="558" t="s">
        <v>80</v>
      </c>
      <c r="C28" s="128"/>
      <c r="D28" s="128"/>
      <c r="E28" s="112"/>
      <c r="K28" s="112"/>
      <c r="L28" s="112"/>
      <c r="R28" s="172"/>
      <c r="S28" s="172"/>
      <c r="T28" s="172"/>
    </row>
    <row r="29" spans="1:34" s="82" customFormat="1" ht="13" x14ac:dyDescent="0.3">
      <c r="B29" s="124"/>
      <c r="C29" s="565"/>
      <c r="D29" s="658" t="s">
        <v>156</v>
      </c>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row>
    <row r="30" spans="1:34" s="82" customFormat="1" ht="16.5" customHeight="1" x14ac:dyDescent="0.3">
      <c r="B30" s="124"/>
      <c r="C30" s="564" t="s">
        <v>157</v>
      </c>
      <c r="D30" s="552" cm="1">
        <f t="array" ref="D30:AG30">FinancialYearRange30</f>
        <v>0</v>
      </c>
      <c r="E30" s="552" t="e">
        <v>#N/A</v>
      </c>
      <c r="F30" s="552" t="e">
        <v>#N/A</v>
      </c>
      <c r="G30" s="552" t="e">
        <v>#N/A</v>
      </c>
      <c r="H30" s="552" t="e">
        <v>#N/A</v>
      </c>
      <c r="I30" s="552" t="e">
        <v>#N/A</v>
      </c>
      <c r="J30" s="552" t="e">
        <v>#N/A</v>
      </c>
      <c r="K30" s="552" t="e">
        <v>#N/A</v>
      </c>
      <c r="L30" s="552" t="e">
        <v>#N/A</v>
      </c>
      <c r="M30" s="552" t="e">
        <v>#N/A</v>
      </c>
      <c r="N30" s="552" t="e">
        <v>#N/A</v>
      </c>
      <c r="O30" s="552" t="e">
        <v>#N/A</v>
      </c>
      <c r="P30" s="552" t="e">
        <v>#N/A</v>
      </c>
      <c r="Q30" s="552" t="e">
        <v>#N/A</v>
      </c>
      <c r="R30" s="552" t="e">
        <v>#N/A</v>
      </c>
      <c r="S30" s="552" t="e">
        <v>#N/A</v>
      </c>
      <c r="T30" s="552" t="e">
        <v>#N/A</v>
      </c>
      <c r="U30" s="552" t="e">
        <v>#N/A</v>
      </c>
      <c r="V30" s="552" t="e">
        <v>#N/A</v>
      </c>
      <c r="W30" s="552" t="e">
        <v>#N/A</v>
      </c>
      <c r="X30" s="552" t="e">
        <v>#N/A</v>
      </c>
      <c r="Y30" s="552" t="e">
        <v>#N/A</v>
      </c>
      <c r="Z30" s="552" t="e">
        <v>#N/A</v>
      </c>
      <c r="AA30" s="552" t="e">
        <v>#N/A</v>
      </c>
      <c r="AB30" s="552" t="e">
        <v>#N/A</v>
      </c>
      <c r="AC30" s="552" t="e">
        <v>#N/A</v>
      </c>
      <c r="AD30" s="552" t="e">
        <v>#N/A</v>
      </c>
      <c r="AE30" s="552" t="e">
        <v>#N/A</v>
      </c>
      <c r="AF30" s="552" t="e">
        <v>#N/A</v>
      </c>
      <c r="AG30" s="552" t="e">
        <v>#N/A</v>
      </c>
    </row>
    <row r="31" spans="1:34" s="82" customFormat="1" ht="15" customHeight="1" x14ac:dyDescent="0.3">
      <c r="B31" s="551" t="s">
        <v>158</v>
      </c>
      <c r="C31" s="541">
        <f>SUM(D31:AG31)</f>
        <v>0</v>
      </c>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4" s="82" customFormat="1" ht="15" customHeight="1" x14ac:dyDescent="0.3">
      <c r="B32" s="551" t="s">
        <v>159</v>
      </c>
      <c r="C32" s="584">
        <f>AG32</f>
        <v>0</v>
      </c>
      <c r="D32" s="584">
        <f>SUM($D$31:D$31)</f>
        <v>0</v>
      </c>
      <c r="E32" s="584">
        <f>SUM($D$31:E$31)</f>
        <v>0</v>
      </c>
      <c r="F32" s="584">
        <f>SUM($D$31:F$31)</f>
        <v>0</v>
      </c>
      <c r="G32" s="584">
        <f>SUM($D$31:G$31)</f>
        <v>0</v>
      </c>
      <c r="H32" s="584">
        <f>SUM($D$31:H$31)</f>
        <v>0</v>
      </c>
      <c r="I32" s="584">
        <f>SUM($D$31:I$31)</f>
        <v>0</v>
      </c>
      <c r="J32" s="584">
        <f>SUM($D$31:J$31)</f>
        <v>0</v>
      </c>
      <c r="K32" s="584">
        <f>SUM($D$31:K$31)</f>
        <v>0</v>
      </c>
      <c r="L32" s="584">
        <f>SUM($D$31:L$31)</f>
        <v>0</v>
      </c>
      <c r="M32" s="584">
        <f>SUM($D$31:M$31)</f>
        <v>0</v>
      </c>
      <c r="N32" s="584">
        <f>SUM($D$31:N$31)</f>
        <v>0</v>
      </c>
      <c r="O32" s="584">
        <f>SUM($D$31:O$31)</f>
        <v>0</v>
      </c>
      <c r="P32" s="584">
        <f>SUM($D$31:P$31)</f>
        <v>0</v>
      </c>
      <c r="Q32" s="584">
        <f>SUM($D$31:Q$31)</f>
        <v>0</v>
      </c>
      <c r="R32" s="584">
        <f>SUM($D$31:R$31)</f>
        <v>0</v>
      </c>
      <c r="S32" s="584">
        <f>SUM($D$31:S$31)</f>
        <v>0</v>
      </c>
      <c r="T32" s="584">
        <f>SUM($D$31:T$31)</f>
        <v>0</v>
      </c>
      <c r="U32" s="584">
        <f>SUM($D$31:U$31)</f>
        <v>0</v>
      </c>
      <c r="V32" s="584">
        <f>SUM($D$31:V$31)</f>
        <v>0</v>
      </c>
      <c r="W32" s="584">
        <f>SUM($D$31:W$31)</f>
        <v>0</v>
      </c>
      <c r="X32" s="584">
        <f>SUM($D$31:X$31)</f>
        <v>0</v>
      </c>
      <c r="Y32" s="584">
        <f>SUM($D$31:Y$31)</f>
        <v>0</v>
      </c>
      <c r="Z32" s="584">
        <f>SUM($D$31:Z$31)</f>
        <v>0</v>
      </c>
      <c r="AA32" s="584">
        <f>SUM($D$31:AA$31)</f>
        <v>0</v>
      </c>
      <c r="AB32" s="584">
        <f>SUM($D$31:AB$31)</f>
        <v>0</v>
      </c>
      <c r="AC32" s="584">
        <f>SUM($D$31:AC$31)</f>
        <v>0</v>
      </c>
      <c r="AD32" s="584">
        <f>SUM($D$31:AD$31)</f>
        <v>0</v>
      </c>
      <c r="AE32" s="584">
        <f>SUM($D$31:AE$31)</f>
        <v>0</v>
      </c>
      <c r="AF32" s="584">
        <f>SUM($D$31:AF$31)</f>
        <v>0</v>
      </c>
      <c r="AG32" s="584">
        <f>SUM($D$31:AG$31)</f>
        <v>0</v>
      </c>
    </row>
    <row r="33" spans="2:34" s="82" customFormat="1" ht="12.75" customHeight="1" x14ac:dyDescent="0.3">
      <c r="B33" s="114"/>
      <c r="D33" s="112"/>
      <c r="E33" s="112"/>
      <c r="F33" s="470" t="str">
        <f>IF(C31=0,"More inputs are required in this section - please review and fill the missing inputs!","")</f>
        <v>More inputs are required in this section - please review and fill the missing inputs!</v>
      </c>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2:34" s="82" customFormat="1" ht="16" thickBot="1" x14ac:dyDescent="0.4">
      <c r="B34" s="138" t="s">
        <v>160</v>
      </c>
      <c r="C34" s="110"/>
      <c r="D34" s="111"/>
      <c r="E34" s="92"/>
      <c r="F34" s="92"/>
      <c r="G34" s="92"/>
      <c r="H34" s="92"/>
      <c r="I34" s="92"/>
      <c r="J34" s="92"/>
      <c r="K34" s="111"/>
      <c r="L34" s="111"/>
      <c r="M34" s="111"/>
      <c r="N34" s="111"/>
      <c r="O34" s="111"/>
      <c r="P34" s="111"/>
      <c r="Q34" s="111"/>
      <c r="R34" s="111"/>
      <c r="S34" s="92"/>
      <c r="T34" s="92"/>
      <c r="U34" s="92"/>
      <c r="V34" s="92"/>
      <c r="W34" s="92"/>
      <c r="X34" s="92"/>
      <c r="Y34" s="92"/>
      <c r="Z34" s="92"/>
      <c r="AA34" s="92"/>
      <c r="AB34" s="92"/>
      <c r="AC34" s="92"/>
      <c r="AD34" s="92"/>
      <c r="AE34" s="92"/>
      <c r="AF34" s="92"/>
      <c r="AG34" s="92"/>
      <c r="AH34" s="92"/>
    </row>
    <row r="35" spans="2:34" s="82" customFormat="1" ht="12.75" customHeight="1" x14ac:dyDescent="0.35">
      <c r="B35" s="557"/>
      <c r="C35" s="128"/>
      <c r="D35" s="112"/>
      <c r="K35" s="112"/>
      <c r="L35" s="112"/>
      <c r="M35" s="112"/>
      <c r="N35" s="112"/>
      <c r="O35" s="112"/>
      <c r="P35" s="112"/>
      <c r="Q35" s="112"/>
      <c r="R35" s="112"/>
    </row>
    <row r="36" spans="2:34" s="82" customFormat="1" x14ac:dyDescent="0.35">
      <c r="B36" s="558" t="s">
        <v>78</v>
      </c>
      <c r="C36" s="128"/>
      <c r="D36" s="128"/>
      <c r="E36" s="112"/>
      <c r="K36" s="112"/>
      <c r="L36" s="112"/>
      <c r="R36" s="172"/>
      <c r="S36" s="172"/>
      <c r="T36" s="172"/>
    </row>
    <row r="37" spans="2:34" s="82" customFormat="1" ht="40.5" customHeight="1" x14ac:dyDescent="0.3">
      <c r="B37" s="644" t="s">
        <v>161</v>
      </c>
      <c r="C37" s="644"/>
      <c r="D37" s="644"/>
      <c r="E37" s="644"/>
      <c r="F37" s="644"/>
      <c r="G37" s="644"/>
      <c r="H37" s="644"/>
      <c r="I37" s="644"/>
      <c r="J37" s="644"/>
      <c r="K37" s="122"/>
      <c r="L37" s="122"/>
      <c r="M37" s="122"/>
      <c r="N37" s="122"/>
      <c r="O37" s="122"/>
      <c r="P37" s="122"/>
      <c r="Q37" s="122"/>
      <c r="R37" s="122"/>
    </row>
    <row r="38" spans="2:34" s="82" customFormat="1" ht="12.75" customHeight="1" thickBot="1" x14ac:dyDescent="0.35">
      <c r="B38" s="560"/>
      <c r="C38" s="561"/>
      <c r="D38" s="562"/>
      <c r="E38" s="562"/>
      <c r="F38" s="562"/>
      <c r="G38" s="562"/>
      <c r="H38" s="562"/>
      <c r="I38" s="562"/>
      <c r="J38" s="56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row>
    <row r="39" spans="2:34" s="82" customFormat="1" ht="13" x14ac:dyDescent="0.3">
      <c r="B39" s="114"/>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row>
    <row r="40" spans="2:34" s="82" customFormat="1" x14ac:dyDescent="0.35">
      <c r="B40" s="558" t="s">
        <v>80</v>
      </c>
      <c r="C40" s="128"/>
      <c r="D40" s="128"/>
      <c r="E40" s="112"/>
      <c r="K40" s="112"/>
      <c r="L40" s="112"/>
      <c r="R40" s="172"/>
      <c r="S40" s="172"/>
      <c r="T40" s="172"/>
    </row>
    <row r="41" spans="2:34" x14ac:dyDescent="0.35">
      <c r="B41" s="659" t="s">
        <v>162</v>
      </c>
      <c r="C41" s="659"/>
      <c r="D41" s="179"/>
    </row>
    <row r="42" spans="2:34" s="82" customFormat="1" ht="3.75" customHeight="1" x14ac:dyDescent="0.3">
      <c r="B42" s="180"/>
      <c r="C42" s="180"/>
    </row>
    <row r="43" spans="2:34" s="82" customFormat="1" ht="13" x14ac:dyDescent="0.3">
      <c r="B43" s="180"/>
      <c r="C43" s="284"/>
      <c r="D43" s="658" t="s">
        <v>163</v>
      </c>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row>
    <row r="44" spans="2:34" s="82" customFormat="1" ht="13" x14ac:dyDescent="0.3">
      <c r="B44" s="180"/>
      <c r="C44" s="284"/>
      <c r="D44" s="552" cm="1">
        <f t="array" ref="D44:AG44">FinancialYearRange30</f>
        <v>0</v>
      </c>
      <c r="E44" s="552" t="e">
        <v>#N/A</v>
      </c>
      <c r="F44" s="552" t="e">
        <v>#N/A</v>
      </c>
      <c r="G44" s="552" t="e">
        <v>#N/A</v>
      </c>
      <c r="H44" s="552" t="e">
        <v>#N/A</v>
      </c>
      <c r="I44" s="552" t="e">
        <v>#N/A</v>
      </c>
      <c r="J44" s="552" t="e">
        <v>#N/A</v>
      </c>
      <c r="K44" s="552" t="e">
        <v>#N/A</v>
      </c>
      <c r="L44" s="552" t="e">
        <v>#N/A</v>
      </c>
      <c r="M44" s="552" t="e">
        <v>#N/A</v>
      </c>
      <c r="N44" s="552" t="e">
        <v>#N/A</v>
      </c>
      <c r="O44" s="552" t="e">
        <v>#N/A</v>
      </c>
      <c r="P44" s="552" t="e">
        <v>#N/A</v>
      </c>
      <c r="Q44" s="552" t="e">
        <v>#N/A</v>
      </c>
      <c r="R44" s="552" t="e">
        <v>#N/A</v>
      </c>
      <c r="S44" s="552" t="e">
        <v>#N/A</v>
      </c>
      <c r="T44" s="552" t="e">
        <v>#N/A</v>
      </c>
      <c r="U44" s="552" t="e">
        <v>#N/A</v>
      </c>
      <c r="V44" s="552" t="e">
        <v>#N/A</v>
      </c>
      <c r="W44" s="552" t="e">
        <v>#N/A</v>
      </c>
      <c r="X44" s="552" t="e">
        <v>#N/A</v>
      </c>
      <c r="Y44" s="552" t="e">
        <v>#N/A</v>
      </c>
      <c r="Z44" s="552" t="e">
        <v>#N/A</v>
      </c>
      <c r="AA44" s="552" t="e">
        <v>#N/A</v>
      </c>
      <c r="AB44" s="552" t="e">
        <v>#N/A</v>
      </c>
      <c r="AC44" s="552" t="e">
        <v>#N/A</v>
      </c>
      <c r="AD44" s="552" t="e">
        <v>#N/A</v>
      </c>
      <c r="AE44" s="552" t="e">
        <v>#N/A</v>
      </c>
      <c r="AF44" s="552" t="e">
        <v>#N/A</v>
      </c>
      <c r="AG44" s="552" t="e">
        <v>#N/A</v>
      </c>
    </row>
    <row r="45" spans="2:34" s="82" customFormat="1" ht="15" customHeight="1" x14ac:dyDescent="0.3">
      <c r="B45" s="659" t="s">
        <v>164</v>
      </c>
      <c r="C45" s="659"/>
      <c r="D45" s="542" t="e">
        <f t="shared" ref="D45:AG45" si="0">$D$41*D$31/$C$31</f>
        <v>#DIV/0!</v>
      </c>
      <c r="E45" s="542" t="e">
        <f t="shared" si="0"/>
        <v>#DIV/0!</v>
      </c>
      <c r="F45" s="542" t="e">
        <f t="shared" si="0"/>
        <v>#DIV/0!</v>
      </c>
      <c r="G45" s="542" t="e">
        <f t="shared" si="0"/>
        <v>#DIV/0!</v>
      </c>
      <c r="H45" s="542" t="e">
        <f t="shared" si="0"/>
        <v>#DIV/0!</v>
      </c>
      <c r="I45" s="542" t="e">
        <f t="shared" si="0"/>
        <v>#DIV/0!</v>
      </c>
      <c r="J45" s="542" t="e">
        <f t="shared" si="0"/>
        <v>#DIV/0!</v>
      </c>
      <c r="K45" s="542" t="e">
        <f t="shared" si="0"/>
        <v>#DIV/0!</v>
      </c>
      <c r="L45" s="542" t="e">
        <f t="shared" si="0"/>
        <v>#DIV/0!</v>
      </c>
      <c r="M45" s="542" t="e">
        <f t="shared" si="0"/>
        <v>#DIV/0!</v>
      </c>
      <c r="N45" s="542" t="e">
        <f t="shared" si="0"/>
        <v>#DIV/0!</v>
      </c>
      <c r="O45" s="542" t="e">
        <f t="shared" si="0"/>
        <v>#DIV/0!</v>
      </c>
      <c r="P45" s="542" t="e">
        <f t="shared" si="0"/>
        <v>#DIV/0!</v>
      </c>
      <c r="Q45" s="542" t="e">
        <f t="shared" si="0"/>
        <v>#DIV/0!</v>
      </c>
      <c r="R45" s="542" t="e">
        <f t="shared" si="0"/>
        <v>#DIV/0!</v>
      </c>
      <c r="S45" s="542" t="e">
        <f t="shared" si="0"/>
        <v>#DIV/0!</v>
      </c>
      <c r="T45" s="542" t="e">
        <f t="shared" si="0"/>
        <v>#DIV/0!</v>
      </c>
      <c r="U45" s="542" t="e">
        <f t="shared" si="0"/>
        <v>#DIV/0!</v>
      </c>
      <c r="V45" s="542" t="e">
        <f t="shared" si="0"/>
        <v>#DIV/0!</v>
      </c>
      <c r="W45" s="542" t="e">
        <f t="shared" si="0"/>
        <v>#DIV/0!</v>
      </c>
      <c r="X45" s="542" t="e">
        <f t="shared" si="0"/>
        <v>#DIV/0!</v>
      </c>
      <c r="Y45" s="542" t="e">
        <f t="shared" si="0"/>
        <v>#DIV/0!</v>
      </c>
      <c r="Z45" s="542" t="e">
        <f t="shared" si="0"/>
        <v>#DIV/0!</v>
      </c>
      <c r="AA45" s="542" t="e">
        <f t="shared" si="0"/>
        <v>#DIV/0!</v>
      </c>
      <c r="AB45" s="542" t="e">
        <f t="shared" si="0"/>
        <v>#DIV/0!</v>
      </c>
      <c r="AC45" s="542" t="e">
        <f t="shared" si="0"/>
        <v>#DIV/0!</v>
      </c>
      <c r="AD45" s="542" t="e">
        <f t="shared" si="0"/>
        <v>#DIV/0!</v>
      </c>
      <c r="AE45" s="542" t="e">
        <f t="shared" si="0"/>
        <v>#DIV/0!</v>
      </c>
      <c r="AF45" s="542" t="e">
        <f t="shared" si="0"/>
        <v>#DIV/0!</v>
      </c>
      <c r="AG45" s="542" t="e">
        <f t="shared" si="0"/>
        <v>#DIV/0!</v>
      </c>
    </row>
    <row r="46" spans="2:34" s="82" customFormat="1" ht="15.75" customHeight="1" x14ac:dyDescent="0.3">
      <c r="B46" s="659" t="s">
        <v>165</v>
      </c>
      <c r="C46" s="659"/>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row>
    <row r="47" spans="2:34" s="82" customFormat="1" ht="15.75" customHeight="1" x14ac:dyDescent="0.3">
      <c r="B47" s="659" t="s">
        <v>166</v>
      </c>
      <c r="C47" s="659"/>
      <c r="D47" s="542" t="e">
        <f t="shared" ref="D47:AG47" si="1">IF(SUM($D$46:$AG$46)&gt;0,D46,D45)</f>
        <v>#DIV/0!</v>
      </c>
      <c r="E47" s="542" t="e">
        <f t="shared" si="1"/>
        <v>#DIV/0!</v>
      </c>
      <c r="F47" s="542" t="e">
        <f t="shared" si="1"/>
        <v>#DIV/0!</v>
      </c>
      <c r="G47" s="542" t="e">
        <f t="shared" si="1"/>
        <v>#DIV/0!</v>
      </c>
      <c r="H47" s="542" t="e">
        <f t="shared" si="1"/>
        <v>#DIV/0!</v>
      </c>
      <c r="I47" s="542" t="e">
        <f t="shared" si="1"/>
        <v>#DIV/0!</v>
      </c>
      <c r="J47" s="542" t="e">
        <f t="shared" si="1"/>
        <v>#DIV/0!</v>
      </c>
      <c r="K47" s="542" t="e">
        <f t="shared" si="1"/>
        <v>#DIV/0!</v>
      </c>
      <c r="L47" s="542" t="e">
        <f t="shared" si="1"/>
        <v>#DIV/0!</v>
      </c>
      <c r="M47" s="542" t="e">
        <f t="shared" si="1"/>
        <v>#DIV/0!</v>
      </c>
      <c r="N47" s="542" t="e">
        <f t="shared" si="1"/>
        <v>#DIV/0!</v>
      </c>
      <c r="O47" s="542" t="e">
        <f t="shared" si="1"/>
        <v>#DIV/0!</v>
      </c>
      <c r="P47" s="542" t="e">
        <f t="shared" si="1"/>
        <v>#DIV/0!</v>
      </c>
      <c r="Q47" s="542" t="e">
        <f t="shared" si="1"/>
        <v>#DIV/0!</v>
      </c>
      <c r="R47" s="542" t="e">
        <f t="shared" si="1"/>
        <v>#DIV/0!</v>
      </c>
      <c r="S47" s="542" t="e">
        <f t="shared" si="1"/>
        <v>#DIV/0!</v>
      </c>
      <c r="T47" s="542" t="e">
        <f t="shared" si="1"/>
        <v>#DIV/0!</v>
      </c>
      <c r="U47" s="542" t="e">
        <f t="shared" si="1"/>
        <v>#DIV/0!</v>
      </c>
      <c r="V47" s="542" t="e">
        <f t="shared" si="1"/>
        <v>#DIV/0!</v>
      </c>
      <c r="W47" s="542" t="e">
        <f t="shared" si="1"/>
        <v>#DIV/0!</v>
      </c>
      <c r="X47" s="542" t="e">
        <f t="shared" si="1"/>
        <v>#DIV/0!</v>
      </c>
      <c r="Y47" s="542" t="e">
        <f t="shared" si="1"/>
        <v>#DIV/0!</v>
      </c>
      <c r="Z47" s="542" t="e">
        <f t="shared" si="1"/>
        <v>#DIV/0!</v>
      </c>
      <c r="AA47" s="542" t="e">
        <f t="shared" si="1"/>
        <v>#DIV/0!</v>
      </c>
      <c r="AB47" s="542" t="e">
        <f t="shared" si="1"/>
        <v>#DIV/0!</v>
      </c>
      <c r="AC47" s="542" t="e">
        <f t="shared" si="1"/>
        <v>#DIV/0!</v>
      </c>
      <c r="AD47" s="542" t="e">
        <f t="shared" si="1"/>
        <v>#DIV/0!</v>
      </c>
      <c r="AE47" s="542" t="e">
        <f t="shared" si="1"/>
        <v>#DIV/0!</v>
      </c>
      <c r="AF47" s="542" t="e">
        <f t="shared" si="1"/>
        <v>#DIV/0!</v>
      </c>
      <c r="AG47" s="542" t="e">
        <f t="shared" si="1"/>
        <v>#DIV/0!</v>
      </c>
    </row>
    <row r="48" spans="2:34" s="82" customFormat="1" ht="15.75" customHeight="1" x14ac:dyDescent="0.3">
      <c r="B48" s="659" t="s">
        <v>167</v>
      </c>
      <c r="C48" s="659"/>
      <c r="D48" s="542" t="e">
        <f>'2. General project information'!$C$68-SUM($D47:D47)</f>
        <v>#DIV/0!</v>
      </c>
      <c r="E48" s="542" t="e">
        <f>'2. General project information'!$C$68-SUM($D47:E47)</f>
        <v>#DIV/0!</v>
      </c>
      <c r="F48" s="542" t="e">
        <f>'2. General project information'!$C$68-SUM($D47:F47)</f>
        <v>#DIV/0!</v>
      </c>
      <c r="G48" s="542" t="e">
        <f>'2. General project information'!$C$68-SUM($D47:G47)</f>
        <v>#DIV/0!</v>
      </c>
      <c r="H48" s="542" t="e">
        <f>'2. General project information'!$C$68-SUM($D47:H47)</f>
        <v>#DIV/0!</v>
      </c>
      <c r="I48" s="542" t="e">
        <f>'2. General project information'!$C$68-SUM($D47:I47)</f>
        <v>#DIV/0!</v>
      </c>
      <c r="J48" s="542" t="e">
        <f>'2. General project information'!$C$68-SUM($D47:J47)</f>
        <v>#DIV/0!</v>
      </c>
      <c r="K48" s="542" t="e">
        <f>'2. General project information'!$C$68-SUM($D47:K47)</f>
        <v>#DIV/0!</v>
      </c>
      <c r="L48" s="542" t="e">
        <f>'2. General project information'!$C$68-SUM($D47:L47)</f>
        <v>#DIV/0!</v>
      </c>
      <c r="M48" s="542" t="e">
        <f>'2. General project information'!$C$68-SUM($D47:M47)</f>
        <v>#DIV/0!</v>
      </c>
      <c r="N48" s="542" t="e">
        <f>'2. General project information'!$C$68-SUM($D47:N47)</f>
        <v>#DIV/0!</v>
      </c>
      <c r="O48" s="542" t="e">
        <f>'2. General project information'!$C$68-SUM($D47:O47)</f>
        <v>#DIV/0!</v>
      </c>
      <c r="P48" s="542" t="e">
        <f>'2. General project information'!$C$68-SUM($D47:P47)</f>
        <v>#DIV/0!</v>
      </c>
      <c r="Q48" s="542" t="e">
        <f>'2. General project information'!$C$68-SUM($D47:Q47)</f>
        <v>#DIV/0!</v>
      </c>
      <c r="R48" s="542" t="e">
        <f>'2. General project information'!$C$68-SUM($D47:R47)</f>
        <v>#DIV/0!</v>
      </c>
      <c r="S48" s="542" t="e">
        <f>'2. General project information'!$C$68-SUM($D47:S47)</f>
        <v>#DIV/0!</v>
      </c>
      <c r="T48" s="542" t="e">
        <f>'2. General project information'!$C$68-SUM($D47:T47)</f>
        <v>#DIV/0!</v>
      </c>
      <c r="U48" s="542" t="e">
        <f>'2. General project information'!$C$68-SUM($D47:U47)</f>
        <v>#DIV/0!</v>
      </c>
      <c r="V48" s="542" t="e">
        <f>'2. General project information'!$C$68-SUM($D47:V47)</f>
        <v>#DIV/0!</v>
      </c>
      <c r="W48" s="542" t="e">
        <f>'2. General project information'!$C$68-SUM($D47:W47)</f>
        <v>#DIV/0!</v>
      </c>
      <c r="X48" s="542" t="e">
        <f>'2. General project information'!$C$68-SUM($D47:X47)</f>
        <v>#DIV/0!</v>
      </c>
      <c r="Y48" s="542" t="e">
        <f>'2. General project information'!$C$68-SUM($D47:Y47)</f>
        <v>#DIV/0!</v>
      </c>
      <c r="Z48" s="542" t="e">
        <f>'2. General project information'!$C$68-SUM($D47:Z47)</f>
        <v>#DIV/0!</v>
      </c>
      <c r="AA48" s="542" t="e">
        <f>'2. General project information'!$C$68-SUM($D47:AA47)</f>
        <v>#DIV/0!</v>
      </c>
      <c r="AB48" s="542" t="e">
        <f>'2. General project information'!$C$68-SUM($D47:AB47)</f>
        <v>#DIV/0!</v>
      </c>
      <c r="AC48" s="542" t="e">
        <f>'2. General project information'!$C$68-SUM($D47:AC47)</f>
        <v>#DIV/0!</v>
      </c>
      <c r="AD48" s="542" t="e">
        <f>'2. General project information'!$C$68-SUM($D47:AD47)</f>
        <v>#DIV/0!</v>
      </c>
      <c r="AE48" s="542" t="e">
        <f>'2. General project information'!$C$68-SUM($D47:AE47)</f>
        <v>#DIV/0!</v>
      </c>
      <c r="AF48" s="542" t="e">
        <f>'2. General project information'!$C$68-SUM($D47:AF47)</f>
        <v>#DIV/0!</v>
      </c>
      <c r="AG48" s="542" t="e">
        <f>'2. General project information'!$C$68-SUM($D47:AG47)</f>
        <v>#DIV/0!</v>
      </c>
    </row>
    <row r="49" spans="2:34" x14ac:dyDescent="0.35">
      <c r="B49" s="114"/>
      <c r="D49" s="82"/>
      <c r="F49" s="470" t="str" cm="1">
        <f t="array" ref="F49">IF(AND(D41=0,D46:AG46=""),"Brownfield is neither being removed or added - please verify this outcome matches the intervention or reference case.",IF(AG48&gt;0,"Some brownfield will remain in this scenario, please verify and continue.",IF(AG48=0,"All brownfield is removed in this scenario, please verify and continue.",IF(AG48&lt;0,"ERROR - More brownfield area is removed than the current brownfield area."))))</f>
        <v>Brownfield is neither being removed or added - please verify this outcome matches the intervention or reference case.</v>
      </c>
    </row>
    <row r="50" spans="2:34" ht="16" thickBot="1" x14ac:dyDescent="0.4">
      <c r="B50" s="138" t="s">
        <v>168</v>
      </c>
      <c r="C50" s="110"/>
      <c r="D50" s="111"/>
      <c r="E50" s="92"/>
      <c r="F50" s="92"/>
      <c r="G50" s="92"/>
      <c r="H50" s="92"/>
      <c r="I50" s="92"/>
      <c r="J50" s="92"/>
      <c r="K50" s="111"/>
      <c r="L50" s="9"/>
      <c r="M50" s="9"/>
      <c r="N50" s="9"/>
      <c r="O50" s="9"/>
      <c r="P50" s="9"/>
      <c r="Q50" s="9"/>
      <c r="R50" s="9"/>
      <c r="S50" s="9"/>
      <c r="T50" s="9"/>
      <c r="U50" s="9"/>
      <c r="V50" s="9"/>
      <c r="W50" s="9"/>
      <c r="X50" s="9"/>
      <c r="Y50" s="9"/>
      <c r="Z50" s="9"/>
      <c r="AA50" s="9"/>
      <c r="AB50" s="9"/>
      <c r="AC50" s="9"/>
      <c r="AD50" s="9"/>
      <c r="AE50" s="9"/>
      <c r="AF50" s="9"/>
      <c r="AG50" s="9"/>
      <c r="AH50" s="9"/>
    </row>
    <row r="51" spans="2:34" ht="15.5" x14ac:dyDescent="0.35">
      <c r="B51" s="557"/>
      <c r="C51" s="128"/>
      <c r="D51" s="112"/>
      <c r="E51" s="82"/>
      <c r="F51" s="82"/>
      <c r="G51" s="82"/>
      <c r="H51" s="82"/>
      <c r="I51" s="82"/>
      <c r="J51" s="82"/>
      <c r="K51" s="112"/>
    </row>
    <row r="52" spans="2:34" s="82" customFormat="1" x14ac:dyDescent="0.35">
      <c r="B52" s="558" t="s">
        <v>78</v>
      </c>
      <c r="C52" s="128"/>
      <c r="D52" s="128"/>
      <c r="E52" s="112"/>
      <c r="K52" s="112"/>
      <c r="L52" s="112"/>
      <c r="R52" s="172"/>
      <c r="S52" s="172"/>
      <c r="T52" s="172"/>
    </row>
    <row r="53" spans="2:34" ht="27.75" customHeight="1" x14ac:dyDescent="0.35">
      <c r="B53" s="660" t="s">
        <v>169</v>
      </c>
      <c r="C53" s="660"/>
      <c r="D53" s="660"/>
      <c r="E53" s="660"/>
      <c r="F53" s="660"/>
      <c r="G53" s="660"/>
      <c r="H53" s="660"/>
      <c r="I53" s="660"/>
      <c r="J53" s="660"/>
      <c r="K53" s="87"/>
      <c r="L53" s="87"/>
      <c r="M53" s="87"/>
      <c r="N53" s="87"/>
      <c r="O53" s="87"/>
      <c r="P53" s="87"/>
      <c r="Q53" s="87"/>
      <c r="R53" s="87"/>
    </row>
    <row r="54" spans="2:34" s="82" customFormat="1" ht="12.75" customHeight="1" thickBot="1" x14ac:dyDescent="0.35">
      <c r="B54" s="560"/>
      <c r="C54" s="561"/>
      <c r="D54" s="562"/>
      <c r="E54" s="562"/>
      <c r="F54" s="562"/>
      <c r="G54" s="562"/>
      <c r="H54" s="562"/>
      <c r="I54" s="562"/>
      <c r="J54" s="56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row r="55" spans="2:34" s="82" customFormat="1" ht="13" x14ac:dyDescent="0.3">
      <c r="B55" s="114"/>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row>
    <row r="56" spans="2:34" s="82" customFormat="1" x14ac:dyDescent="0.35">
      <c r="B56" s="558" t="s">
        <v>80</v>
      </c>
      <c r="C56" s="128"/>
      <c r="D56" s="128"/>
      <c r="E56" s="112"/>
      <c r="K56" s="112"/>
      <c r="L56" s="112"/>
      <c r="R56" s="172"/>
      <c r="S56" s="172"/>
      <c r="T56" s="172"/>
    </row>
    <row r="57" spans="2:34" s="545" customFormat="1" ht="26.5" x14ac:dyDescent="0.35">
      <c r="B57" s="547" t="s">
        <v>170</v>
      </c>
      <c r="C57" s="124" t="s">
        <v>171</v>
      </c>
      <c r="E57" s="124" t="s">
        <v>172</v>
      </c>
      <c r="F57" s="124" t="s">
        <v>173</v>
      </c>
      <c r="G57" s="122"/>
      <c r="H57" s="122"/>
      <c r="I57" s="122"/>
      <c r="J57" s="122"/>
      <c r="K57" s="546"/>
    </row>
    <row r="58" spans="2:34" x14ac:dyDescent="0.35">
      <c r="B58" s="548" t="s">
        <v>174</v>
      </c>
      <c r="C58" s="566" t="s">
        <v>175</v>
      </c>
      <c r="E58" s="593" t="str">
        <f>IF(C58="Yes",IF(F58="",INDEX($D$30:$AG$30,MATCH($C$31,$D$32:$AG$32,0)),""),"")</f>
        <v/>
      </c>
      <c r="F58" s="569"/>
      <c r="G58" s="82"/>
      <c r="H58" s="82"/>
      <c r="I58" s="82"/>
      <c r="J58" s="82"/>
      <c r="K58" s="82"/>
    </row>
    <row r="59" spans="2:34" x14ac:dyDescent="0.35">
      <c r="B59" s="548" t="s">
        <v>176</v>
      </c>
      <c r="C59" s="567" t="s">
        <v>175</v>
      </c>
      <c r="E59" s="592" t="str">
        <f t="shared" ref="E59:E66" si="2">IF(C59="Yes",IF(F59="",INDEX($D$30:$AG$30,MATCH($C$31,$D$32:$AG$32,0)),""),"")</f>
        <v/>
      </c>
      <c r="F59" s="570"/>
      <c r="G59" s="82"/>
      <c r="H59" s="82"/>
      <c r="I59" s="82"/>
      <c r="J59" s="82"/>
      <c r="K59" s="82"/>
    </row>
    <row r="60" spans="2:34" x14ac:dyDescent="0.35">
      <c r="B60" s="548" t="s">
        <v>177</v>
      </c>
      <c r="C60" s="567" t="s">
        <v>175</v>
      </c>
      <c r="E60" s="592" t="str">
        <f t="shared" si="2"/>
        <v/>
      </c>
      <c r="F60" s="570"/>
      <c r="G60" s="82"/>
      <c r="H60" s="82"/>
      <c r="I60" s="82"/>
      <c r="J60" s="82"/>
      <c r="K60" s="82"/>
    </row>
    <row r="61" spans="2:34" x14ac:dyDescent="0.35">
      <c r="B61" s="548" t="s">
        <v>178</v>
      </c>
      <c r="C61" s="567" t="s">
        <v>175</v>
      </c>
      <c r="E61" s="592" t="str">
        <f t="shared" si="2"/>
        <v/>
      </c>
      <c r="F61" s="570"/>
      <c r="G61" s="82"/>
      <c r="H61" s="82"/>
      <c r="I61" s="82"/>
      <c r="J61" s="128"/>
      <c r="K61" s="82"/>
    </row>
    <row r="62" spans="2:34" x14ac:dyDescent="0.35">
      <c r="B62" s="548" t="s">
        <v>179</v>
      </c>
      <c r="C62" s="567" t="s">
        <v>175</v>
      </c>
      <c r="E62" s="592" t="str">
        <f t="shared" si="2"/>
        <v/>
      </c>
      <c r="F62" s="570"/>
      <c r="G62" s="82"/>
      <c r="H62" s="82"/>
      <c r="I62" s="82"/>
      <c r="J62" s="82"/>
      <c r="K62" s="82"/>
    </row>
    <row r="63" spans="2:34" x14ac:dyDescent="0.35">
      <c r="B63" s="549" t="s">
        <v>180</v>
      </c>
      <c r="C63" s="567" t="s">
        <v>175</v>
      </c>
      <c r="E63" s="592" t="str">
        <f t="shared" si="2"/>
        <v/>
      </c>
      <c r="F63" s="570"/>
      <c r="G63" s="82"/>
      <c r="H63" s="82"/>
      <c r="I63" s="82"/>
      <c r="J63" s="82"/>
      <c r="K63" s="82"/>
    </row>
    <row r="64" spans="2:34" x14ac:dyDescent="0.35">
      <c r="B64" s="550" t="s">
        <v>181</v>
      </c>
      <c r="C64" s="567" t="s">
        <v>175</v>
      </c>
      <c r="E64" s="592" t="str">
        <f t="shared" si="2"/>
        <v/>
      </c>
      <c r="F64" s="570"/>
      <c r="G64" s="82"/>
      <c r="H64" s="82"/>
      <c r="I64" s="82"/>
      <c r="J64" s="82"/>
      <c r="K64" s="82"/>
    </row>
    <row r="65" spans="2:34" x14ac:dyDescent="0.35">
      <c r="B65" s="549" t="s">
        <v>182</v>
      </c>
      <c r="C65" s="567" t="s">
        <v>175</v>
      </c>
      <c r="E65" s="592" t="str">
        <f t="shared" si="2"/>
        <v/>
      </c>
      <c r="F65" s="570"/>
      <c r="G65" s="82"/>
      <c r="H65" s="82"/>
      <c r="I65" s="82"/>
      <c r="J65" s="128"/>
      <c r="K65" s="82"/>
    </row>
    <row r="66" spans="2:34" x14ac:dyDescent="0.35">
      <c r="B66" s="549" t="s">
        <v>183</v>
      </c>
      <c r="C66" s="568" t="s">
        <v>175</v>
      </c>
      <c r="E66" s="594" t="str">
        <f t="shared" si="2"/>
        <v/>
      </c>
      <c r="F66" s="571"/>
      <c r="G66" s="82"/>
      <c r="H66" s="82"/>
      <c r="I66" s="82"/>
      <c r="J66" s="128"/>
      <c r="K66" s="82"/>
    </row>
    <row r="67" spans="2:34" x14ac:dyDescent="0.35">
      <c r="B67" s="114"/>
      <c r="D67" s="82"/>
      <c r="F67" s="470" t="str" cm="1">
        <f t="array" ref="F67">IF(AND(C58:C66="No"),"No features are being added as a part of this development - please verify this outcome matches the intervention or reference case.",IF(AND(OR(C58:C66="Yes"),OR(E58:F66&lt;&gt;"")),"At least one type of feature is being added as a part of this development - please verify this outcome matches the intervention or reference case.","A year delivered is required for at least one of the added features. Please select a year delivered."))</f>
        <v>No features are being added as a part of this development - please verify this outcome matches the intervention or reference case.</v>
      </c>
    </row>
    <row r="68" spans="2:34" ht="7.5" customHeight="1" x14ac:dyDescent="0.35">
      <c r="B68" s="114"/>
      <c r="D68" s="82"/>
      <c r="F68" s="115"/>
    </row>
    <row r="69" spans="2:34" ht="16" thickBot="1" x14ac:dyDescent="0.4">
      <c r="B69" s="138" t="s">
        <v>184</v>
      </c>
      <c r="C69" s="110"/>
      <c r="D69" s="111"/>
      <c r="E69" s="92"/>
      <c r="F69" s="92"/>
      <c r="G69" s="92"/>
      <c r="H69" s="92"/>
      <c r="I69" s="92"/>
      <c r="J69" s="92"/>
      <c r="K69" s="111"/>
      <c r="L69" s="9"/>
      <c r="M69" s="9"/>
      <c r="N69" s="9"/>
      <c r="O69" s="9"/>
      <c r="P69" s="9"/>
      <c r="Q69" s="9"/>
      <c r="R69" s="9"/>
      <c r="S69" s="9"/>
      <c r="T69" s="9"/>
      <c r="U69" s="9"/>
      <c r="V69" s="9"/>
      <c r="W69" s="9"/>
      <c r="X69" s="9"/>
      <c r="Y69" s="9"/>
      <c r="Z69" s="9"/>
      <c r="AA69" s="9"/>
      <c r="AB69" s="9"/>
      <c r="AC69" s="9"/>
      <c r="AD69" s="9"/>
      <c r="AE69" s="9"/>
      <c r="AF69" s="9"/>
      <c r="AG69" s="9"/>
      <c r="AH69" s="9"/>
    </row>
    <row r="70" spans="2:34" x14ac:dyDescent="0.35">
      <c r="B70" s="643" t="s">
        <v>139</v>
      </c>
      <c r="C70" s="643"/>
      <c r="D70" s="643"/>
      <c r="E70" s="643"/>
      <c r="F70" s="643"/>
      <c r="G70" s="643"/>
      <c r="H70" s="643"/>
      <c r="I70" s="643"/>
      <c r="J70" s="643"/>
      <c r="K70" s="643"/>
      <c r="L70" s="643"/>
      <c r="M70" s="643"/>
      <c r="N70" s="643"/>
      <c r="O70" s="643"/>
      <c r="P70" s="643"/>
      <c r="Q70" s="643"/>
      <c r="R70" s="643"/>
    </row>
    <row r="71" spans="2:34" ht="7.5" customHeight="1" x14ac:dyDescent="0.35">
      <c r="B71" s="123"/>
      <c r="C71" s="123"/>
      <c r="D71" s="123"/>
      <c r="E71" s="123"/>
      <c r="F71" s="123"/>
      <c r="G71" s="123"/>
      <c r="H71" s="123"/>
      <c r="I71" s="123"/>
      <c r="J71" s="123"/>
      <c r="K71" s="123"/>
      <c r="L71" s="123"/>
      <c r="M71" s="123"/>
      <c r="N71" s="123"/>
      <c r="O71" s="123"/>
      <c r="P71" s="123"/>
      <c r="Q71" s="123"/>
      <c r="R71" s="123"/>
    </row>
    <row r="72" spans="2:34" ht="16.5" customHeight="1" x14ac:dyDescent="0.35">
      <c r="B72" s="131" t="s">
        <v>140</v>
      </c>
      <c r="C72" s="132" t="s">
        <v>141</v>
      </c>
      <c r="D72" s="133"/>
      <c r="E72" s="134"/>
      <c r="F72" s="134"/>
      <c r="G72" s="134"/>
      <c r="H72" s="134"/>
      <c r="I72" s="134"/>
      <c r="J72" s="82"/>
      <c r="K72" s="112"/>
    </row>
    <row r="73" spans="2:34" x14ac:dyDescent="0.35">
      <c r="B73" s="123" t="s">
        <v>185</v>
      </c>
      <c r="C73" s="135" t="str">
        <f>IF($F$21="","All optional and required input cells filled",$F$21)</f>
        <v>More inputs are required in this section - please review and fill the missing inputs.</v>
      </c>
      <c r="D73" s="112"/>
      <c r="E73" s="82"/>
      <c r="F73" s="82"/>
      <c r="G73" s="82"/>
      <c r="H73" s="82"/>
      <c r="I73" s="82"/>
      <c r="J73" s="82"/>
      <c r="K73" s="112"/>
    </row>
    <row r="74" spans="2:34" x14ac:dyDescent="0.35">
      <c r="B74" s="123" t="s">
        <v>186</v>
      </c>
      <c r="C74" s="135" t="str">
        <f>IF($F$33="","All optional and required input cells filled",$F$33)</f>
        <v>More inputs are required in this section - please review and fill the missing inputs!</v>
      </c>
      <c r="D74" s="112"/>
      <c r="E74" s="82"/>
      <c r="F74" s="82"/>
      <c r="G74" s="82"/>
      <c r="H74" s="82"/>
      <c r="I74" s="82"/>
      <c r="J74" s="82"/>
      <c r="K74" s="112"/>
    </row>
    <row r="75" spans="2:34" x14ac:dyDescent="0.35">
      <c r="B75" s="123" t="s">
        <v>187</v>
      </c>
      <c r="C75" s="135" t="str">
        <f>F49</f>
        <v>Brownfield is neither being removed or added - please verify this outcome matches the intervention or reference case.</v>
      </c>
      <c r="D75" s="112"/>
      <c r="E75" s="82"/>
      <c r="F75" s="82"/>
      <c r="G75" s="82"/>
      <c r="H75" s="82"/>
      <c r="I75" s="82"/>
      <c r="J75" s="82"/>
      <c r="K75" s="112"/>
    </row>
    <row r="76" spans="2:34" x14ac:dyDescent="0.35">
      <c r="B76" s="123" t="s">
        <v>188</v>
      </c>
      <c r="C76" s="135" t="str">
        <f>F67</f>
        <v>No features are being added as a part of this development - please verify this outcome matches the intervention or reference case.</v>
      </c>
      <c r="D76" s="112"/>
      <c r="E76" s="82"/>
      <c r="F76" s="82"/>
      <c r="G76" s="82"/>
      <c r="H76" s="82"/>
      <c r="I76" s="82"/>
      <c r="J76" s="82"/>
      <c r="K76" s="112"/>
    </row>
    <row r="77" spans="2:34" x14ac:dyDescent="0.35">
      <c r="B77" s="123"/>
      <c r="C77" s="123"/>
      <c r="D77" s="112"/>
      <c r="E77" s="82"/>
      <c r="F77" s="82"/>
      <c r="G77" s="82"/>
      <c r="H77" s="82"/>
      <c r="I77" s="82"/>
      <c r="J77" s="82"/>
      <c r="K77" s="112"/>
    </row>
    <row r="78" spans="2:34" ht="18" customHeight="1" x14ac:dyDescent="0.35">
      <c r="B78" s="656" t="s">
        <v>189</v>
      </c>
      <c r="C78" s="656"/>
      <c r="D78" s="656"/>
      <c r="E78" s="656"/>
      <c r="F78" s="656"/>
      <c r="G78" s="656"/>
      <c r="H78" s="656"/>
    </row>
    <row r="79" spans="2:34" ht="15" thickBot="1" x14ac:dyDescent="0.4">
      <c r="B79" s="657"/>
      <c r="C79" s="657"/>
      <c r="D79" s="657"/>
      <c r="E79" s="657"/>
      <c r="F79" s="657"/>
      <c r="G79" s="657"/>
      <c r="H79" s="657"/>
      <c r="I79" s="9"/>
      <c r="J79" s="9"/>
      <c r="K79" s="9"/>
      <c r="L79" s="9"/>
      <c r="M79" s="9"/>
      <c r="N79" s="9"/>
    </row>
    <row r="80" spans="2:34" ht="7.5" customHeight="1" x14ac:dyDescent="0.35">
      <c r="D80" s="82"/>
    </row>
    <row r="81" spans="2:4" x14ac:dyDescent="0.35">
      <c r="B81" s="486" t="s">
        <v>18</v>
      </c>
      <c r="D81" s="82"/>
    </row>
    <row r="82" spans="2:4" x14ac:dyDescent="0.35">
      <c r="B82" s="487" t="s">
        <v>21</v>
      </c>
      <c r="D82" s="82"/>
    </row>
    <row r="83" spans="2:4" x14ac:dyDescent="0.35">
      <c r="D83" s="82"/>
    </row>
    <row r="84" spans="2:4" hidden="1" x14ac:dyDescent="0.35">
      <c r="D84" s="82"/>
    </row>
    <row r="85" spans="2:4" hidden="1" x14ac:dyDescent="0.35">
      <c r="D85" s="82"/>
    </row>
    <row r="86" spans="2:4" hidden="1" x14ac:dyDescent="0.35">
      <c r="D86" s="82"/>
    </row>
    <row r="87" spans="2:4" hidden="1" x14ac:dyDescent="0.35">
      <c r="D87" s="82"/>
    </row>
    <row r="88" spans="2:4" hidden="1" x14ac:dyDescent="0.35">
      <c r="D88" s="82"/>
    </row>
    <row r="89" spans="2:4" hidden="1" x14ac:dyDescent="0.35">
      <c r="D89" s="82"/>
    </row>
    <row r="90" spans="2:4" hidden="1" x14ac:dyDescent="0.35">
      <c r="D90" s="82"/>
    </row>
    <row r="91" spans="2:4" hidden="1" x14ac:dyDescent="0.35">
      <c r="D91" s="82"/>
    </row>
    <row r="92" spans="2:4" hidden="1" x14ac:dyDescent="0.35">
      <c r="D92" s="82"/>
    </row>
    <row r="93" spans="2:4" hidden="1" x14ac:dyDescent="0.35">
      <c r="D93" s="82"/>
    </row>
    <row r="94" spans="2:4" hidden="1" x14ac:dyDescent="0.35">
      <c r="D94" s="82"/>
    </row>
    <row r="95" spans="2:4" hidden="1" x14ac:dyDescent="0.35">
      <c r="D95" s="82"/>
    </row>
    <row r="96" spans="2:4" hidden="1" x14ac:dyDescent="0.35">
      <c r="D96" s="82"/>
    </row>
    <row r="97" spans="4:4" hidden="1" x14ac:dyDescent="0.35">
      <c r="D97" s="82"/>
    </row>
    <row r="98" spans="4:4" hidden="1" x14ac:dyDescent="0.35">
      <c r="D98" s="82"/>
    </row>
    <row r="99" spans="4:4" hidden="1" x14ac:dyDescent="0.35">
      <c r="D99" s="82"/>
    </row>
    <row r="100" spans="4:4" hidden="1" x14ac:dyDescent="0.35">
      <c r="D100" s="82"/>
    </row>
    <row r="101" spans="4:4" hidden="1" x14ac:dyDescent="0.35">
      <c r="D101" s="82"/>
    </row>
    <row r="102" spans="4:4" hidden="1" x14ac:dyDescent="0.35">
      <c r="D102" s="82"/>
    </row>
    <row r="103" spans="4:4" hidden="1" x14ac:dyDescent="0.35">
      <c r="D103" s="82"/>
    </row>
    <row r="104" spans="4:4" hidden="1" x14ac:dyDescent="0.35">
      <c r="D104" s="82"/>
    </row>
    <row r="105" spans="4:4" hidden="1" x14ac:dyDescent="0.35">
      <c r="D105" s="82"/>
    </row>
    <row r="106" spans="4:4" hidden="1" x14ac:dyDescent="0.35">
      <c r="D106" s="82"/>
    </row>
    <row r="107" spans="4:4" hidden="1" x14ac:dyDescent="0.35">
      <c r="D107" s="82"/>
    </row>
    <row r="108" spans="4:4" hidden="1" x14ac:dyDescent="0.35">
      <c r="D108" s="82"/>
    </row>
    <row r="109" spans="4:4" hidden="1" x14ac:dyDescent="0.35">
      <c r="D109" s="82"/>
    </row>
    <row r="110" spans="4:4" hidden="1" x14ac:dyDescent="0.35">
      <c r="D110" s="82"/>
    </row>
    <row r="111" spans="4:4" hidden="1" x14ac:dyDescent="0.35">
      <c r="D111" s="82"/>
    </row>
    <row r="112" spans="4:4" hidden="1" x14ac:dyDescent="0.35">
      <c r="D112" s="82"/>
    </row>
    <row r="113" spans="4:4" hidden="1" x14ac:dyDescent="0.35">
      <c r="D113" s="82"/>
    </row>
    <row r="114" spans="4:4" hidden="1" x14ac:dyDescent="0.35">
      <c r="D114" s="82"/>
    </row>
    <row r="115" spans="4:4" hidden="1" x14ac:dyDescent="0.35">
      <c r="D115" s="82"/>
    </row>
    <row r="116" spans="4:4" hidden="1" x14ac:dyDescent="0.35">
      <c r="D116" s="82"/>
    </row>
    <row r="117" spans="4:4" hidden="1" x14ac:dyDescent="0.35">
      <c r="D117" s="82"/>
    </row>
    <row r="118" spans="4:4" hidden="1" x14ac:dyDescent="0.35">
      <c r="D118" s="82"/>
    </row>
    <row r="119" spans="4:4" hidden="1" x14ac:dyDescent="0.35">
      <c r="D119" s="82"/>
    </row>
    <row r="120" spans="4:4" hidden="1" x14ac:dyDescent="0.35">
      <c r="D120" s="82"/>
    </row>
    <row r="121" spans="4:4" hidden="1" x14ac:dyDescent="0.35">
      <c r="D121" s="82"/>
    </row>
    <row r="122" spans="4:4" hidden="1" x14ac:dyDescent="0.35">
      <c r="D122" s="82"/>
    </row>
    <row r="123" spans="4:4" hidden="1" x14ac:dyDescent="0.35">
      <c r="D123" s="82"/>
    </row>
    <row r="124" spans="4:4" hidden="1" x14ac:dyDescent="0.35">
      <c r="D124" s="82"/>
    </row>
    <row r="125" spans="4:4" hidden="1" x14ac:dyDescent="0.35">
      <c r="D125" s="82"/>
    </row>
    <row r="126" spans="4:4" hidden="1" x14ac:dyDescent="0.35">
      <c r="D126" s="82"/>
    </row>
    <row r="127" spans="4:4" hidden="1" x14ac:dyDescent="0.35">
      <c r="D127" s="82"/>
    </row>
    <row r="128" spans="4:4" hidden="1" x14ac:dyDescent="0.35">
      <c r="D128" s="82"/>
    </row>
    <row r="129" spans="4:4" hidden="1" x14ac:dyDescent="0.35">
      <c r="D129" s="82"/>
    </row>
    <row r="130" spans="4:4" hidden="1" x14ac:dyDescent="0.35">
      <c r="D130" s="82"/>
    </row>
    <row r="131" spans="4:4" hidden="1" x14ac:dyDescent="0.35">
      <c r="D131" s="82"/>
    </row>
    <row r="132" spans="4:4" hidden="1" x14ac:dyDescent="0.35">
      <c r="D132" s="82"/>
    </row>
    <row r="133" spans="4:4" hidden="1" x14ac:dyDescent="0.35">
      <c r="D133" s="82"/>
    </row>
    <row r="134" spans="4:4" hidden="1" x14ac:dyDescent="0.35">
      <c r="D134" s="82"/>
    </row>
    <row r="135" spans="4:4" hidden="1" x14ac:dyDescent="0.35">
      <c r="D135" s="82"/>
    </row>
    <row r="136" spans="4:4" hidden="1" x14ac:dyDescent="0.35">
      <c r="D136" s="82"/>
    </row>
    <row r="137" spans="4:4" hidden="1" x14ac:dyDescent="0.35">
      <c r="D137" s="82"/>
    </row>
    <row r="138" spans="4:4" hidden="1" x14ac:dyDescent="0.35">
      <c r="D138" s="82"/>
    </row>
    <row r="139" spans="4:4" hidden="1" x14ac:dyDescent="0.35">
      <c r="D139" s="82"/>
    </row>
    <row r="140" spans="4:4" hidden="1" x14ac:dyDescent="0.35">
      <c r="D140" s="82"/>
    </row>
    <row r="141" spans="4:4" hidden="1" x14ac:dyDescent="0.35">
      <c r="D141" s="82"/>
    </row>
    <row r="142" spans="4:4" hidden="1" x14ac:dyDescent="0.35">
      <c r="D142" s="82"/>
    </row>
    <row r="143" spans="4:4" hidden="1" x14ac:dyDescent="0.35">
      <c r="D143" s="82"/>
    </row>
    <row r="144" spans="4:4" hidden="1" x14ac:dyDescent="0.35">
      <c r="D144" s="82"/>
    </row>
    <row r="145" spans="4:4" hidden="1" x14ac:dyDescent="0.35">
      <c r="D145" s="82"/>
    </row>
    <row r="146" spans="4:4" hidden="1" x14ac:dyDescent="0.35">
      <c r="D146" s="82"/>
    </row>
    <row r="147" spans="4:4" hidden="1" x14ac:dyDescent="0.35">
      <c r="D147" s="82"/>
    </row>
    <row r="148" spans="4:4" hidden="1" x14ac:dyDescent="0.35">
      <c r="D148" s="82"/>
    </row>
    <row r="149" spans="4:4" hidden="1" x14ac:dyDescent="0.35">
      <c r="D149" s="82"/>
    </row>
    <row r="150" spans="4:4" hidden="1" x14ac:dyDescent="0.35">
      <c r="D150" s="82"/>
    </row>
    <row r="151" spans="4:4" hidden="1" x14ac:dyDescent="0.35">
      <c r="D151" s="82"/>
    </row>
    <row r="152" spans="4:4" hidden="1" x14ac:dyDescent="0.35">
      <c r="D152" s="82"/>
    </row>
    <row r="153" spans="4:4" hidden="1" x14ac:dyDescent="0.35">
      <c r="D153" s="82"/>
    </row>
    <row r="154" spans="4:4" hidden="1" x14ac:dyDescent="0.35">
      <c r="D154" s="82"/>
    </row>
    <row r="155" spans="4:4" hidden="1" x14ac:dyDescent="0.35">
      <c r="D155" s="82"/>
    </row>
    <row r="156" spans="4:4" hidden="1" x14ac:dyDescent="0.35">
      <c r="D156" s="82"/>
    </row>
    <row r="157" spans="4:4" hidden="1" x14ac:dyDescent="0.35">
      <c r="D157" s="82"/>
    </row>
    <row r="158" spans="4:4" hidden="1" x14ac:dyDescent="0.35">
      <c r="D158" s="82"/>
    </row>
    <row r="159" spans="4:4" hidden="1" x14ac:dyDescent="0.35">
      <c r="D159" s="82"/>
    </row>
    <row r="160" spans="4:4" hidden="1" x14ac:dyDescent="0.35">
      <c r="D160" s="82"/>
    </row>
    <row r="161" spans="4:4" hidden="1" x14ac:dyDescent="0.35">
      <c r="D161" s="82"/>
    </row>
    <row r="162" spans="4:4" hidden="1" x14ac:dyDescent="0.35">
      <c r="D162" s="82"/>
    </row>
    <row r="163" spans="4:4" hidden="1" x14ac:dyDescent="0.35">
      <c r="D163" s="82"/>
    </row>
    <row r="164" spans="4:4" hidden="1" x14ac:dyDescent="0.35">
      <c r="D164" s="82"/>
    </row>
    <row r="165" spans="4:4" hidden="1" x14ac:dyDescent="0.35">
      <c r="D165" s="82"/>
    </row>
    <row r="166" spans="4:4" hidden="1" x14ac:dyDescent="0.35">
      <c r="D166" s="82"/>
    </row>
    <row r="167" spans="4:4" hidden="1" x14ac:dyDescent="0.35">
      <c r="D167" s="82"/>
    </row>
    <row r="168" spans="4:4" hidden="1" x14ac:dyDescent="0.35">
      <c r="D168" s="82"/>
    </row>
    <row r="169" spans="4:4" hidden="1" x14ac:dyDescent="0.35">
      <c r="D169" s="82"/>
    </row>
    <row r="170" spans="4:4" hidden="1" x14ac:dyDescent="0.35">
      <c r="D170" s="82"/>
    </row>
    <row r="171" spans="4:4" hidden="1" x14ac:dyDescent="0.35">
      <c r="D171" s="82"/>
    </row>
    <row r="172" spans="4:4" hidden="1" x14ac:dyDescent="0.35">
      <c r="D172" s="82"/>
    </row>
    <row r="173" spans="4:4" hidden="1" x14ac:dyDescent="0.35">
      <c r="D173" s="82"/>
    </row>
    <row r="174" spans="4:4" hidden="1" x14ac:dyDescent="0.35">
      <c r="D174" s="82"/>
    </row>
    <row r="175" spans="4:4" hidden="1" x14ac:dyDescent="0.35">
      <c r="D175" s="82"/>
    </row>
    <row r="176" spans="4:4" hidden="1" x14ac:dyDescent="0.35">
      <c r="D176" s="82"/>
    </row>
    <row r="177" spans="4:4" hidden="1" x14ac:dyDescent="0.35">
      <c r="D177" s="82"/>
    </row>
    <row r="178" spans="4:4" hidden="1" x14ac:dyDescent="0.35">
      <c r="D178" s="82"/>
    </row>
    <row r="179" spans="4:4" hidden="1" x14ac:dyDescent="0.35">
      <c r="D179" s="82"/>
    </row>
    <row r="180" spans="4:4" hidden="1" x14ac:dyDescent="0.35">
      <c r="D180" s="82"/>
    </row>
    <row r="181" spans="4:4" hidden="1" x14ac:dyDescent="0.35">
      <c r="D181" s="82"/>
    </row>
    <row r="182" spans="4:4" hidden="1" x14ac:dyDescent="0.35">
      <c r="D182" s="82"/>
    </row>
    <row r="183" spans="4:4" hidden="1" x14ac:dyDescent="0.35">
      <c r="D183" s="82"/>
    </row>
    <row r="184" spans="4:4" hidden="1" x14ac:dyDescent="0.35">
      <c r="D184" s="82"/>
    </row>
    <row r="185" spans="4:4" hidden="1" x14ac:dyDescent="0.35">
      <c r="D185" s="82"/>
    </row>
    <row r="186" spans="4:4" hidden="1" x14ac:dyDescent="0.35">
      <c r="D186" s="82"/>
    </row>
    <row r="187" spans="4:4" hidden="1" x14ac:dyDescent="0.35">
      <c r="D187" s="82"/>
    </row>
    <row r="188" spans="4:4" hidden="1" x14ac:dyDescent="0.35">
      <c r="D188" s="82"/>
    </row>
    <row r="189" spans="4:4" hidden="1" x14ac:dyDescent="0.35">
      <c r="D189" s="82"/>
    </row>
    <row r="190" spans="4:4" hidden="1" x14ac:dyDescent="0.35">
      <c r="D190" s="82"/>
    </row>
    <row r="191" spans="4:4" hidden="1" x14ac:dyDescent="0.35">
      <c r="D191" s="82"/>
    </row>
    <row r="192" spans="4:4" hidden="1" x14ac:dyDescent="0.35">
      <c r="D192" s="82"/>
    </row>
    <row r="193" spans="4:4" hidden="1" x14ac:dyDescent="0.35">
      <c r="D193" s="82"/>
    </row>
    <row r="194" spans="4:4" hidden="1" x14ac:dyDescent="0.35">
      <c r="D194" s="82"/>
    </row>
    <row r="195" spans="4:4" hidden="1" x14ac:dyDescent="0.35">
      <c r="D195" s="82"/>
    </row>
    <row r="196" spans="4:4" hidden="1" x14ac:dyDescent="0.35">
      <c r="D196" s="82"/>
    </row>
    <row r="197" spans="4:4" hidden="1" x14ac:dyDescent="0.35">
      <c r="D197" s="82"/>
    </row>
    <row r="198" spans="4:4" hidden="1" x14ac:dyDescent="0.35">
      <c r="D198" s="82"/>
    </row>
    <row r="199" spans="4:4" hidden="1" x14ac:dyDescent="0.35">
      <c r="D199" s="82"/>
    </row>
    <row r="200" spans="4:4" hidden="1" x14ac:dyDescent="0.35">
      <c r="D200" s="82"/>
    </row>
    <row r="201" spans="4:4" hidden="1" x14ac:dyDescent="0.35">
      <c r="D201" s="82"/>
    </row>
    <row r="202" spans="4:4" hidden="1" x14ac:dyDescent="0.35">
      <c r="D202" s="82"/>
    </row>
    <row r="203" spans="4:4" hidden="1" x14ac:dyDescent="0.35">
      <c r="D203" s="82"/>
    </row>
    <row r="204" spans="4:4" hidden="1" x14ac:dyDescent="0.35">
      <c r="D204" s="82"/>
    </row>
    <row r="205" spans="4:4" hidden="1" x14ac:dyDescent="0.35">
      <c r="D205" s="82"/>
    </row>
    <row r="206" spans="4:4" hidden="1" x14ac:dyDescent="0.35">
      <c r="D206" s="82"/>
    </row>
    <row r="207" spans="4:4" hidden="1" x14ac:dyDescent="0.35">
      <c r="D207" s="82"/>
    </row>
    <row r="208" spans="4:4" hidden="1" x14ac:dyDescent="0.35">
      <c r="D208" s="82"/>
    </row>
    <row r="209" spans="4:4" hidden="1" x14ac:dyDescent="0.35">
      <c r="D209" s="82"/>
    </row>
    <row r="210" spans="4:4" hidden="1" x14ac:dyDescent="0.35">
      <c r="D210" s="82"/>
    </row>
    <row r="211" spans="4:4" hidden="1" x14ac:dyDescent="0.35">
      <c r="D211" s="82"/>
    </row>
    <row r="212" spans="4:4" hidden="1" x14ac:dyDescent="0.35">
      <c r="D212" s="82"/>
    </row>
    <row r="213" spans="4:4" hidden="1" x14ac:dyDescent="0.35">
      <c r="D213" s="82"/>
    </row>
    <row r="214" spans="4:4" hidden="1" x14ac:dyDescent="0.35">
      <c r="D214" s="82"/>
    </row>
    <row r="215" spans="4:4" hidden="1" x14ac:dyDescent="0.35">
      <c r="D215" s="82"/>
    </row>
    <row r="216" spans="4:4" hidden="1" x14ac:dyDescent="0.35">
      <c r="D216" s="82"/>
    </row>
    <row r="217" spans="4:4" hidden="1" x14ac:dyDescent="0.35">
      <c r="D217" s="82"/>
    </row>
    <row r="218" spans="4:4" hidden="1" x14ac:dyDescent="0.35">
      <c r="D218" s="82"/>
    </row>
    <row r="219" spans="4:4" hidden="1" x14ac:dyDescent="0.35">
      <c r="D219" s="82"/>
    </row>
    <row r="220" spans="4:4" hidden="1" x14ac:dyDescent="0.35">
      <c r="D220" s="82"/>
    </row>
    <row r="221" spans="4:4" hidden="1" x14ac:dyDescent="0.35">
      <c r="D221" s="82"/>
    </row>
    <row r="222" spans="4:4" hidden="1" x14ac:dyDescent="0.35">
      <c r="D222" s="82"/>
    </row>
    <row r="223" spans="4:4" hidden="1" x14ac:dyDescent="0.35">
      <c r="D223" s="82"/>
    </row>
    <row r="224" spans="4:4" hidden="1" x14ac:dyDescent="0.35">
      <c r="D224" s="82"/>
    </row>
    <row r="225" spans="4:4" hidden="1" x14ac:dyDescent="0.35">
      <c r="D225" s="82"/>
    </row>
    <row r="226" spans="4:4" hidden="1" x14ac:dyDescent="0.35">
      <c r="D226" s="82"/>
    </row>
    <row r="227" spans="4:4" hidden="1" x14ac:dyDescent="0.35">
      <c r="D227" s="82"/>
    </row>
    <row r="228" spans="4:4" hidden="1" x14ac:dyDescent="0.35">
      <c r="D228" s="82"/>
    </row>
    <row r="229" spans="4:4" hidden="1" x14ac:dyDescent="0.35">
      <c r="D229" s="82"/>
    </row>
    <row r="230" spans="4:4" hidden="1" x14ac:dyDescent="0.35">
      <c r="D230" s="82"/>
    </row>
    <row r="231" spans="4:4" hidden="1" x14ac:dyDescent="0.35">
      <c r="D231" s="82"/>
    </row>
    <row r="232" spans="4:4" hidden="1" x14ac:dyDescent="0.35">
      <c r="D232" s="82"/>
    </row>
    <row r="233" spans="4:4" hidden="1" x14ac:dyDescent="0.35">
      <c r="D233" s="82"/>
    </row>
    <row r="234" spans="4:4" hidden="1" x14ac:dyDescent="0.35">
      <c r="D234" s="82"/>
    </row>
    <row r="235" spans="4:4" hidden="1" x14ac:dyDescent="0.35">
      <c r="D235" s="82"/>
    </row>
    <row r="236" spans="4:4" hidden="1" x14ac:dyDescent="0.35">
      <c r="D236" s="82"/>
    </row>
    <row r="237" spans="4:4" hidden="1" x14ac:dyDescent="0.35">
      <c r="D237" s="82"/>
    </row>
    <row r="238" spans="4:4" hidden="1" x14ac:dyDescent="0.35">
      <c r="D238" s="82"/>
    </row>
    <row r="239" spans="4:4" hidden="1" x14ac:dyDescent="0.35">
      <c r="D239" s="82"/>
    </row>
    <row r="240" spans="4:4" hidden="1" x14ac:dyDescent="0.35">
      <c r="D240" s="82"/>
    </row>
    <row r="241" spans="4:4" hidden="1" x14ac:dyDescent="0.35">
      <c r="D241" s="82"/>
    </row>
    <row r="242" spans="4:4" hidden="1" x14ac:dyDescent="0.35">
      <c r="D242" s="82"/>
    </row>
    <row r="243" spans="4:4" hidden="1" x14ac:dyDescent="0.35">
      <c r="D243" s="82"/>
    </row>
    <row r="244" spans="4:4" hidden="1" x14ac:dyDescent="0.35">
      <c r="D244" s="82"/>
    </row>
    <row r="245" spans="4:4" hidden="1" x14ac:dyDescent="0.35">
      <c r="D245" s="82"/>
    </row>
    <row r="246" spans="4:4" hidden="1" x14ac:dyDescent="0.35">
      <c r="D246" s="82"/>
    </row>
    <row r="247" spans="4:4" hidden="1" x14ac:dyDescent="0.35">
      <c r="D247" s="82"/>
    </row>
    <row r="248" spans="4:4" hidden="1" x14ac:dyDescent="0.35">
      <c r="D248" s="82"/>
    </row>
    <row r="249" spans="4:4" hidden="1" x14ac:dyDescent="0.35">
      <c r="D249" s="82"/>
    </row>
    <row r="250" spans="4:4" hidden="1" x14ac:dyDescent="0.35">
      <c r="D250" s="82"/>
    </row>
    <row r="251" spans="4:4" hidden="1" x14ac:dyDescent="0.35">
      <c r="D251" s="82"/>
    </row>
    <row r="252" spans="4:4" hidden="1" x14ac:dyDescent="0.35">
      <c r="D252" s="82"/>
    </row>
    <row r="253" spans="4:4" hidden="1" x14ac:dyDescent="0.35">
      <c r="D253" s="82"/>
    </row>
    <row r="254" spans="4:4" hidden="1" x14ac:dyDescent="0.35">
      <c r="D254" s="82"/>
    </row>
    <row r="255" spans="4:4" hidden="1" x14ac:dyDescent="0.35">
      <c r="D255" s="82"/>
    </row>
    <row r="256" spans="4:4" hidden="1" x14ac:dyDescent="0.35">
      <c r="D256" s="82"/>
    </row>
    <row r="257" spans="4:4" hidden="1" x14ac:dyDescent="0.35">
      <c r="D257" s="82"/>
    </row>
    <row r="258" spans="4:4" hidden="1" x14ac:dyDescent="0.35">
      <c r="D258" s="82"/>
    </row>
    <row r="259" spans="4:4" hidden="1" x14ac:dyDescent="0.35">
      <c r="D259" s="82"/>
    </row>
    <row r="260" spans="4:4" hidden="1" x14ac:dyDescent="0.35">
      <c r="D260" s="82"/>
    </row>
    <row r="261" spans="4:4" hidden="1" x14ac:dyDescent="0.35">
      <c r="D261" s="82"/>
    </row>
    <row r="262" spans="4:4" hidden="1" x14ac:dyDescent="0.35">
      <c r="D262" s="82"/>
    </row>
    <row r="263" spans="4:4" hidden="1" x14ac:dyDescent="0.35">
      <c r="D263" s="82"/>
    </row>
    <row r="264" spans="4:4" hidden="1" x14ac:dyDescent="0.35">
      <c r="D264" s="82"/>
    </row>
    <row r="265" spans="4:4" hidden="1" x14ac:dyDescent="0.35">
      <c r="D265" s="82"/>
    </row>
    <row r="266" spans="4:4" hidden="1" x14ac:dyDescent="0.35">
      <c r="D266" s="82"/>
    </row>
    <row r="267" spans="4:4" hidden="1" x14ac:dyDescent="0.35">
      <c r="D267" s="82"/>
    </row>
    <row r="268" spans="4:4" hidden="1" x14ac:dyDescent="0.35">
      <c r="D268" s="82"/>
    </row>
    <row r="269" spans="4:4" hidden="1" x14ac:dyDescent="0.35">
      <c r="D269" s="82"/>
    </row>
    <row r="270" spans="4:4" hidden="1" x14ac:dyDescent="0.35">
      <c r="D270" s="82"/>
    </row>
    <row r="271" spans="4:4" hidden="1" x14ac:dyDescent="0.35">
      <c r="D271" s="82"/>
    </row>
    <row r="272" spans="4:4" hidden="1" x14ac:dyDescent="0.35">
      <c r="D272" s="82"/>
    </row>
    <row r="273" spans="4:4" hidden="1" x14ac:dyDescent="0.35">
      <c r="D273" s="82"/>
    </row>
    <row r="274" spans="4:4" hidden="1" x14ac:dyDescent="0.35">
      <c r="D274" s="82"/>
    </row>
    <row r="275" spans="4:4" hidden="1" x14ac:dyDescent="0.35">
      <c r="D275" s="82"/>
    </row>
    <row r="276" spans="4:4" hidden="1" x14ac:dyDescent="0.35">
      <c r="D276" s="82"/>
    </row>
    <row r="277" spans="4:4" hidden="1" x14ac:dyDescent="0.35">
      <c r="D277" s="82"/>
    </row>
    <row r="278" spans="4:4" hidden="1" x14ac:dyDescent="0.35">
      <c r="D278" s="82"/>
    </row>
    <row r="279" spans="4:4" hidden="1" x14ac:dyDescent="0.35">
      <c r="D279" s="82"/>
    </row>
    <row r="280" spans="4:4" hidden="1" x14ac:dyDescent="0.35">
      <c r="D280" s="82"/>
    </row>
    <row r="281" spans="4:4" hidden="1" x14ac:dyDescent="0.35">
      <c r="D281" s="82"/>
    </row>
    <row r="282" spans="4:4" hidden="1" x14ac:dyDescent="0.35">
      <c r="D282" s="82"/>
    </row>
    <row r="283" spans="4:4" hidden="1" x14ac:dyDescent="0.35">
      <c r="D283" s="82"/>
    </row>
    <row r="284" spans="4:4" hidden="1" x14ac:dyDescent="0.35">
      <c r="D284" s="82"/>
    </row>
    <row r="285" spans="4:4" hidden="1" x14ac:dyDescent="0.35">
      <c r="D285" s="82"/>
    </row>
    <row r="286" spans="4:4" hidden="1" x14ac:dyDescent="0.35">
      <c r="D286" s="82"/>
    </row>
    <row r="287" spans="4:4" hidden="1" x14ac:dyDescent="0.35">
      <c r="D287" s="82"/>
    </row>
    <row r="288" spans="4:4" hidden="1" x14ac:dyDescent="0.35">
      <c r="D288" s="82"/>
    </row>
    <row r="289" spans="4:4" hidden="1" x14ac:dyDescent="0.35">
      <c r="D289" s="82"/>
    </row>
    <row r="290" spans="4:4" hidden="1" x14ac:dyDescent="0.35">
      <c r="D290" s="82"/>
    </row>
    <row r="291" spans="4:4" hidden="1" x14ac:dyDescent="0.35">
      <c r="D291" s="82"/>
    </row>
    <row r="292" spans="4:4" hidden="1" x14ac:dyDescent="0.35">
      <c r="D292" s="82"/>
    </row>
    <row r="293" spans="4:4" hidden="1" x14ac:dyDescent="0.35">
      <c r="D293" s="82"/>
    </row>
    <row r="294" spans="4:4" hidden="1" x14ac:dyDescent="0.35">
      <c r="D294" s="82"/>
    </row>
    <row r="295" spans="4:4" hidden="1" x14ac:dyDescent="0.35">
      <c r="D295" s="82"/>
    </row>
    <row r="296" spans="4:4" hidden="1" x14ac:dyDescent="0.35">
      <c r="D296" s="82"/>
    </row>
    <row r="297" spans="4:4" hidden="1" x14ac:dyDescent="0.35">
      <c r="D297" s="82"/>
    </row>
    <row r="298" spans="4:4" hidden="1" x14ac:dyDescent="0.35">
      <c r="D298" s="82"/>
    </row>
    <row r="299" spans="4:4" hidden="1" x14ac:dyDescent="0.35">
      <c r="D299" s="82"/>
    </row>
    <row r="300" spans="4:4" hidden="1" x14ac:dyDescent="0.35">
      <c r="D300" s="82"/>
    </row>
    <row r="301" spans="4:4" hidden="1" x14ac:dyDescent="0.35">
      <c r="D301" s="82"/>
    </row>
    <row r="302" spans="4:4" hidden="1" x14ac:dyDescent="0.35">
      <c r="D302" s="82"/>
    </row>
    <row r="303" spans="4:4" hidden="1" x14ac:dyDescent="0.35">
      <c r="D303" s="82"/>
    </row>
    <row r="304" spans="4:4" hidden="1" x14ac:dyDescent="0.35">
      <c r="D304" s="82"/>
    </row>
    <row r="305" spans="4:4" hidden="1" x14ac:dyDescent="0.35">
      <c r="D305" s="82"/>
    </row>
    <row r="306" spans="4:4" hidden="1" x14ac:dyDescent="0.35">
      <c r="D306" s="82"/>
    </row>
    <row r="307" spans="4:4" hidden="1" x14ac:dyDescent="0.35">
      <c r="D307" s="82"/>
    </row>
    <row r="308" spans="4:4" hidden="1" x14ac:dyDescent="0.35">
      <c r="D308" s="82"/>
    </row>
    <row r="309" spans="4:4" hidden="1" x14ac:dyDescent="0.35">
      <c r="D309" s="82"/>
    </row>
    <row r="310" spans="4:4" hidden="1" x14ac:dyDescent="0.35">
      <c r="D310" s="82"/>
    </row>
    <row r="311" spans="4:4" hidden="1" x14ac:dyDescent="0.35">
      <c r="D311" s="82"/>
    </row>
    <row r="312" spans="4:4" hidden="1" x14ac:dyDescent="0.35">
      <c r="D312" s="82"/>
    </row>
    <row r="313" spans="4:4" hidden="1" x14ac:dyDescent="0.35">
      <c r="D313" s="82"/>
    </row>
    <row r="314" spans="4:4" hidden="1" x14ac:dyDescent="0.35">
      <c r="D314" s="82"/>
    </row>
    <row r="315" spans="4:4" hidden="1" x14ac:dyDescent="0.35">
      <c r="D315" s="82"/>
    </row>
    <row r="316" spans="4:4" hidden="1" x14ac:dyDescent="0.35">
      <c r="D316" s="82"/>
    </row>
    <row r="317" spans="4:4" hidden="1" x14ac:dyDescent="0.35">
      <c r="D317" s="82"/>
    </row>
    <row r="318" spans="4:4" hidden="1" x14ac:dyDescent="0.35">
      <c r="D318" s="82"/>
    </row>
    <row r="319" spans="4:4" hidden="1" x14ac:dyDescent="0.35">
      <c r="D319" s="82"/>
    </row>
    <row r="320" spans="4:4" hidden="1" x14ac:dyDescent="0.35">
      <c r="D320" s="82"/>
    </row>
    <row r="321" spans="4:4" hidden="1" x14ac:dyDescent="0.35">
      <c r="D321" s="82"/>
    </row>
    <row r="322" spans="4:4" hidden="1" x14ac:dyDescent="0.35">
      <c r="D322" s="82"/>
    </row>
    <row r="323" spans="4:4" hidden="1" x14ac:dyDescent="0.35">
      <c r="D323" s="82"/>
    </row>
    <row r="324" spans="4:4" hidden="1" x14ac:dyDescent="0.35">
      <c r="D324" s="82"/>
    </row>
    <row r="325" spans="4:4" hidden="1" x14ac:dyDescent="0.35">
      <c r="D325" s="82"/>
    </row>
    <row r="326" spans="4:4" hidden="1" x14ac:dyDescent="0.35">
      <c r="D326" s="82"/>
    </row>
    <row r="327" spans="4:4" hidden="1" x14ac:dyDescent="0.35">
      <c r="D327" s="82"/>
    </row>
    <row r="328" spans="4:4" hidden="1" x14ac:dyDescent="0.35">
      <c r="D328" s="82"/>
    </row>
    <row r="329" spans="4:4" hidden="1" x14ac:dyDescent="0.35">
      <c r="D329" s="82"/>
    </row>
    <row r="330" spans="4:4" hidden="1" x14ac:dyDescent="0.35">
      <c r="D330" s="82"/>
    </row>
    <row r="331" spans="4:4" hidden="1" x14ac:dyDescent="0.35">
      <c r="D331" s="82"/>
    </row>
    <row r="332" spans="4:4" hidden="1" x14ac:dyDescent="0.35">
      <c r="D332" s="82"/>
    </row>
    <row r="333" spans="4:4" hidden="1" x14ac:dyDescent="0.35">
      <c r="D333" s="82"/>
    </row>
    <row r="334" spans="4:4" hidden="1" x14ac:dyDescent="0.35">
      <c r="D334" s="82"/>
    </row>
    <row r="335" spans="4:4" hidden="1" x14ac:dyDescent="0.35">
      <c r="D335" s="82"/>
    </row>
    <row r="336" spans="4:4" hidden="1" x14ac:dyDescent="0.35">
      <c r="D336" s="82"/>
    </row>
    <row r="337" spans="4:4" hidden="1" x14ac:dyDescent="0.35">
      <c r="D337" s="82"/>
    </row>
    <row r="338" spans="4:4" hidden="1" x14ac:dyDescent="0.35">
      <c r="D338" s="82"/>
    </row>
    <row r="339" spans="4:4" hidden="1" x14ac:dyDescent="0.35">
      <c r="D339" s="82"/>
    </row>
    <row r="340" spans="4:4" hidden="1" x14ac:dyDescent="0.35">
      <c r="D340" s="82"/>
    </row>
    <row r="341" spans="4:4" hidden="1" x14ac:dyDescent="0.35">
      <c r="D341" s="82"/>
    </row>
    <row r="342" spans="4:4" hidden="1" x14ac:dyDescent="0.35">
      <c r="D342" s="82"/>
    </row>
    <row r="343" spans="4:4" hidden="1" x14ac:dyDescent="0.35">
      <c r="D343" s="82"/>
    </row>
    <row r="344" spans="4:4" hidden="1" x14ac:dyDescent="0.35">
      <c r="D344" s="82"/>
    </row>
    <row r="345" spans="4:4" hidden="1" x14ac:dyDescent="0.35">
      <c r="D345" s="82"/>
    </row>
    <row r="346" spans="4:4" hidden="1" x14ac:dyDescent="0.35">
      <c r="D346" s="82"/>
    </row>
    <row r="347" spans="4:4" hidden="1" x14ac:dyDescent="0.35">
      <c r="D347" s="82"/>
    </row>
    <row r="348" spans="4:4" hidden="1" x14ac:dyDescent="0.35">
      <c r="D348" s="82"/>
    </row>
    <row r="349" spans="4:4" hidden="1" x14ac:dyDescent="0.35">
      <c r="D349" s="82"/>
    </row>
    <row r="350" spans="4:4" hidden="1" x14ac:dyDescent="0.35">
      <c r="D350" s="82"/>
    </row>
    <row r="351" spans="4:4" hidden="1" x14ac:dyDescent="0.35">
      <c r="D351" s="82"/>
    </row>
    <row r="352" spans="4:4" hidden="1" x14ac:dyDescent="0.35">
      <c r="D352" s="82"/>
    </row>
    <row r="353" spans="4:4" hidden="1" x14ac:dyDescent="0.35">
      <c r="D353" s="82"/>
    </row>
    <row r="354" spans="4:4" hidden="1" x14ac:dyDescent="0.35">
      <c r="D354" s="82"/>
    </row>
    <row r="355" spans="4:4" hidden="1" x14ac:dyDescent="0.35">
      <c r="D355" s="82"/>
    </row>
    <row r="356" spans="4:4" hidden="1" x14ac:dyDescent="0.35">
      <c r="D356" s="82"/>
    </row>
    <row r="357" spans="4:4" hidden="1" x14ac:dyDescent="0.35">
      <c r="D357" s="82"/>
    </row>
    <row r="358" spans="4:4" hidden="1" x14ac:dyDescent="0.35">
      <c r="D358" s="82"/>
    </row>
    <row r="359" spans="4:4" hidden="1" x14ac:dyDescent="0.35">
      <c r="D359" s="82"/>
    </row>
    <row r="360" spans="4:4" hidden="1" x14ac:dyDescent="0.35">
      <c r="D360" s="82"/>
    </row>
    <row r="361" spans="4:4" hidden="1" x14ac:dyDescent="0.35">
      <c r="D361" s="82"/>
    </row>
    <row r="362" spans="4:4" hidden="1" x14ac:dyDescent="0.35">
      <c r="D362" s="82"/>
    </row>
    <row r="363" spans="4:4" hidden="1" x14ac:dyDescent="0.35">
      <c r="D363" s="82"/>
    </row>
    <row r="364" spans="4:4" hidden="1" x14ac:dyDescent="0.35">
      <c r="D364" s="82"/>
    </row>
    <row r="365" spans="4:4" hidden="1" x14ac:dyDescent="0.35">
      <c r="D365" s="82"/>
    </row>
    <row r="366" spans="4:4" hidden="1" x14ac:dyDescent="0.35">
      <c r="D366" s="82"/>
    </row>
    <row r="367" spans="4:4" hidden="1" x14ac:dyDescent="0.35">
      <c r="D367" s="82"/>
    </row>
    <row r="368" spans="4:4" hidden="1" x14ac:dyDescent="0.35">
      <c r="D368" s="82"/>
    </row>
    <row r="369" spans="4:4" hidden="1" x14ac:dyDescent="0.35">
      <c r="D369" s="82"/>
    </row>
    <row r="370" spans="4:4" hidden="1" x14ac:dyDescent="0.35">
      <c r="D370" s="82"/>
    </row>
    <row r="371" spans="4:4" hidden="1" x14ac:dyDescent="0.35">
      <c r="D371" s="82"/>
    </row>
    <row r="372" spans="4:4" hidden="1" x14ac:dyDescent="0.35">
      <c r="D372" s="82"/>
    </row>
    <row r="373" spans="4:4" hidden="1" x14ac:dyDescent="0.35">
      <c r="D373" s="82"/>
    </row>
    <row r="374" spans="4:4" hidden="1" x14ac:dyDescent="0.35">
      <c r="D374" s="82"/>
    </row>
    <row r="375" spans="4:4" hidden="1" x14ac:dyDescent="0.35">
      <c r="D375" s="82"/>
    </row>
    <row r="376" spans="4:4" hidden="1" x14ac:dyDescent="0.35">
      <c r="D376" s="82"/>
    </row>
    <row r="377" spans="4:4" hidden="1" x14ac:dyDescent="0.35">
      <c r="D377" s="82"/>
    </row>
    <row r="378" spans="4:4" hidden="1" x14ac:dyDescent="0.35">
      <c r="D378" s="82"/>
    </row>
    <row r="379" spans="4:4" hidden="1" x14ac:dyDescent="0.35">
      <c r="D379" s="82"/>
    </row>
    <row r="380" spans="4:4" hidden="1" x14ac:dyDescent="0.35">
      <c r="D380" s="82"/>
    </row>
    <row r="381" spans="4:4" hidden="1" x14ac:dyDescent="0.35">
      <c r="D381" s="82"/>
    </row>
    <row r="382" spans="4:4" hidden="1" x14ac:dyDescent="0.35">
      <c r="D382" s="82"/>
    </row>
    <row r="383" spans="4:4" hidden="1" x14ac:dyDescent="0.35">
      <c r="D383" s="82"/>
    </row>
    <row r="384" spans="4:4" hidden="1" x14ac:dyDescent="0.35">
      <c r="D384" s="82"/>
    </row>
    <row r="385" spans="4:4" hidden="1" x14ac:dyDescent="0.35">
      <c r="D385" s="82"/>
    </row>
    <row r="386" spans="4:4" hidden="1" x14ac:dyDescent="0.35">
      <c r="D386" s="82"/>
    </row>
    <row r="387" spans="4:4" hidden="1" x14ac:dyDescent="0.35">
      <c r="D387" s="82"/>
    </row>
    <row r="388" spans="4:4" hidden="1" x14ac:dyDescent="0.35">
      <c r="D388" s="82"/>
    </row>
    <row r="389" spans="4:4" hidden="1" x14ac:dyDescent="0.35">
      <c r="D389" s="82"/>
    </row>
    <row r="390" spans="4:4" hidden="1" x14ac:dyDescent="0.35">
      <c r="D390" s="82"/>
    </row>
    <row r="391" spans="4:4" hidden="1" x14ac:dyDescent="0.35">
      <c r="D391" s="82"/>
    </row>
    <row r="392" spans="4:4" hidden="1" x14ac:dyDescent="0.35">
      <c r="D392" s="82"/>
    </row>
    <row r="393" spans="4:4" hidden="1" x14ac:dyDescent="0.35">
      <c r="D393" s="82"/>
    </row>
    <row r="394" spans="4:4" hidden="1" x14ac:dyDescent="0.35">
      <c r="D394" s="82"/>
    </row>
    <row r="395" spans="4:4" hidden="1" x14ac:dyDescent="0.35">
      <c r="D395" s="82"/>
    </row>
    <row r="396" spans="4:4" hidden="1" x14ac:dyDescent="0.35">
      <c r="D396" s="82"/>
    </row>
    <row r="397" spans="4:4" hidden="1" x14ac:dyDescent="0.35">
      <c r="D397" s="82"/>
    </row>
    <row r="398" spans="4:4" hidden="1" x14ac:dyDescent="0.35">
      <c r="D398" s="82"/>
    </row>
    <row r="399" spans="4:4" hidden="1" x14ac:dyDescent="0.35">
      <c r="D399" s="82"/>
    </row>
    <row r="400" spans="4:4" hidden="1" x14ac:dyDescent="0.35">
      <c r="D400" s="82"/>
    </row>
    <row r="401" spans="4:4" hidden="1" x14ac:dyDescent="0.35">
      <c r="D401" s="82"/>
    </row>
    <row r="402" spans="4:4" hidden="1" x14ac:dyDescent="0.35">
      <c r="D402" s="82"/>
    </row>
    <row r="403" spans="4:4" hidden="1" x14ac:dyDescent="0.35">
      <c r="D403" s="82"/>
    </row>
    <row r="404" spans="4:4" hidden="1" x14ac:dyDescent="0.35">
      <c r="D404" s="82"/>
    </row>
    <row r="405" spans="4:4" hidden="1" x14ac:dyDescent="0.35">
      <c r="D405" s="82"/>
    </row>
    <row r="406" spans="4:4" hidden="1" x14ac:dyDescent="0.35">
      <c r="D406" s="82"/>
    </row>
    <row r="407" spans="4:4" hidden="1" x14ac:dyDescent="0.35">
      <c r="D407" s="82"/>
    </row>
    <row r="408" spans="4:4" hidden="1" x14ac:dyDescent="0.35">
      <c r="D408" s="82"/>
    </row>
    <row r="409" spans="4:4" hidden="1" x14ac:dyDescent="0.35">
      <c r="D409" s="82"/>
    </row>
    <row r="410" spans="4:4" hidden="1" x14ac:dyDescent="0.35">
      <c r="D410" s="82"/>
    </row>
    <row r="411" spans="4:4" hidden="1" x14ac:dyDescent="0.35">
      <c r="D411" s="82"/>
    </row>
    <row r="412" spans="4:4" hidden="1" x14ac:dyDescent="0.35">
      <c r="D412" s="82"/>
    </row>
    <row r="413" spans="4:4" hidden="1" x14ac:dyDescent="0.35">
      <c r="D413" s="82"/>
    </row>
    <row r="414" spans="4:4" hidden="1" x14ac:dyDescent="0.35">
      <c r="D414" s="82"/>
    </row>
    <row r="415" spans="4:4" hidden="1" x14ac:dyDescent="0.35">
      <c r="D415" s="82"/>
    </row>
    <row r="416" spans="4:4" hidden="1" x14ac:dyDescent="0.35">
      <c r="D416" s="82"/>
    </row>
    <row r="417" spans="4:4" hidden="1" x14ac:dyDescent="0.35">
      <c r="D417" s="82"/>
    </row>
    <row r="418" spans="4:4" hidden="1" x14ac:dyDescent="0.35">
      <c r="D418" s="82"/>
    </row>
    <row r="419" spans="4:4" hidden="1" x14ac:dyDescent="0.35">
      <c r="D419" s="82"/>
    </row>
    <row r="420" spans="4:4" hidden="1" x14ac:dyDescent="0.35">
      <c r="D420" s="82"/>
    </row>
    <row r="421" spans="4:4" hidden="1" x14ac:dyDescent="0.35">
      <c r="D421" s="82"/>
    </row>
    <row r="422" spans="4:4" hidden="1" x14ac:dyDescent="0.35">
      <c r="D422" s="82"/>
    </row>
    <row r="423" spans="4:4" hidden="1" x14ac:dyDescent="0.35">
      <c r="D423" s="82"/>
    </row>
    <row r="424" spans="4:4" hidden="1" x14ac:dyDescent="0.35">
      <c r="D424" s="82"/>
    </row>
    <row r="425" spans="4:4" hidden="1" x14ac:dyDescent="0.35">
      <c r="D425" s="82"/>
    </row>
    <row r="426" spans="4:4" hidden="1" x14ac:dyDescent="0.35">
      <c r="D426" s="82"/>
    </row>
    <row r="427" spans="4:4" hidden="1" x14ac:dyDescent="0.35">
      <c r="D427" s="82"/>
    </row>
    <row r="428" spans="4:4" hidden="1" x14ac:dyDescent="0.35">
      <c r="D428" s="82"/>
    </row>
    <row r="429" spans="4:4" hidden="1" x14ac:dyDescent="0.35">
      <c r="D429" s="82"/>
    </row>
    <row r="430" spans="4:4" hidden="1" x14ac:dyDescent="0.35">
      <c r="D430" s="82"/>
    </row>
    <row r="431" spans="4:4" hidden="1" x14ac:dyDescent="0.35">
      <c r="D431" s="82"/>
    </row>
    <row r="432" spans="4:4" hidden="1" x14ac:dyDescent="0.35">
      <c r="D432" s="82"/>
    </row>
    <row r="433" spans="4:4" hidden="1" x14ac:dyDescent="0.35">
      <c r="D433" s="82"/>
    </row>
    <row r="434" spans="4:4" hidden="1" x14ac:dyDescent="0.35">
      <c r="D434" s="82"/>
    </row>
    <row r="435" spans="4:4" hidden="1" x14ac:dyDescent="0.35">
      <c r="D435" s="82"/>
    </row>
    <row r="436" spans="4:4" hidden="1" x14ac:dyDescent="0.35">
      <c r="D436" s="82"/>
    </row>
    <row r="437" spans="4:4" hidden="1" x14ac:dyDescent="0.35">
      <c r="D437" s="82"/>
    </row>
    <row r="438" spans="4:4" hidden="1" x14ac:dyDescent="0.35">
      <c r="D438" s="82"/>
    </row>
    <row r="439" spans="4:4" hidden="1" x14ac:dyDescent="0.35">
      <c r="D439" s="82"/>
    </row>
    <row r="440" spans="4:4" hidden="1" x14ac:dyDescent="0.35">
      <c r="D440" s="82"/>
    </row>
    <row r="441" spans="4:4" hidden="1" x14ac:dyDescent="0.35">
      <c r="D441" s="82"/>
    </row>
    <row r="442" spans="4:4" hidden="1" x14ac:dyDescent="0.35">
      <c r="D442" s="82"/>
    </row>
    <row r="443" spans="4:4" hidden="1" x14ac:dyDescent="0.35">
      <c r="D443" s="82"/>
    </row>
    <row r="444" spans="4:4" hidden="1" x14ac:dyDescent="0.35">
      <c r="D444" s="82"/>
    </row>
    <row r="445" spans="4:4" hidden="1" x14ac:dyDescent="0.35">
      <c r="D445" s="82"/>
    </row>
    <row r="446" spans="4:4" hidden="1" x14ac:dyDescent="0.35">
      <c r="D446" s="82"/>
    </row>
    <row r="447" spans="4:4" hidden="1" x14ac:dyDescent="0.35">
      <c r="D447" s="82"/>
    </row>
    <row r="448" spans="4:4" hidden="1" x14ac:dyDescent="0.35">
      <c r="D448" s="82"/>
    </row>
    <row r="449" spans="4:4" hidden="1" x14ac:dyDescent="0.35">
      <c r="D449" s="82"/>
    </row>
    <row r="450" spans="4:4" hidden="1" x14ac:dyDescent="0.35">
      <c r="D450" s="82"/>
    </row>
    <row r="451" spans="4:4" hidden="1" x14ac:dyDescent="0.35">
      <c r="D451" s="82"/>
    </row>
    <row r="452" spans="4:4" hidden="1" x14ac:dyDescent="0.35">
      <c r="D452" s="82"/>
    </row>
    <row r="453" spans="4:4" hidden="1" x14ac:dyDescent="0.35">
      <c r="D453" s="82"/>
    </row>
    <row r="454" spans="4:4" hidden="1" x14ac:dyDescent="0.35">
      <c r="D454" s="82"/>
    </row>
    <row r="455" spans="4:4" hidden="1" x14ac:dyDescent="0.35">
      <c r="D455" s="82"/>
    </row>
    <row r="456" spans="4:4" hidden="1" x14ac:dyDescent="0.35">
      <c r="D456" s="82"/>
    </row>
    <row r="457" spans="4:4" hidden="1" x14ac:dyDescent="0.35">
      <c r="D457" s="82"/>
    </row>
    <row r="458" spans="4:4" hidden="1" x14ac:dyDescent="0.35">
      <c r="D458" s="82"/>
    </row>
    <row r="459" spans="4:4" hidden="1" x14ac:dyDescent="0.35">
      <c r="D459" s="82"/>
    </row>
    <row r="460" spans="4:4" hidden="1" x14ac:dyDescent="0.35">
      <c r="D460" s="82"/>
    </row>
    <row r="461" spans="4:4" hidden="1" x14ac:dyDescent="0.35">
      <c r="D461" s="82"/>
    </row>
    <row r="462" spans="4:4" hidden="1" x14ac:dyDescent="0.35">
      <c r="D462" s="82"/>
    </row>
    <row r="463" spans="4:4" hidden="1" x14ac:dyDescent="0.35">
      <c r="D463" s="82"/>
    </row>
    <row r="464" spans="4:4" hidden="1" x14ac:dyDescent="0.35">
      <c r="D464" s="82"/>
    </row>
    <row r="465" spans="4:4" hidden="1" x14ac:dyDescent="0.35">
      <c r="D465" s="82"/>
    </row>
    <row r="466" spans="4:4" hidden="1" x14ac:dyDescent="0.35">
      <c r="D466" s="82"/>
    </row>
    <row r="467" spans="4:4" hidden="1" x14ac:dyDescent="0.35">
      <c r="D467" s="82"/>
    </row>
    <row r="468" spans="4:4" hidden="1" x14ac:dyDescent="0.35">
      <c r="D468" s="82"/>
    </row>
    <row r="469" spans="4:4" hidden="1" x14ac:dyDescent="0.35">
      <c r="D469" s="82"/>
    </row>
    <row r="470" spans="4:4" hidden="1" x14ac:dyDescent="0.35">
      <c r="D470" s="82"/>
    </row>
    <row r="471" spans="4:4" hidden="1" x14ac:dyDescent="0.35">
      <c r="D471" s="82"/>
    </row>
    <row r="472" spans="4:4" hidden="1" x14ac:dyDescent="0.35">
      <c r="D472" s="82"/>
    </row>
    <row r="473" spans="4:4" hidden="1" x14ac:dyDescent="0.35">
      <c r="D473" s="82"/>
    </row>
    <row r="474" spans="4:4" hidden="1" x14ac:dyDescent="0.35">
      <c r="D474" s="82"/>
    </row>
    <row r="475" spans="4:4" hidden="1" x14ac:dyDescent="0.35">
      <c r="D475" s="82"/>
    </row>
    <row r="476" spans="4:4" hidden="1" x14ac:dyDescent="0.35">
      <c r="D476" s="82"/>
    </row>
    <row r="477" spans="4:4" hidden="1" x14ac:dyDescent="0.35">
      <c r="D477" s="82"/>
    </row>
    <row r="478" spans="4:4" hidden="1" x14ac:dyDescent="0.35">
      <c r="D478" s="82"/>
    </row>
    <row r="479" spans="4:4" hidden="1" x14ac:dyDescent="0.35">
      <c r="D479" s="82"/>
    </row>
    <row r="480" spans="4:4" hidden="1" x14ac:dyDescent="0.35">
      <c r="D480" s="82"/>
    </row>
    <row r="481" spans="4:4" hidden="1" x14ac:dyDescent="0.35">
      <c r="D481" s="82"/>
    </row>
    <row r="482" spans="4:4" hidden="1" x14ac:dyDescent="0.35">
      <c r="D482" s="82"/>
    </row>
    <row r="483" spans="4:4" hidden="1" x14ac:dyDescent="0.35">
      <c r="D483" s="82"/>
    </row>
    <row r="484" spans="4:4" hidden="1" x14ac:dyDescent="0.35">
      <c r="D484" s="82"/>
    </row>
    <row r="485" spans="4:4" hidden="1" x14ac:dyDescent="0.35">
      <c r="D485" s="82"/>
    </row>
    <row r="486" spans="4:4" hidden="1" x14ac:dyDescent="0.35">
      <c r="D486" s="82"/>
    </row>
    <row r="487" spans="4:4" hidden="1" x14ac:dyDescent="0.35">
      <c r="D487" s="82"/>
    </row>
    <row r="488" spans="4:4" hidden="1" x14ac:dyDescent="0.35">
      <c r="D488" s="82"/>
    </row>
    <row r="489" spans="4:4" hidden="1" x14ac:dyDescent="0.35">
      <c r="D489" s="82"/>
    </row>
    <row r="490" spans="4:4" hidden="1" x14ac:dyDescent="0.35">
      <c r="D490" s="82"/>
    </row>
    <row r="491" spans="4:4" hidden="1" x14ac:dyDescent="0.35">
      <c r="D491" s="82"/>
    </row>
    <row r="492" spans="4:4" hidden="1" x14ac:dyDescent="0.35">
      <c r="D492" s="82"/>
    </row>
    <row r="493" spans="4:4" hidden="1" x14ac:dyDescent="0.35">
      <c r="D493" s="82"/>
    </row>
    <row r="494" spans="4:4" hidden="1" x14ac:dyDescent="0.35">
      <c r="D494" s="82"/>
    </row>
    <row r="495" spans="4:4" hidden="1" x14ac:dyDescent="0.35">
      <c r="D495" s="82"/>
    </row>
    <row r="496" spans="4:4" hidden="1" x14ac:dyDescent="0.35">
      <c r="D496" s="82"/>
    </row>
    <row r="497" spans="4:4" hidden="1" x14ac:dyDescent="0.35">
      <c r="D497" s="82"/>
    </row>
    <row r="498" spans="4:4" hidden="1" x14ac:dyDescent="0.35">
      <c r="D498" s="82"/>
    </row>
    <row r="499" spans="4:4" hidden="1" x14ac:dyDescent="0.35">
      <c r="D499" s="82"/>
    </row>
    <row r="500" spans="4:4" hidden="1" x14ac:dyDescent="0.35">
      <c r="D500" s="82"/>
    </row>
    <row r="501" spans="4:4" hidden="1" x14ac:dyDescent="0.35">
      <c r="D501" s="82"/>
    </row>
    <row r="502" spans="4:4" hidden="1" x14ac:dyDescent="0.35">
      <c r="D502" s="82"/>
    </row>
    <row r="503" spans="4:4" hidden="1" x14ac:dyDescent="0.35">
      <c r="D503" s="82"/>
    </row>
    <row r="504" spans="4:4" hidden="1" x14ac:dyDescent="0.35">
      <c r="D504" s="82"/>
    </row>
    <row r="505" spans="4:4" hidden="1" x14ac:dyDescent="0.35">
      <c r="D505" s="82"/>
    </row>
    <row r="506" spans="4:4" hidden="1" x14ac:dyDescent="0.35">
      <c r="D506" s="82"/>
    </row>
    <row r="507" spans="4:4" hidden="1" x14ac:dyDescent="0.35">
      <c r="D507" s="82"/>
    </row>
    <row r="508" spans="4:4" hidden="1" x14ac:dyDescent="0.35">
      <c r="D508" s="82"/>
    </row>
    <row r="509" spans="4:4" hidden="1" x14ac:dyDescent="0.35">
      <c r="D509" s="82"/>
    </row>
    <row r="510" spans="4:4" hidden="1" x14ac:dyDescent="0.35">
      <c r="D510" s="82"/>
    </row>
    <row r="511" spans="4:4" hidden="1" x14ac:dyDescent="0.35">
      <c r="D511" s="82"/>
    </row>
    <row r="512" spans="4:4" hidden="1" x14ac:dyDescent="0.35">
      <c r="D512" s="82"/>
    </row>
    <row r="513" spans="4:4" hidden="1" x14ac:dyDescent="0.35">
      <c r="D513" s="82"/>
    </row>
    <row r="514" spans="4:4" hidden="1" x14ac:dyDescent="0.35">
      <c r="D514" s="82"/>
    </row>
    <row r="515" spans="4:4" hidden="1" x14ac:dyDescent="0.35">
      <c r="D515" s="82"/>
    </row>
    <row r="516" spans="4:4" hidden="1" x14ac:dyDescent="0.35">
      <c r="D516" s="82"/>
    </row>
    <row r="517" spans="4:4" hidden="1" x14ac:dyDescent="0.35">
      <c r="D517" s="82"/>
    </row>
    <row r="518" spans="4:4" hidden="1" x14ac:dyDescent="0.35">
      <c r="D518" s="82"/>
    </row>
    <row r="519" spans="4:4" hidden="1" x14ac:dyDescent="0.35">
      <c r="D519" s="82"/>
    </row>
    <row r="520" spans="4:4" hidden="1" x14ac:dyDescent="0.35">
      <c r="D520" s="82"/>
    </row>
    <row r="521" spans="4:4" hidden="1" x14ac:dyDescent="0.35">
      <c r="D521" s="82"/>
    </row>
    <row r="522" spans="4:4" hidden="1" x14ac:dyDescent="0.35">
      <c r="D522" s="82"/>
    </row>
    <row r="523" spans="4:4" hidden="1" x14ac:dyDescent="0.35">
      <c r="D523" s="82"/>
    </row>
    <row r="524" spans="4:4" hidden="1" x14ac:dyDescent="0.35">
      <c r="D524" s="82"/>
    </row>
    <row r="525" spans="4:4" hidden="1" x14ac:dyDescent="0.35">
      <c r="D525" s="82"/>
    </row>
    <row r="526" spans="4:4" hidden="1" x14ac:dyDescent="0.35">
      <c r="D526" s="82"/>
    </row>
    <row r="527" spans="4:4" hidden="1" x14ac:dyDescent="0.35">
      <c r="D527" s="82"/>
    </row>
    <row r="528" spans="4:4" hidden="1" x14ac:dyDescent="0.35">
      <c r="D528" s="82"/>
    </row>
    <row r="529" spans="4:4" hidden="1" x14ac:dyDescent="0.35">
      <c r="D529" s="82"/>
    </row>
    <row r="530" spans="4:4" hidden="1" x14ac:dyDescent="0.35">
      <c r="D530" s="82"/>
    </row>
    <row r="531" spans="4:4" hidden="1" x14ac:dyDescent="0.35">
      <c r="D531" s="82"/>
    </row>
    <row r="532" spans="4:4" hidden="1" x14ac:dyDescent="0.35">
      <c r="D532" s="82"/>
    </row>
    <row r="533" spans="4:4" hidden="1" x14ac:dyDescent="0.35">
      <c r="D533" s="82"/>
    </row>
    <row r="534" spans="4:4" hidden="1" x14ac:dyDescent="0.35">
      <c r="D534" s="82"/>
    </row>
    <row r="535" spans="4:4" hidden="1" x14ac:dyDescent="0.35">
      <c r="D535" s="82"/>
    </row>
    <row r="536" spans="4:4" hidden="1" x14ac:dyDescent="0.35">
      <c r="D536" s="82"/>
    </row>
    <row r="537" spans="4:4" hidden="1" x14ac:dyDescent="0.35">
      <c r="D537" s="82"/>
    </row>
    <row r="538" spans="4:4" hidden="1" x14ac:dyDescent="0.35">
      <c r="D538" s="82"/>
    </row>
    <row r="539" spans="4:4" hidden="1" x14ac:dyDescent="0.35">
      <c r="D539" s="82"/>
    </row>
    <row r="540" spans="4:4" hidden="1" x14ac:dyDescent="0.35">
      <c r="D540" s="82"/>
    </row>
    <row r="541" spans="4:4" hidden="1" x14ac:dyDescent="0.35">
      <c r="D541" s="82"/>
    </row>
    <row r="542" spans="4:4" hidden="1" x14ac:dyDescent="0.35">
      <c r="D542" s="82"/>
    </row>
    <row r="543" spans="4:4" hidden="1" x14ac:dyDescent="0.35">
      <c r="D543" s="82"/>
    </row>
    <row r="544" spans="4:4" hidden="1" x14ac:dyDescent="0.35">
      <c r="D544" s="82"/>
    </row>
    <row r="545" spans="4:4" hidden="1" x14ac:dyDescent="0.35">
      <c r="D545" s="82"/>
    </row>
    <row r="546" spans="4:4" hidden="1" x14ac:dyDescent="0.35">
      <c r="D546" s="82"/>
    </row>
    <row r="547" spans="4:4" hidden="1" x14ac:dyDescent="0.35">
      <c r="D547" s="82"/>
    </row>
    <row r="548" spans="4:4" hidden="1" x14ac:dyDescent="0.35">
      <c r="D548" s="82"/>
    </row>
    <row r="549" spans="4:4" hidden="1" x14ac:dyDescent="0.35">
      <c r="D549" s="82"/>
    </row>
    <row r="550" spans="4:4" hidden="1" x14ac:dyDescent="0.35">
      <c r="D550" s="82"/>
    </row>
    <row r="551" spans="4:4" hidden="1" x14ac:dyDescent="0.35">
      <c r="D551" s="82"/>
    </row>
    <row r="552" spans="4:4" hidden="1" x14ac:dyDescent="0.35">
      <c r="D552" s="82"/>
    </row>
    <row r="553" spans="4:4" hidden="1" x14ac:dyDescent="0.35">
      <c r="D553" s="82"/>
    </row>
    <row r="554" spans="4:4" hidden="1" x14ac:dyDescent="0.35">
      <c r="D554" s="82"/>
    </row>
    <row r="555" spans="4:4" hidden="1" x14ac:dyDescent="0.35">
      <c r="D555" s="82"/>
    </row>
    <row r="556" spans="4:4" hidden="1" x14ac:dyDescent="0.35">
      <c r="D556" s="82"/>
    </row>
    <row r="557" spans="4:4" hidden="1" x14ac:dyDescent="0.35">
      <c r="D557" s="82"/>
    </row>
    <row r="558" spans="4:4" hidden="1" x14ac:dyDescent="0.35">
      <c r="D558" s="82"/>
    </row>
    <row r="559" spans="4:4" hidden="1" x14ac:dyDescent="0.35">
      <c r="D559" s="82"/>
    </row>
    <row r="560" spans="4:4" hidden="1" x14ac:dyDescent="0.35">
      <c r="D560" s="82"/>
    </row>
    <row r="561" spans="4:4" hidden="1" x14ac:dyDescent="0.35">
      <c r="D561" s="82"/>
    </row>
    <row r="562" spans="4:4" hidden="1" x14ac:dyDescent="0.35">
      <c r="D562" s="82"/>
    </row>
    <row r="563" spans="4:4" hidden="1" x14ac:dyDescent="0.35">
      <c r="D563" s="82"/>
    </row>
    <row r="564" spans="4:4" hidden="1" x14ac:dyDescent="0.35">
      <c r="D564" s="82"/>
    </row>
    <row r="565" spans="4:4" hidden="1" x14ac:dyDescent="0.35">
      <c r="D565" s="82"/>
    </row>
    <row r="566" spans="4:4" hidden="1" x14ac:dyDescent="0.35">
      <c r="D566" s="82"/>
    </row>
    <row r="567" spans="4:4" hidden="1" x14ac:dyDescent="0.35">
      <c r="D567" s="82"/>
    </row>
    <row r="568" spans="4:4" hidden="1" x14ac:dyDescent="0.35">
      <c r="D568" s="82"/>
    </row>
    <row r="569" spans="4:4" hidden="1" x14ac:dyDescent="0.35">
      <c r="D569" s="82"/>
    </row>
    <row r="570" spans="4:4" hidden="1" x14ac:dyDescent="0.35">
      <c r="D570" s="82"/>
    </row>
    <row r="571" spans="4:4" hidden="1" x14ac:dyDescent="0.35">
      <c r="D571" s="82"/>
    </row>
    <row r="572" spans="4:4" hidden="1" x14ac:dyDescent="0.35">
      <c r="D572" s="82"/>
    </row>
    <row r="573" spans="4:4" hidden="1" x14ac:dyDescent="0.35">
      <c r="D573" s="82"/>
    </row>
    <row r="574" spans="4:4" hidden="1" x14ac:dyDescent="0.35">
      <c r="D574" s="82"/>
    </row>
    <row r="575" spans="4:4" hidden="1" x14ac:dyDescent="0.35">
      <c r="D575" s="82"/>
    </row>
    <row r="576" spans="4:4" hidden="1" x14ac:dyDescent="0.35">
      <c r="D576" s="82"/>
    </row>
    <row r="577" spans="4:4" hidden="1" x14ac:dyDescent="0.35">
      <c r="D577" s="82"/>
    </row>
    <row r="578" spans="4:4" hidden="1" x14ac:dyDescent="0.35">
      <c r="D578" s="82"/>
    </row>
    <row r="579" spans="4:4" hidden="1" x14ac:dyDescent="0.35">
      <c r="D579" s="82"/>
    </row>
    <row r="580" spans="4:4" hidden="1" x14ac:dyDescent="0.35">
      <c r="D580" s="82"/>
    </row>
    <row r="581" spans="4:4" hidden="1" x14ac:dyDescent="0.35">
      <c r="D581" s="82"/>
    </row>
    <row r="582" spans="4:4" hidden="1" x14ac:dyDescent="0.35">
      <c r="D582" s="82"/>
    </row>
    <row r="583" spans="4:4" hidden="1" x14ac:dyDescent="0.35">
      <c r="D583" s="82"/>
    </row>
    <row r="584" spans="4:4" hidden="1" x14ac:dyDescent="0.35">
      <c r="D584" s="82"/>
    </row>
    <row r="585" spans="4:4" hidden="1" x14ac:dyDescent="0.35">
      <c r="D585" s="82"/>
    </row>
    <row r="586" spans="4:4" hidden="1" x14ac:dyDescent="0.35">
      <c r="D586" s="82"/>
    </row>
    <row r="587" spans="4:4" hidden="1" x14ac:dyDescent="0.35">
      <c r="D587" s="82"/>
    </row>
    <row r="588" spans="4:4" hidden="1" x14ac:dyDescent="0.35">
      <c r="D588" s="82"/>
    </row>
    <row r="589" spans="4:4" hidden="1" x14ac:dyDescent="0.35">
      <c r="D589" s="82"/>
    </row>
    <row r="590" spans="4:4" hidden="1" x14ac:dyDescent="0.35">
      <c r="D590" s="82"/>
    </row>
    <row r="591" spans="4:4" hidden="1" x14ac:dyDescent="0.35">
      <c r="D591" s="82"/>
    </row>
    <row r="592" spans="4:4" hidden="1" x14ac:dyDescent="0.35">
      <c r="D592" s="82"/>
    </row>
    <row r="593" spans="4:4" hidden="1" x14ac:dyDescent="0.35">
      <c r="D593" s="82"/>
    </row>
    <row r="594" spans="4:4" hidden="1" x14ac:dyDescent="0.35">
      <c r="D594" s="82"/>
    </row>
    <row r="595" spans="4:4" hidden="1" x14ac:dyDescent="0.35">
      <c r="D595" s="82"/>
    </row>
    <row r="596" spans="4:4" hidden="1" x14ac:dyDescent="0.35">
      <c r="D596" s="82"/>
    </row>
    <row r="597" spans="4:4" hidden="1" x14ac:dyDescent="0.35">
      <c r="D597" s="82"/>
    </row>
    <row r="598" spans="4:4" hidden="1" x14ac:dyDescent="0.35">
      <c r="D598" s="82"/>
    </row>
    <row r="599" spans="4:4" hidden="1" x14ac:dyDescent="0.35">
      <c r="D599" s="82"/>
    </row>
    <row r="600" spans="4:4" hidden="1" x14ac:dyDescent="0.35">
      <c r="D600" s="82"/>
    </row>
    <row r="601" spans="4:4" hidden="1" x14ac:dyDescent="0.35">
      <c r="D601" s="82"/>
    </row>
    <row r="602" spans="4:4" hidden="1" x14ac:dyDescent="0.35">
      <c r="D602" s="82"/>
    </row>
    <row r="603" spans="4:4" hidden="1" x14ac:dyDescent="0.35">
      <c r="D603" s="82"/>
    </row>
    <row r="604" spans="4:4" hidden="1" x14ac:dyDescent="0.35">
      <c r="D604" s="82"/>
    </row>
    <row r="605" spans="4:4" hidden="1" x14ac:dyDescent="0.35">
      <c r="D605" s="82"/>
    </row>
    <row r="606" spans="4:4" hidden="1" x14ac:dyDescent="0.35">
      <c r="D606" s="82"/>
    </row>
    <row r="607" spans="4:4" hidden="1" x14ac:dyDescent="0.35">
      <c r="D607" s="82"/>
    </row>
    <row r="608" spans="4:4" hidden="1" x14ac:dyDescent="0.35">
      <c r="D608" s="82"/>
    </row>
    <row r="609" spans="4:4" hidden="1" x14ac:dyDescent="0.35">
      <c r="D609" s="82"/>
    </row>
    <row r="610" spans="4:4" hidden="1" x14ac:dyDescent="0.35">
      <c r="D610" s="82"/>
    </row>
    <row r="611" spans="4:4" hidden="1" x14ac:dyDescent="0.35">
      <c r="D611" s="82"/>
    </row>
    <row r="612" spans="4:4" hidden="1" x14ac:dyDescent="0.35">
      <c r="D612" s="82"/>
    </row>
    <row r="613" spans="4:4" hidden="1" x14ac:dyDescent="0.35">
      <c r="D613" s="82"/>
    </row>
    <row r="614" spans="4:4" hidden="1" x14ac:dyDescent="0.35">
      <c r="D614" s="82"/>
    </row>
    <row r="615" spans="4:4" hidden="1" x14ac:dyDescent="0.35">
      <c r="D615" s="82"/>
    </row>
    <row r="616" spans="4:4" hidden="1" x14ac:dyDescent="0.35">
      <c r="D616" s="82"/>
    </row>
    <row r="617" spans="4:4" hidden="1" x14ac:dyDescent="0.35">
      <c r="D617" s="82"/>
    </row>
    <row r="618" spans="4:4" hidden="1" x14ac:dyDescent="0.35">
      <c r="D618" s="82"/>
    </row>
    <row r="619" spans="4:4" hidden="1" x14ac:dyDescent="0.35">
      <c r="D619" s="82"/>
    </row>
    <row r="620" spans="4:4" hidden="1" x14ac:dyDescent="0.35">
      <c r="D620" s="82"/>
    </row>
    <row r="621" spans="4:4" hidden="1" x14ac:dyDescent="0.35">
      <c r="D621" s="82"/>
    </row>
    <row r="622" spans="4:4" hidden="1" x14ac:dyDescent="0.35">
      <c r="D622" s="82"/>
    </row>
    <row r="623" spans="4:4" hidden="1" x14ac:dyDescent="0.35">
      <c r="D623" s="82"/>
    </row>
    <row r="624" spans="4:4" hidden="1" x14ac:dyDescent="0.35">
      <c r="D624" s="82"/>
    </row>
    <row r="625" spans="4:4" hidden="1" x14ac:dyDescent="0.35">
      <c r="D625" s="82"/>
    </row>
    <row r="626" spans="4:4" hidden="1" x14ac:dyDescent="0.35">
      <c r="D626" s="82"/>
    </row>
    <row r="627" spans="4:4" hidden="1" x14ac:dyDescent="0.35">
      <c r="D627" s="82"/>
    </row>
    <row r="628" spans="4:4" hidden="1" x14ac:dyDescent="0.35">
      <c r="D628" s="82"/>
    </row>
    <row r="629" spans="4:4" hidden="1" x14ac:dyDescent="0.35">
      <c r="D629" s="82"/>
    </row>
    <row r="630" spans="4:4" hidden="1" x14ac:dyDescent="0.35">
      <c r="D630" s="82"/>
    </row>
    <row r="631" spans="4:4" hidden="1" x14ac:dyDescent="0.35">
      <c r="D631" s="82"/>
    </row>
    <row r="632" spans="4:4" hidden="1" x14ac:dyDescent="0.35">
      <c r="D632" s="82"/>
    </row>
    <row r="633" spans="4:4" hidden="1" x14ac:dyDescent="0.35">
      <c r="D633" s="82"/>
    </row>
    <row r="634" spans="4:4" hidden="1" x14ac:dyDescent="0.35">
      <c r="D634" s="82"/>
    </row>
    <row r="635" spans="4:4" hidden="1" x14ac:dyDescent="0.35">
      <c r="D635" s="82"/>
    </row>
    <row r="636" spans="4:4" hidden="1" x14ac:dyDescent="0.35">
      <c r="D636" s="82"/>
    </row>
    <row r="637" spans="4:4" hidden="1" x14ac:dyDescent="0.35">
      <c r="D637" s="82"/>
    </row>
    <row r="638" spans="4:4" hidden="1" x14ac:dyDescent="0.35">
      <c r="D638" s="82"/>
    </row>
    <row r="639" spans="4:4" hidden="1" x14ac:dyDescent="0.35">
      <c r="D639" s="82"/>
    </row>
    <row r="640" spans="4:4" hidden="1" x14ac:dyDescent="0.35">
      <c r="D640" s="82"/>
    </row>
    <row r="641" spans="4:4" hidden="1" x14ac:dyDescent="0.35">
      <c r="D641" s="82"/>
    </row>
    <row r="642" spans="4:4" hidden="1" x14ac:dyDescent="0.35">
      <c r="D642" s="82"/>
    </row>
    <row r="643" spans="4:4" hidden="1" x14ac:dyDescent="0.35">
      <c r="D643" s="82"/>
    </row>
    <row r="644" spans="4:4" hidden="1" x14ac:dyDescent="0.35">
      <c r="D644" s="82"/>
    </row>
    <row r="645" spans="4:4" hidden="1" x14ac:dyDescent="0.35">
      <c r="D645" s="82"/>
    </row>
    <row r="646" spans="4:4" hidden="1" x14ac:dyDescent="0.35">
      <c r="D646" s="82"/>
    </row>
    <row r="647" spans="4:4" hidden="1" x14ac:dyDescent="0.35">
      <c r="D647" s="82"/>
    </row>
    <row r="648" spans="4:4" hidden="1" x14ac:dyDescent="0.35">
      <c r="D648" s="82"/>
    </row>
    <row r="649" spans="4:4" hidden="1" x14ac:dyDescent="0.35">
      <c r="D649" s="82"/>
    </row>
    <row r="650" spans="4:4" hidden="1" x14ac:dyDescent="0.35">
      <c r="D650" s="82"/>
    </row>
    <row r="651" spans="4:4" hidden="1" x14ac:dyDescent="0.35">
      <c r="D651" s="82"/>
    </row>
    <row r="652" spans="4:4" hidden="1" x14ac:dyDescent="0.35">
      <c r="D652" s="82"/>
    </row>
    <row r="653" spans="4:4" hidden="1" x14ac:dyDescent="0.35">
      <c r="D653" s="82"/>
    </row>
    <row r="654" spans="4:4" hidden="1" x14ac:dyDescent="0.35">
      <c r="D654" s="82"/>
    </row>
    <row r="655" spans="4:4" hidden="1" x14ac:dyDescent="0.35">
      <c r="D655" s="82"/>
    </row>
    <row r="656" spans="4:4" hidden="1" x14ac:dyDescent="0.35">
      <c r="D656" s="82"/>
    </row>
    <row r="657" spans="4:4" hidden="1" x14ac:dyDescent="0.35">
      <c r="D657" s="82"/>
    </row>
    <row r="658" spans="4:4" hidden="1" x14ac:dyDescent="0.35">
      <c r="D658" s="82"/>
    </row>
    <row r="659" spans="4:4" hidden="1" x14ac:dyDescent="0.35">
      <c r="D659" s="82"/>
    </row>
    <row r="660" spans="4:4" hidden="1" x14ac:dyDescent="0.35">
      <c r="D660" s="82"/>
    </row>
    <row r="661" spans="4:4" hidden="1" x14ac:dyDescent="0.35">
      <c r="D661" s="82"/>
    </row>
    <row r="662" spans="4:4" hidden="1" x14ac:dyDescent="0.35">
      <c r="D662" s="82"/>
    </row>
    <row r="663" spans="4:4" hidden="1" x14ac:dyDescent="0.35">
      <c r="D663" s="82"/>
    </row>
    <row r="664" spans="4:4" hidden="1" x14ac:dyDescent="0.35">
      <c r="D664" s="82"/>
    </row>
    <row r="665" spans="4:4" hidden="1" x14ac:dyDescent="0.35">
      <c r="D665" s="82"/>
    </row>
    <row r="666" spans="4:4" hidden="1" x14ac:dyDescent="0.35">
      <c r="D666" s="82"/>
    </row>
    <row r="667" spans="4:4" hidden="1" x14ac:dyDescent="0.35">
      <c r="D667" s="82"/>
    </row>
    <row r="668" spans="4:4" hidden="1" x14ac:dyDescent="0.35">
      <c r="D668" s="82"/>
    </row>
    <row r="669" spans="4:4" hidden="1" x14ac:dyDescent="0.35">
      <c r="D669" s="82"/>
    </row>
    <row r="670" spans="4:4" hidden="1" x14ac:dyDescent="0.35">
      <c r="D670" s="82"/>
    </row>
    <row r="671" spans="4:4" hidden="1" x14ac:dyDescent="0.35">
      <c r="D671" s="82"/>
    </row>
    <row r="672" spans="4:4" hidden="1" x14ac:dyDescent="0.35">
      <c r="D672" s="82"/>
    </row>
    <row r="673" spans="4:4" hidden="1" x14ac:dyDescent="0.35">
      <c r="D673" s="82"/>
    </row>
    <row r="674" spans="4:4" hidden="1" x14ac:dyDescent="0.35">
      <c r="D674" s="82"/>
    </row>
    <row r="675" spans="4:4" hidden="1" x14ac:dyDescent="0.35">
      <c r="D675" s="82"/>
    </row>
    <row r="676" spans="4:4" hidden="1" x14ac:dyDescent="0.35">
      <c r="D676" s="82"/>
    </row>
    <row r="677" spans="4:4" hidden="1" x14ac:dyDescent="0.35">
      <c r="D677" s="82"/>
    </row>
    <row r="678" spans="4:4" hidden="1" x14ac:dyDescent="0.35">
      <c r="D678" s="82"/>
    </row>
    <row r="679" spans="4:4" hidden="1" x14ac:dyDescent="0.35">
      <c r="D679" s="82"/>
    </row>
    <row r="680" spans="4:4" hidden="1" x14ac:dyDescent="0.35">
      <c r="D680" s="82"/>
    </row>
    <row r="681" spans="4:4" hidden="1" x14ac:dyDescent="0.35">
      <c r="D681" s="82"/>
    </row>
    <row r="682" spans="4:4" hidden="1" x14ac:dyDescent="0.35">
      <c r="D682" s="82"/>
    </row>
    <row r="683" spans="4:4" hidden="1" x14ac:dyDescent="0.35">
      <c r="D683" s="82"/>
    </row>
    <row r="684" spans="4:4" hidden="1" x14ac:dyDescent="0.35">
      <c r="D684" s="82"/>
    </row>
    <row r="685" spans="4:4" hidden="1" x14ac:dyDescent="0.35">
      <c r="D685" s="82"/>
    </row>
    <row r="686" spans="4:4" hidden="1" x14ac:dyDescent="0.35">
      <c r="D686" s="82"/>
    </row>
    <row r="687" spans="4:4" hidden="1" x14ac:dyDescent="0.35">
      <c r="D687" s="82"/>
    </row>
    <row r="688" spans="4:4" hidden="1" x14ac:dyDescent="0.35">
      <c r="D688" s="82"/>
    </row>
    <row r="689" spans="4:4" hidden="1" x14ac:dyDescent="0.35">
      <c r="D689" s="82"/>
    </row>
    <row r="690" spans="4:4" hidden="1" x14ac:dyDescent="0.35">
      <c r="D690" s="82"/>
    </row>
    <row r="691" spans="4:4" hidden="1" x14ac:dyDescent="0.35">
      <c r="D691" s="82"/>
    </row>
    <row r="692" spans="4:4" hidden="1" x14ac:dyDescent="0.35">
      <c r="D692" s="82"/>
    </row>
    <row r="693" spans="4:4" hidden="1" x14ac:dyDescent="0.35">
      <c r="D693" s="82"/>
    </row>
    <row r="694" spans="4:4" hidden="1" x14ac:dyDescent="0.35">
      <c r="D694" s="82"/>
    </row>
    <row r="695" spans="4:4" hidden="1" x14ac:dyDescent="0.35">
      <c r="D695" s="82"/>
    </row>
    <row r="696" spans="4:4" hidden="1" x14ac:dyDescent="0.35">
      <c r="D696" s="82"/>
    </row>
    <row r="697" spans="4:4" hidden="1" x14ac:dyDescent="0.35">
      <c r="D697" s="82"/>
    </row>
    <row r="698" spans="4:4" hidden="1" x14ac:dyDescent="0.35">
      <c r="D698" s="82"/>
    </row>
    <row r="699" spans="4:4" hidden="1" x14ac:dyDescent="0.35">
      <c r="D699" s="82"/>
    </row>
    <row r="700" spans="4:4" hidden="1" x14ac:dyDescent="0.35">
      <c r="D700" s="82"/>
    </row>
    <row r="701" spans="4:4" hidden="1" x14ac:dyDescent="0.35">
      <c r="D701" s="82"/>
    </row>
    <row r="702" spans="4:4" hidden="1" x14ac:dyDescent="0.35">
      <c r="D702" s="82"/>
    </row>
    <row r="703" spans="4:4" hidden="1" x14ac:dyDescent="0.35">
      <c r="D703" s="82"/>
    </row>
    <row r="704" spans="4:4" hidden="1" x14ac:dyDescent="0.35">
      <c r="D704" s="82"/>
    </row>
    <row r="705" spans="4:4" hidden="1" x14ac:dyDescent="0.35">
      <c r="D705" s="82"/>
    </row>
    <row r="706" spans="4:4" hidden="1" x14ac:dyDescent="0.35">
      <c r="D706" s="82"/>
    </row>
    <row r="707" spans="4:4" hidden="1" x14ac:dyDescent="0.35">
      <c r="D707" s="82"/>
    </row>
    <row r="708" spans="4:4" hidden="1" x14ac:dyDescent="0.35">
      <c r="D708" s="82"/>
    </row>
    <row r="709" spans="4:4" hidden="1" x14ac:dyDescent="0.35">
      <c r="D709" s="82"/>
    </row>
    <row r="710" spans="4:4" hidden="1" x14ac:dyDescent="0.35">
      <c r="D710" s="82"/>
    </row>
    <row r="711" spans="4:4" hidden="1" x14ac:dyDescent="0.35">
      <c r="D711" s="82"/>
    </row>
    <row r="712" spans="4:4" hidden="1" x14ac:dyDescent="0.35">
      <c r="D712" s="82"/>
    </row>
    <row r="713" spans="4:4" hidden="1" x14ac:dyDescent="0.35">
      <c r="D713" s="82"/>
    </row>
    <row r="714" spans="4:4" hidden="1" x14ac:dyDescent="0.35">
      <c r="D714" s="82"/>
    </row>
    <row r="715" spans="4:4" hidden="1" x14ac:dyDescent="0.35">
      <c r="D715" s="82"/>
    </row>
    <row r="716" spans="4:4" hidden="1" x14ac:dyDescent="0.35">
      <c r="D716" s="82"/>
    </row>
    <row r="717" spans="4:4" hidden="1" x14ac:dyDescent="0.35">
      <c r="D717" s="82"/>
    </row>
    <row r="718" spans="4:4" hidden="1" x14ac:dyDescent="0.35">
      <c r="D718" s="82"/>
    </row>
    <row r="719" spans="4:4" hidden="1" x14ac:dyDescent="0.35">
      <c r="D719" s="82"/>
    </row>
    <row r="720" spans="4:4" hidden="1" x14ac:dyDescent="0.35">
      <c r="D720" s="82"/>
    </row>
    <row r="721" spans="4:4" hidden="1" x14ac:dyDescent="0.35">
      <c r="D721" s="82"/>
    </row>
    <row r="722" spans="4:4" hidden="1" x14ac:dyDescent="0.35">
      <c r="D722" s="82"/>
    </row>
    <row r="723" spans="4:4" hidden="1" x14ac:dyDescent="0.35">
      <c r="D723" s="82"/>
    </row>
    <row r="724" spans="4:4" hidden="1" x14ac:dyDescent="0.35">
      <c r="D724" s="82"/>
    </row>
    <row r="725" spans="4:4" hidden="1" x14ac:dyDescent="0.35">
      <c r="D725" s="82"/>
    </row>
    <row r="726" spans="4:4" hidden="1" x14ac:dyDescent="0.35">
      <c r="D726" s="82"/>
    </row>
    <row r="727" spans="4:4" hidden="1" x14ac:dyDescent="0.35">
      <c r="D727" s="82"/>
    </row>
    <row r="728" spans="4:4" hidden="1" x14ac:dyDescent="0.35">
      <c r="D728" s="82"/>
    </row>
    <row r="729" spans="4:4" hidden="1" x14ac:dyDescent="0.35">
      <c r="D729" s="82"/>
    </row>
    <row r="730" spans="4:4" hidden="1" x14ac:dyDescent="0.35">
      <c r="D730" s="82"/>
    </row>
    <row r="731" spans="4:4" hidden="1" x14ac:dyDescent="0.35">
      <c r="D731" s="82"/>
    </row>
    <row r="732" spans="4:4" hidden="1" x14ac:dyDescent="0.35">
      <c r="D732" s="82"/>
    </row>
    <row r="733" spans="4:4" hidden="1" x14ac:dyDescent="0.35">
      <c r="D733" s="82"/>
    </row>
    <row r="734" spans="4:4" hidden="1" x14ac:dyDescent="0.35">
      <c r="D734" s="82"/>
    </row>
    <row r="735" spans="4:4" hidden="1" x14ac:dyDescent="0.35">
      <c r="D735" s="82"/>
    </row>
    <row r="736" spans="4:4" hidden="1" x14ac:dyDescent="0.35">
      <c r="D736" s="82"/>
    </row>
    <row r="737" spans="4:4" hidden="1" x14ac:dyDescent="0.35">
      <c r="D737" s="82"/>
    </row>
    <row r="738" spans="4:4" hidden="1" x14ac:dyDescent="0.35">
      <c r="D738" s="82"/>
    </row>
    <row r="739" spans="4:4" hidden="1" x14ac:dyDescent="0.35">
      <c r="D739" s="82"/>
    </row>
    <row r="740" spans="4:4" hidden="1" x14ac:dyDescent="0.35">
      <c r="D740" s="82"/>
    </row>
    <row r="741" spans="4:4" hidden="1" x14ac:dyDescent="0.35">
      <c r="D741" s="82"/>
    </row>
    <row r="742" spans="4:4" hidden="1" x14ac:dyDescent="0.35">
      <c r="D742" s="82"/>
    </row>
    <row r="743" spans="4:4" hidden="1" x14ac:dyDescent="0.35">
      <c r="D743" s="82"/>
    </row>
    <row r="744" spans="4:4" hidden="1" x14ac:dyDescent="0.35">
      <c r="D744" s="82"/>
    </row>
    <row r="745" spans="4:4" hidden="1" x14ac:dyDescent="0.35">
      <c r="D745" s="82"/>
    </row>
    <row r="746" spans="4:4" hidden="1" x14ac:dyDescent="0.35">
      <c r="D746" s="82"/>
    </row>
    <row r="747" spans="4:4" hidden="1" x14ac:dyDescent="0.35">
      <c r="D747" s="82"/>
    </row>
    <row r="748" spans="4:4" hidden="1" x14ac:dyDescent="0.35">
      <c r="D748" s="82"/>
    </row>
    <row r="749" spans="4:4" hidden="1" x14ac:dyDescent="0.35">
      <c r="D749" s="82"/>
    </row>
    <row r="750" spans="4:4" hidden="1" x14ac:dyDescent="0.35">
      <c r="D750" s="82"/>
    </row>
    <row r="751" spans="4:4" hidden="1" x14ac:dyDescent="0.35">
      <c r="D751" s="82"/>
    </row>
    <row r="752" spans="4:4" hidden="1" x14ac:dyDescent="0.35">
      <c r="D752" s="82"/>
    </row>
    <row r="753" spans="4:4" hidden="1" x14ac:dyDescent="0.35">
      <c r="D753" s="82"/>
    </row>
    <row r="754" spans="4:4" hidden="1" x14ac:dyDescent="0.35">
      <c r="D754" s="82"/>
    </row>
    <row r="755" spans="4:4" hidden="1" x14ac:dyDescent="0.35">
      <c r="D755" s="82"/>
    </row>
    <row r="756" spans="4:4" hidden="1" x14ac:dyDescent="0.35">
      <c r="D756" s="82"/>
    </row>
    <row r="757" spans="4:4" hidden="1" x14ac:dyDescent="0.35">
      <c r="D757" s="82"/>
    </row>
    <row r="758" spans="4:4" hidden="1" x14ac:dyDescent="0.35">
      <c r="D758" s="82"/>
    </row>
    <row r="759" spans="4:4" hidden="1" x14ac:dyDescent="0.35">
      <c r="D759" s="82"/>
    </row>
    <row r="760" spans="4:4" hidden="1" x14ac:dyDescent="0.35">
      <c r="D760" s="82"/>
    </row>
    <row r="761" spans="4:4" hidden="1" x14ac:dyDescent="0.35">
      <c r="D761" s="82"/>
    </row>
    <row r="762" spans="4:4" hidden="1" x14ac:dyDescent="0.35">
      <c r="D762" s="82"/>
    </row>
    <row r="763" spans="4:4" hidden="1" x14ac:dyDescent="0.35">
      <c r="D763" s="82"/>
    </row>
    <row r="764" spans="4:4" hidden="1" x14ac:dyDescent="0.35">
      <c r="D764" s="82"/>
    </row>
    <row r="765" spans="4:4" hidden="1" x14ac:dyDescent="0.35">
      <c r="D765" s="82"/>
    </row>
    <row r="766" spans="4:4" hidden="1" x14ac:dyDescent="0.35">
      <c r="D766" s="82"/>
    </row>
    <row r="767" spans="4:4" hidden="1" x14ac:dyDescent="0.35">
      <c r="D767" s="82"/>
    </row>
    <row r="768" spans="4:4" hidden="1" x14ac:dyDescent="0.35">
      <c r="D768" s="82"/>
    </row>
    <row r="769" spans="4:4" hidden="1" x14ac:dyDescent="0.35">
      <c r="D769" s="82"/>
    </row>
    <row r="770" spans="4:4" hidden="1" x14ac:dyDescent="0.35">
      <c r="D770" s="82"/>
    </row>
    <row r="771" spans="4:4" hidden="1" x14ac:dyDescent="0.35">
      <c r="D771" s="82"/>
    </row>
    <row r="772" spans="4:4" hidden="1" x14ac:dyDescent="0.35">
      <c r="D772" s="82"/>
    </row>
    <row r="773" spans="4:4" hidden="1" x14ac:dyDescent="0.35">
      <c r="D773" s="82"/>
    </row>
    <row r="774" spans="4:4" hidden="1" x14ac:dyDescent="0.35">
      <c r="D774" s="82"/>
    </row>
    <row r="775" spans="4:4" hidden="1" x14ac:dyDescent="0.35">
      <c r="D775" s="82"/>
    </row>
    <row r="776" spans="4:4" hidden="1" x14ac:dyDescent="0.35">
      <c r="D776" s="82"/>
    </row>
    <row r="777" spans="4:4" hidden="1" x14ac:dyDescent="0.35">
      <c r="D777" s="82"/>
    </row>
    <row r="778" spans="4:4" hidden="1" x14ac:dyDescent="0.35">
      <c r="D778" s="82"/>
    </row>
    <row r="779" spans="4:4" hidden="1" x14ac:dyDescent="0.35">
      <c r="D779" s="82"/>
    </row>
    <row r="780" spans="4:4" hidden="1" x14ac:dyDescent="0.35">
      <c r="D780" s="82"/>
    </row>
    <row r="781" spans="4:4" hidden="1" x14ac:dyDescent="0.35">
      <c r="D781" s="82"/>
    </row>
    <row r="782" spans="4:4" hidden="1" x14ac:dyDescent="0.35">
      <c r="D782" s="82"/>
    </row>
    <row r="783" spans="4:4" hidden="1" x14ac:dyDescent="0.35">
      <c r="D783" s="82"/>
    </row>
    <row r="784" spans="4:4" hidden="1" x14ac:dyDescent="0.35">
      <c r="D784" s="82"/>
    </row>
    <row r="785" spans="4:4" hidden="1" x14ac:dyDescent="0.35">
      <c r="D785" s="82"/>
    </row>
    <row r="786" spans="4:4" hidden="1" x14ac:dyDescent="0.35">
      <c r="D786" s="82"/>
    </row>
    <row r="787" spans="4:4" hidden="1" x14ac:dyDescent="0.35">
      <c r="D787" s="82"/>
    </row>
    <row r="788" spans="4:4" hidden="1" x14ac:dyDescent="0.35">
      <c r="D788" s="82"/>
    </row>
    <row r="789" spans="4:4" hidden="1" x14ac:dyDescent="0.35">
      <c r="D789" s="82"/>
    </row>
    <row r="790" spans="4:4" hidden="1" x14ac:dyDescent="0.35">
      <c r="D790" s="82"/>
    </row>
    <row r="791" spans="4:4" hidden="1" x14ac:dyDescent="0.35">
      <c r="D791" s="82"/>
    </row>
    <row r="792" spans="4:4" hidden="1" x14ac:dyDescent="0.35">
      <c r="D792" s="82"/>
    </row>
    <row r="793" spans="4:4" hidden="1" x14ac:dyDescent="0.35">
      <c r="D793" s="82"/>
    </row>
    <row r="794" spans="4:4" hidden="1" x14ac:dyDescent="0.35">
      <c r="D794" s="82"/>
    </row>
    <row r="795" spans="4:4" hidden="1" x14ac:dyDescent="0.35">
      <c r="D795" s="82"/>
    </row>
    <row r="796" spans="4:4" hidden="1" x14ac:dyDescent="0.35">
      <c r="D796" s="82"/>
    </row>
    <row r="797" spans="4:4" hidden="1" x14ac:dyDescent="0.35">
      <c r="D797" s="82"/>
    </row>
    <row r="798" spans="4:4" hidden="1" x14ac:dyDescent="0.35">
      <c r="D798" s="82"/>
    </row>
    <row r="799" spans="4:4" hidden="1" x14ac:dyDescent="0.35">
      <c r="D799" s="82"/>
    </row>
    <row r="800" spans="4:4" hidden="1" x14ac:dyDescent="0.35">
      <c r="D800" s="82"/>
    </row>
    <row r="801" spans="4:4" hidden="1" x14ac:dyDescent="0.35">
      <c r="D801" s="82"/>
    </row>
    <row r="802" spans="4:4" hidden="1" x14ac:dyDescent="0.35">
      <c r="D802" s="82"/>
    </row>
    <row r="803" spans="4:4" hidden="1" x14ac:dyDescent="0.35">
      <c r="D803" s="82"/>
    </row>
    <row r="804" spans="4:4" hidden="1" x14ac:dyDescent="0.35">
      <c r="D804" s="82"/>
    </row>
    <row r="805" spans="4:4" hidden="1" x14ac:dyDescent="0.35">
      <c r="D805" s="82"/>
    </row>
    <row r="806" spans="4:4" hidden="1" x14ac:dyDescent="0.35">
      <c r="D806" s="82"/>
    </row>
    <row r="807" spans="4:4" hidden="1" x14ac:dyDescent="0.35">
      <c r="D807" s="82"/>
    </row>
    <row r="808" spans="4:4" hidden="1" x14ac:dyDescent="0.35">
      <c r="D808" s="82"/>
    </row>
    <row r="809" spans="4:4" hidden="1" x14ac:dyDescent="0.35">
      <c r="D809" s="82"/>
    </row>
    <row r="810" spans="4:4" hidden="1" x14ac:dyDescent="0.35">
      <c r="D810" s="82"/>
    </row>
    <row r="811" spans="4:4" hidden="1" x14ac:dyDescent="0.35">
      <c r="D811" s="82"/>
    </row>
    <row r="812" spans="4:4" hidden="1" x14ac:dyDescent="0.35">
      <c r="D812" s="82"/>
    </row>
    <row r="813" spans="4:4" hidden="1" x14ac:dyDescent="0.35">
      <c r="D813" s="82"/>
    </row>
    <row r="814" spans="4:4" hidden="1" x14ac:dyDescent="0.35">
      <c r="D814" s="82"/>
    </row>
    <row r="815" spans="4:4" hidden="1" x14ac:dyDescent="0.35">
      <c r="D815" s="82"/>
    </row>
    <row r="816" spans="4:4" hidden="1" x14ac:dyDescent="0.35">
      <c r="D816" s="82"/>
    </row>
    <row r="817" spans="4:4" hidden="1" x14ac:dyDescent="0.35">
      <c r="D817" s="82"/>
    </row>
    <row r="818" spans="4:4" hidden="1" x14ac:dyDescent="0.35">
      <c r="D818" s="82"/>
    </row>
    <row r="819" spans="4:4" hidden="1" x14ac:dyDescent="0.35">
      <c r="D819" s="82"/>
    </row>
    <row r="820" spans="4:4" hidden="1" x14ac:dyDescent="0.35">
      <c r="D820" s="82"/>
    </row>
    <row r="821" spans="4:4" hidden="1" x14ac:dyDescent="0.35">
      <c r="D821" s="82"/>
    </row>
    <row r="822" spans="4:4" hidden="1" x14ac:dyDescent="0.35">
      <c r="D822" s="82"/>
    </row>
    <row r="823" spans="4:4" hidden="1" x14ac:dyDescent="0.35">
      <c r="D823" s="82"/>
    </row>
    <row r="824" spans="4:4" hidden="1" x14ac:dyDescent="0.35">
      <c r="D824" s="82"/>
    </row>
    <row r="825" spans="4:4" hidden="1" x14ac:dyDescent="0.35">
      <c r="D825" s="82"/>
    </row>
    <row r="826" spans="4:4" hidden="1" x14ac:dyDescent="0.35">
      <c r="D826" s="82"/>
    </row>
    <row r="827" spans="4:4" hidden="1" x14ac:dyDescent="0.35">
      <c r="D827" s="82"/>
    </row>
    <row r="828" spans="4:4" hidden="1" x14ac:dyDescent="0.35">
      <c r="D828" s="82"/>
    </row>
    <row r="829" spans="4:4" hidden="1" x14ac:dyDescent="0.35">
      <c r="D829" s="82"/>
    </row>
    <row r="830" spans="4:4" hidden="1" x14ac:dyDescent="0.35">
      <c r="D830" s="82"/>
    </row>
    <row r="831" spans="4:4" hidden="1" x14ac:dyDescent="0.35">
      <c r="D831" s="82"/>
    </row>
    <row r="832" spans="4:4" hidden="1" x14ac:dyDescent="0.35">
      <c r="D832" s="82"/>
    </row>
    <row r="833" spans="4:4" hidden="1" x14ac:dyDescent="0.35">
      <c r="D833" s="82"/>
    </row>
    <row r="834" spans="4:4" hidden="1" x14ac:dyDescent="0.35">
      <c r="D834" s="82"/>
    </row>
    <row r="835" spans="4:4" hidden="1" x14ac:dyDescent="0.35">
      <c r="D835" s="82"/>
    </row>
    <row r="836" spans="4:4" hidden="1" x14ac:dyDescent="0.35">
      <c r="D836" s="82"/>
    </row>
    <row r="837" spans="4:4" hidden="1" x14ac:dyDescent="0.35">
      <c r="D837" s="82"/>
    </row>
    <row r="838" spans="4:4" hidden="1" x14ac:dyDescent="0.35">
      <c r="D838" s="82"/>
    </row>
    <row r="839" spans="4:4" hidden="1" x14ac:dyDescent="0.35">
      <c r="D839" s="82"/>
    </row>
    <row r="840" spans="4:4" hidden="1" x14ac:dyDescent="0.35">
      <c r="D840" s="82"/>
    </row>
    <row r="841" spans="4:4" hidden="1" x14ac:dyDescent="0.35">
      <c r="D841" s="82"/>
    </row>
    <row r="842" spans="4:4" hidden="1" x14ac:dyDescent="0.35">
      <c r="D842" s="82"/>
    </row>
    <row r="843" spans="4:4" hidden="1" x14ac:dyDescent="0.35">
      <c r="D843" s="82"/>
    </row>
    <row r="844" spans="4:4" hidden="1" x14ac:dyDescent="0.35">
      <c r="D844" s="82"/>
    </row>
    <row r="845" spans="4:4" hidden="1" x14ac:dyDescent="0.35">
      <c r="D845" s="82"/>
    </row>
    <row r="846" spans="4:4" hidden="1" x14ac:dyDescent="0.35">
      <c r="D846" s="82"/>
    </row>
    <row r="847" spans="4:4" hidden="1" x14ac:dyDescent="0.35">
      <c r="D847" s="82"/>
    </row>
    <row r="848" spans="4:4" hidden="1" x14ac:dyDescent="0.35">
      <c r="D848" s="82"/>
    </row>
    <row r="849" spans="4:4" hidden="1" x14ac:dyDescent="0.35">
      <c r="D849" s="82"/>
    </row>
    <row r="850" spans="4:4" hidden="1" x14ac:dyDescent="0.35">
      <c r="D850" s="82"/>
    </row>
    <row r="851" spans="4:4" hidden="1" x14ac:dyDescent="0.35">
      <c r="D851" s="82"/>
    </row>
    <row r="852" spans="4:4" hidden="1" x14ac:dyDescent="0.35">
      <c r="D852" s="82"/>
    </row>
    <row r="853" spans="4:4" hidden="1" x14ac:dyDescent="0.35">
      <c r="D853" s="82"/>
    </row>
    <row r="854" spans="4:4" hidden="1" x14ac:dyDescent="0.35">
      <c r="D854" s="82"/>
    </row>
    <row r="855" spans="4:4" hidden="1" x14ac:dyDescent="0.35">
      <c r="D855" s="82"/>
    </row>
    <row r="856" spans="4:4" hidden="1" x14ac:dyDescent="0.35">
      <c r="D856" s="82"/>
    </row>
    <row r="857" spans="4:4" hidden="1" x14ac:dyDescent="0.35">
      <c r="D857" s="82"/>
    </row>
    <row r="858" spans="4:4" hidden="1" x14ac:dyDescent="0.35">
      <c r="D858" s="82"/>
    </row>
    <row r="859" spans="4:4" hidden="1" x14ac:dyDescent="0.35">
      <c r="D859" s="82"/>
    </row>
    <row r="860" spans="4:4" hidden="1" x14ac:dyDescent="0.35">
      <c r="D860" s="82"/>
    </row>
    <row r="861" spans="4:4" hidden="1" x14ac:dyDescent="0.35">
      <c r="D861" s="82"/>
    </row>
    <row r="862" spans="4:4" hidden="1" x14ac:dyDescent="0.35">
      <c r="D862" s="82"/>
    </row>
    <row r="863" spans="4:4" hidden="1" x14ac:dyDescent="0.35">
      <c r="D863" s="82"/>
    </row>
    <row r="864" spans="4:4" hidden="1" x14ac:dyDescent="0.35">
      <c r="D864" s="82"/>
    </row>
    <row r="865" spans="4:4" hidden="1" x14ac:dyDescent="0.35">
      <c r="D865" s="82"/>
    </row>
    <row r="866" spans="4:4" hidden="1" x14ac:dyDescent="0.35">
      <c r="D866" s="82"/>
    </row>
    <row r="867" spans="4:4" hidden="1" x14ac:dyDescent="0.35">
      <c r="D867" s="82"/>
    </row>
    <row r="868" spans="4:4" hidden="1" x14ac:dyDescent="0.35">
      <c r="D868" s="82"/>
    </row>
    <row r="869" spans="4:4" hidden="1" x14ac:dyDescent="0.35">
      <c r="D869" s="82"/>
    </row>
    <row r="870" spans="4:4" hidden="1" x14ac:dyDescent="0.35">
      <c r="D870" s="82"/>
    </row>
    <row r="871" spans="4:4" hidden="1" x14ac:dyDescent="0.35">
      <c r="D871" s="82"/>
    </row>
    <row r="872" spans="4:4" hidden="1" x14ac:dyDescent="0.35">
      <c r="D872" s="82"/>
    </row>
    <row r="873" spans="4:4" hidden="1" x14ac:dyDescent="0.35">
      <c r="D873" s="82"/>
    </row>
    <row r="874" spans="4:4" hidden="1" x14ac:dyDescent="0.35">
      <c r="D874" s="82"/>
    </row>
    <row r="875" spans="4:4" hidden="1" x14ac:dyDescent="0.35">
      <c r="D875" s="82"/>
    </row>
    <row r="876" spans="4:4" hidden="1" x14ac:dyDescent="0.35">
      <c r="D876" s="82"/>
    </row>
    <row r="877" spans="4:4" hidden="1" x14ac:dyDescent="0.35">
      <c r="D877" s="82"/>
    </row>
    <row r="878" spans="4:4" hidden="1" x14ac:dyDescent="0.35">
      <c r="D878" s="82"/>
    </row>
    <row r="879" spans="4:4" hidden="1" x14ac:dyDescent="0.35">
      <c r="D879" s="82"/>
    </row>
    <row r="880" spans="4:4" hidden="1" x14ac:dyDescent="0.35">
      <c r="D880" s="82"/>
    </row>
    <row r="881" spans="4:4" hidden="1" x14ac:dyDescent="0.35">
      <c r="D881" s="82"/>
    </row>
    <row r="882" spans="4:4" x14ac:dyDescent="0.35"/>
    <row r="883" spans="4:4" x14ac:dyDescent="0.35"/>
    <row r="884" spans="4:4" x14ac:dyDescent="0.35"/>
    <row r="885" spans="4:4" ht="13.5" hidden="1" customHeight="1" x14ac:dyDescent="0.35"/>
    <row r="886" spans="4:4" ht="6.75" hidden="1" customHeight="1" x14ac:dyDescent="0.35"/>
    <row r="887" spans="4:4" x14ac:dyDescent="0.35"/>
    <row r="888" spans="4:4" x14ac:dyDescent="0.35"/>
    <row r="889" spans="4:4" x14ac:dyDescent="0.35"/>
    <row r="890" spans="4:4" x14ac:dyDescent="0.35"/>
    <row r="891" spans="4:4" x14ac:dyDescent="0.35"/>
    <row r="892" spans="4:4" x14ac:dyDescent="0.35"/>
    <row r="893" spans="4:4" x14ac:dyDescent="0.35"/>
    <row r="897" customFormat="1" hidden="1" x14ac:dyDescent="0.35"/>
    <row r="898" customFormat="1" hidden="1" x14ac:dyDescent="0.35"/>
    <row r="899" customFormat="1" hidden="1" x14ac:dyDescent="0.35"/>
    <row r="900" customFormat="1" hidden="1" x14ac:dyDescent="0.35"/>
    <row r="901" customFormat="1" hidden="1" x14ac:dyDescent="0.35"/>
    <row r="902" customFormat="1" hidden="1" x14ac:dyDescent="0.35"/>
    <row r="903" customFormat="1" hidden="1" x14ac:dyDescent="0.35"/>
    <row r="904" customFormat="1" hidden="1" x14ac:dyDescent="0.35"/>
    <row r="905" customFormat="1" hidden="1" x14ac:dyDescent="0.35"/>
    <row r="906" customFormat="1" hidden="1" x14ac:dyDescent="0.35"/>
    <row r="907" customFormat="1" hidden="1" x14ac:dyDescent="0.35"/>
    <row r="908" customFormat="1" hidden="1" x14ac:dyDescent="0.35"/>
    <row r="909" customFormat="1" hidden="1" x14ac:dyDescent="0.35"/>
    <row r="910" customFormat="1" hidden="1" x14ac:dyDescent="0.35"/>
    <row r="911" customFormat="1" hidden="1" x14ac:dyDescent="0.35"/>
    <row r="912" customFormat="1" hidden="1" x14ac:dyDescent="0.35"/>
    <row r="913" customFormat="1" hidden="1" x14ac:dyDescent="0.35"/>
    <row r="914" customFormat="1" hidden="1" x14ac:dyDescent="0.35"/>
    <row r="915" customFormat="1" hidden="1" x14ac:dyDescent="0.35"/>
    <row r="916" customFormat="1" hidden="1" x14ac:dyDescent="0.35"/>
    <row r="917" customFormat="1" hidden="1" x14ac:dyDescent="0.35"/>
    <row r="918" customFormat="1" hidden="1" x14ac:dyDescent="0.35"/>
    <row r="919" customFormat="1" hidden="1" x14ac:dyDescent="0.35"/>
    <row r="920" customFormat="1" hidden="1" x14ac:dyDescent="0.35"/>
    <row r="921" customFormat="1" hidden="1" x14ac:dyDescent="0.35"/>
    <row r="922" customFormat="1" hidden="1" x14ac:dyDescent="0.35"/>
    <row r="923" customFormat="1" hidden="1" x14ac:dyDescent="0.35"/>
    <row r="924" customFormat="1" hidden="1" x14ac:dyDescent="0.35"/>
    <row r="925" customFormat="1" hidden="1" x14ac:dyDescent="0.35"/>
    <row r="926" customFormat="1" hidden="1" x14ac:dyDescent="0.35"/>
    <row r="927" customFormat="1" hidden="1" x14ac:dyDescent="0.35"/>
    <row r="928" customFormat="1" hidden="1" x14ac:dyDescent="0.35"/>
    <row r="929" customFormat="1" hidden="1" x14ac:dyDescent="0.35"/>
    <row r="930" customFormat="1" hidden="1" x14ac:dyDescent="0.35"/>
    <row r="931" customFormat="1" hidden="1" x14ac:dyDescent="0.35"/>
    <row r="932" customFormat="1" hidden="1" x14ac:dyDescent="0.35"/>
    <row r="933" customFormat="1" hidden="1" x14ac:dyDescent="0.35"/>
    <row r="934" customFormat="1" hidden="1" x14ac:dyDescent="0.35"/>
    <row r="935" customFormat="1" hidden="1" x14ac:dyDescent="0.35"/>
    <row r="936" customFormat="1" hidden="1" x14ac:dyDescent="0.35"/>
    <row r="937" customFormat="1" hidden="1" x14ac:dyDescent="0.35"/>
    <row r="938" customFormat="1" hidden="1" x14ac:dyDescent="0.35"/>
    <row r="939" customFormat="1" hidden="1" x14ac:dyDescent="0.35"/>
    <row r="940" customFormat="1" hidden="1" x14ac:dyDescent="0.35"/>
    <row r="941" customFormat="1" hidden="1" x14ac:dyDescent="0.35"/>
    <row r="942" customFormat="1" hidden="1" x14ac:dyDescent="0.35"/>
    <row r="943" customFormat="1" hidden="1" x14ac:dyDescent="0.35"/>
    <row r="944" customFormat="1" hidden="1" x14ac:dyDescent="0.35"/>
    <row r="945" customFormat="1" hidden="1" x14ac:dyDescent="0.35"/>
    <row r="946" customFormat="1" hidden="1" x14ac:dyDescent="0.35"/>
    <row r="947" customFormat="1" hidden="1" x14ac:dyDescent="0.35"/>
    <row r="948" customFormat="1" hidden="1" x14ac:dyDescent="0.35"/>
    <row r="949" customFormat="1" hidden="1" x14ac:dyDescent="0.35"/>
    <row r="950" customFormat="1" hidden="1" x14ac:dyDescent="0.35"/>
    <row r="951" customFormat="1" hidden="1" x14ac:dyDescent="0.35"/>
    <row r="952" customFormat="1" hidden="1" x14ac:dyDescent="0.35"/>
    <row r="953" customFormat="1" hidden="1" x14ac:dyDescent="0.35"/>
    <row r="954" customFormat="1" hidden="1" x14ac:dyDescent="0.35"/>
    <row r="955" customFormat="1" hidden="1" x14ac:dyDescent="0.35"/>
    <row r="956" customFormat="1" hidden="1" x14ac:dyDescent="0.35"/>
    <row r="957" customFormat="1" hidden="1" x14ac:dyDescent="0.35"/>
    <row r="958" customFormat="1" hidden="1" x14ac:dyDescent="0.35"/>
    <row r="959" customFormat="1" hidden="1" x14ac:dyDescent="0.35"/>
    <row r="960" customFormat="1" hidden="1" x14ac:dyDescent="0.35"/>
    <row r="961" customFormat="1" hidden="1" x14ac:dyDescent="0.35"/>
    <row r="962" customFormat="1" hidden="1" x14ac:dyDescent="0.35"/>
    <row r="963" customFormat="1" hidden="1" x14ac:dyDescent="0.35"/>
    <row r="964" customFormat="1" hidden="1" x14ac:dyDescent="0.35"/>
    <row r="965" customFormat="1" hidden="1" x14ac:dyDescent="0.35"/>
    <row r="966" customFormat="1" hidden="1" x14ac:dyDescent="0.35"/>
    <row r="967" customFormat="1" hidden="1" x14ac:dyDescent="0.35"/>
    <row r="968" customFormat="1" hidden="1" x14ac:dyDescent="0.35"/>
    <row r="969" customFormat="1" hidden="1" x14ac:dyDescent="0.35"/>
    <row r="970" customFormat="1" hidden="1" x14ac:dyDescent="0.35"/>
    <row r="971" customFormat="1" hidden="1" x14ac:dyDescent="0.35"/>
    <row r="972" customFormat="1" hidden="1" x14ac:dyDescent="0.35"/>
    <row r="973" customFormat="1" hidden="1" x14ac:dyDescent="0.35"/>
    <row r="974" customFormat="1" hidden="1" x14ac:dyDescent="0.35"/>
    <row r="975" customFormat="1" hidden="1" x14ac:dyDescent="0.35"/>
    <row r="976" customFormat="1" hidden="1" x14ac:dyDescent="0.35"/>
    <row r="977" customFormat="1" hidden="1" x14ac:dyDescent="0.35"/>
    <row r="978" customFormat="1" hidden="1" x14ac:dyDescent="0.35"/>
    <row r="979" customFormat="1" hidden="1" x14ac:dyDescent="0.35"/>
    <row r="980" customFormat="1" hidden="1" x14ac:dyDescent="0.35"/>
    <row r="981" customFormat="1" hidden="1" x14ac:dyDescent="0.35"/>
    <row r="982" customFormat="1" hidden="1" x14ac:dyDescent="0.35"/>
    <row r="983" customFormat="1" hidden="1" x14ac:dyDescent="0.35"/>
    <row r="984" customFormat="1" hidden="1" x14ac:dyDescent="0.35"/>
    <row r="985" customFormat="1" hidden="1" x14ac:dyDescent="0.35"/>
    <row r="986" customFormat="1" hidden="1" x14ac:dyDescent="0.35"/>
    <row r="987" customFormat="1" hidden="1" x14ac:dyDescent="0.35"/>
    <row r="988" customFormat="1" hidden="1" x14ac:dyDescent="0.35"/>
    <row r="989" customFormat="1" hidden="1" x14ac:dyDescent="0.35"/>
    <row r="990" customFormat="1" hidden="1" x14ac:dyDescent="0.35"/>
    <row r="991" customFormat="1" hidden="1" x14ac:dyDescent="0.35"/>
    <row r="992" customFormat="1" hidden="1" x14ac:dyDescent="0.35"/>
    <row r="993" customFormat="1" hidden="1" x14ac:dyDescent="0.35"/>
    <row r="994" customFormat="1" hidden="1" x14ac:dyDescent="0.35"/>
    <row r="995" customFormat="1" hidden="1" x14ac:dyDescent="0.35"/>
    <row r="996" customFormat="1" hidden="1" x14ac:dyDescent="0.35"/>
    <row r="997" customFormat="1" hidden="1" x14ac:dyDescent="0.35"/>
    <row r="998" customFormat="1" hidden="1" x14ac:dyDescent="0.35"/>
    <row r="999" customFormat="1" hidden="1" x14ac:dyDescent="0.35"/>
    <row r="1000" customFormat="1" hidden="1" x14ac:dyDescent="0.35"/>
    <row r="1001" customFormat="1" hidden="1" x14ac:dyDescent="0.35"/>
    <row r="1002" customFormat="1" hidden="1" x14ac:dyDescent="0.35"/>
    <row r="1003" customFormat="1" x14ac:dyDescent="0.35"/>
    <row r="1005" customFormat="1" x14ac:dyDescent="0.35"/>
    <row r="1006" customFormat="1" hidden="1" x14ac:dyDescent="0.35"/>
    <row r="1007" customFormat="1" hidden="1" x14ac:dyDescent="0.35"/>
    <row r="1008" customFormat="1" hidden="1" x14ac:dyDescent="0.35"/>
    <row r="1009" customFormat="1" hidden="1" x14ac:dyDescent="0.35"/>
    <row r="1010" customFormat="1" hidden="1" x14ac:dyDescent="0.35"/>
    <row r="1011" customFormat="1" hidden="1" x14ac:dyDescent="0.35"/>
    <row r="1012" customFormat="1" hidden="1" x14ac:dyDescent="0.35"/>
    <row r="1013" customFormat="1" hidden="1" x14ac:dyDescent="0.35"/>
    <row r="1014" customFormat="1" hidden="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sheetData>
  <sheetProtection algorithmName="SHA-512" hashValue="ltHvlaCvpCssQKDsUi3NGhzdqz951Q4UWmR5jO2+wmDSSHfa3Apkkf36M5I4BDm0Yni3NuyX0R/DJ1qNUARvTA==" saltValue="LfoBQmS07X1Ug+vNTicggg==" spinCount="100000" sheet="1" objects="1" scenarios="1" formatRows="0"/>
  <protectedRanges>
    <protectedRange sqref="C58:C66 F58:F66" name="Additional features"/>
    <protectedRange sqref="D41 D46:AG46" name="Brownfield removal"/>
    <protectedRange sqref="D31:AG31" name="Development profile"/>
    <protectedRange sqref="C19:H20" name="Options"/>
  </protectedRanges>
  <mergeCells count="17">
    <mergeCell ref="B41:C41"/>
    <mergeCell ref="B15:J15"/>
    <mergeCell ref="B37:J37"/>
    <mergeCell ref="B25:J25"/>
    <mergeCell ref="G2:L2"/>
    <mergeCell ref="B6:H6"/>
    <mergeCell ref="C19:H19"/>
    <mergeCell ref="D29:AG29"/>
    <mergeCell ref="C20:H20"/>
    <mergeCell ref="B78:H79"/>
    <mergeCell ref="D43:AG43"/>
    <mergeCell ref="B70:R70"/>
    <mergeCell ref="B46:C46"/>
    <mergeCell ref="B48:C48"/>
    <mergeCell ref="B47:C47"/>
    <mergeCell ref="B45:C45"/>
    <mergeCell ref="B53:J53"/>
  </mergeCells>
  <phoneticPr fontId="10" type="noConversion"/>
  <dataValidations xWindow="932" yWindow="755" count="10">
    <dataValidation type="list" allowBlank="1" showInputMessage="1" showErrorMessage="1" prompt="Please select whether the specific feature would be included as a part of the development. More than one feature can be selected." sqref="C58:C66" xr:uid="{61EECF42-81A2-4A8C-8182-158978EA3E85}">
      <formula1>"Yes, No"</formula1>
    </dataValidation>
    <dataValidation type="custom" errorStyle="warning" allowBlank="1" showInputMessage="1" showErrorMessage="1" error="Brownfield removal has exceeded the original brownfield amount" sqref="D48" xr:uid="{C274904B-FC38-44AC-BBCD-15CACEB1735B}">
      <formula1>C6&gt;=0</formula1>
    </dataValidation>
    <dataValidation type="custom" errorStyle="warning" allowBlank="1" showInputMessage="1" showErrorMessage="1" error="Brownfield removal exceeds the original brownfield amount" sqref="E48:AG48" xr:uid="{E5C8B680-B17D-4FE5-9496-D1718ACD5D0A}">
      <formula1>E48&gt;=0</formula1>
    </dataValidation>
    <dataValidation type="textLength" allowBlank="1" showErrorMessage="1" sqref="G21:H21 C21:E21" xr:uid="{C1D5E60B-EDA0-4B69-8F56-67C3B8B25D78}">
      <formula1>1</formula1>
      <formula2>2000</formula2>
    </dataValidation>
    <dataValidation type="decimal" allowBlank="1" showErrorMessage="1" error="Brownfield removal now exceeds the total brownfield. Please input a different value (between 0 and the remaining brownfield) for brownfield removed in this year." sqref="E47:AG47" xr:uid="{71C3580D-681F-4EF5-8395-9E2E65448322}">
      <formula1>0</formula1>
      <formula2>E49</formula2>
    </dataValidation>
    <dataValidation allowBlank="1" showInputMessage="1" showErrorMessage="1" prompt="Please input the total number of homes that will be completed within the financial year." sqref="D31:AG31" xr:uid="{FB6467D7-0163-4EAA-9872-B06CE00E70E8}"/>
    <dataValidation type="decimal" allowBlank="1" showInputMessage="1" showErrorMessage="1" error="Brownfield removal now exceeds the total brownfield. Please input a different value (between 0 and the remaining brownfield) for brownfield removed in this year." prompt="Please input the amount of brownfield removed in the above financial year. If not known, please leave blank and it will assume it will be removed as homes are delivered." sqref="E46:AG46" xr:uid="{59B37C4C-431E-4456-9C10-060B889CD0A0}">
      <formula1>0</formula1>
      <formula2>D48</formula2>
    </dataValidation>
    <dataValidation allowBlank="1" showInputMessage="1" showErrorMessage="1" prompt="Please input the name of the project option" sqref="C19:H19" xr:uid="{37315202-2E45-4976-B7F3-A5CF9D7BCFED}"/>
    <dataValidation allowBlank="1" showInputMessage="1" showErrorMessage="1" prompt="Please provide a short description of the project option" sqref="C20" xr:uid="{A0182293-3919-4BFC-ADC2-E6BBF810488E}"/>
    <dataValidation allowBlank="1" showErrorMessage="1" sqref="D32:AG32" xr:uid="{66FE673F-2A9C-4988-91EF-73CF72797E96}"/>
  </dataValidations>
  <hyperlinks>
    <hyperlink ref="G2" location="Welcome!A1" display="CLICK to return to Welcome screen" xr:uid="{BDA6EF9A-2CAF-4EC9-A866-CC2C9683A5EA}"/>
    <hyperlink ref="B81" location="'4. Impacts'!A1" display="4. Impacts" xr:uid="{C1BC3D62-45D3-4640-AF92-9B913059F7DE}"/>
    <hyperlink ref="B82" location="'5.1 - Brownfield amenity'!A1" display="5.1 - Brownfield amenity" xr:uid="{B64E438B-B31C-465F-A2EC-B4EA85BA0963}"/>
  </hyperlinks>
  <pageMargins left="0.7" right="0.7" top="0.75" bottom="0.75" header="0.3" footer="0.3"/>
  <pageSetup paperSize="9" orientation="portrait" r:id="rId1"/>
  <headerFooter>
    <oddFooter xml:space="preserve">&amp;C_x000D_&amp;1#&amp;"Calibri"&amp;12&amp;K0078D7 OFFICIAL </oddFooter>
  </headerFooter>
  <extLst>
    <ext xmlns:x14="http://schemas.microsoft.com/office/spreadsheetml/2009/9/main" uri="{CCE6A557-97BC-4b89-ADB6-D9C93CAAB3DF}">
      <x14:dataValidations xmlns:xm="http://schemas.microsoft.com/office/excel/2006/main" xWindow="932" yWindow="755" count="4">
        <x14:dataValidation type="list" allowBlank="1" showInputMessage="1" showErrorMessage="1" prompt="Please select the year the feature is delivered (available for use)." xr:uid="{AAA6B274-DA8C-4851-A9D3-160AF856DDF5}">
          <x14:formula1>
            <xm:f>'6.6 - Lists and lookups'!$C$77:$AG$77</xm:f>
          </x14:formula1>
          <xm:sqref>F58:F66</xm:sqref>
        </x14:dataValidation>
        <x14:dataValidation type="decimal" allowBlank="1" showInputMessage="1" showErrorMessage="1" error="Brownfield removal exceeds the total brownfield on site. Please input a different value (between 0 and total current brownfield on site) for total brownfield removed." prompt="Please input the total brownfield area on the site that will be removed." xr:uid="{54AE012F-FFFA-4483-9E78-3CA33F4030B3}">
          <x14:formula1>
            <xm:f>0</xm:f>
          </x14:formula1>
          <x14:formula2>
            <xm:f>'2. General project information'!$C$68</xm:f>
          </x14:formula2>
          <xm:sqref>D41</xm:sqref>
        </x14:dataValidation>
        <x14:dataValidation type="decimal" allowBlank="1" showErrorMessage="1" error="Brownfield removal now exceeds the total brownfield. Please input a different value (between 0 and the brownfield remaining) for brownfield removed in this year." xr:uid="{F97DB6B6-F2D1-4653-B2B9-B2FDF2209DD2}">
          <x14:formula1>
            <xm:f>0</xm:f>
          </x14:formula1>
          <x14:formula2>
            <xm:f>'2. General project information'!C69</xm:f>
          </x14:formula2>
          <xm:sqref>D47</xm:sqref>
        </x14:dataValidation>
        <x14:dataValidation type="decimal" allowBlank="1" showInputMessage="1" showErrorMessage="1" error="Brownfield removal now exceeds the total brownfield. Please input a different value (between 0 and the brownfield remaining) for brownfield removed in this year." prompt="Please input the amount of brownfield removed in the above financial year. If not known, please leave blank and it will assume it will be removed as homes are delivered." xr:uid="{4B4CCEBC-8ABB-405C-804F-DA6B3CA8FBE9}">
          <x14:formula1>
            <xm:f>0</xm:f>
          </x14:formula1>
          <x14:formula2>
            <xm:f>'2. General project information'!C68</xm:f>
          </x14:formula2>
          <xm:sqref>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79C1-86DF-46DA-8A05-E6D16BF12D1B}">
  <sheetPr codeName="Sheet5">
    <tabColor theme="8"/>
  </sheetPr>
  <dimension ref="A1:BM184"/>
  <sheetViews>
    <sheetView showGridLines="0" workbookViewId="0">
      <selection activeCell="D83" sqref="D83"/>
    </sheetView>
  </sheetViews>
  <sheetFormatPr defaultColWidth="0" defaultRowHeight="14.5" zeroHeight="1" outlineLevelRow="1" x14ac:dyDescent="0.35"/>
  <cols>
    <col min="1" max="1" width="1.453125" customWidth="1"/>
    <col min="2" max="2" width="57.54296875" customWidth="1"/>
    <col min="3" max="3" width="13.26953125" customWidth="1"/>
    <col min="4" max="65" width="7.1796875" customWidth="1"/>
    <col min="66" max="16384" width="9.1796875" hidden="1"/>
  </cols>
  <sheetData>
    <row r="1" spans="1:64" s="78" customFormat="1" ht="3" customHeight="1" x14ac:dyDescent="0.3">
      <c r="A1" s="75"/>
      <c r="B1" s="76"/>
      <c r="C1" s="75"/>
      <c r="D1" s="75"/>
      <c r="E1" s="75"/>
      <c r="F1" s="75"/>
      <c r="G1" s="75"/>
      <c r="H1" s="75"/>
      <c r="I1" s="75"/>
      <c r="J1" s="75"/>
      <c r="K1" s="75"/>
    </row>
    <row r="2" spans="1:64" s="106" customFormat="1" ht="18.5" x14ac:dyDescent="0.45">
      <c r="A2" s="143"/>
      <c r="B2" s="144" t="s">
        <v>190</v>
      </c>
      <c r="C2" s="143"/>
      <c r="D2" s="143"/>
      <c r="E2" s="143"/>
      <c r="F2" s="143"/>
      <c r="G2" s="639" t="s">
        <v>59</v>
      </c>
      <c r="H2" s="639"/>
      <c r="I2" s="639"/>
      <c r="J2" s="639"/>
      <c r="K2" s="639"/>
      <c r="L2" s="639"/>
      <c r="M2" s="639"/>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row>
    <row r="3" spans="1:64" s="78" customFormat="1" ht="3" customHeight="1" x14ac:dyDescent="0.3">
      <c r="B3" s="79"/>
    </row>
    <row r="4" spans="1:64" s="106" customFormat="1" ht="13" x14ac:dyDescent="0.3">
      <c r="A4" s="145"/>
      <c r="B4" s="146" t="s">
        <v>191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ht="15" thickBot="1" x14ac:dyDescent="0.4"/>
    <row r="6" spans="1:64" ht="15" thickBot="1" x14ac:dyDescent="0.4">
      <c r="B6" s="147" t="s">
        <v>81</v>
      </c>
      <c r="C6" s="668">
        <f>Project_Name</f>
        <v>0</v>
      </c>
      <c r="D6" s="669"/>
      <c r="E6" s="669"/>
      <c r="F6" s="669"/>
      <c r="G6" s="669"/>
      <c r="H6" s="669"/>
      <c r="I6" s="669"/>
      <c r="J6" s="669"/>
      <c r="K6" s="669"/>
      <c r="L6" s="669"/>
      <c r="M6" s="669"/>
      <c r="N6" s="669"/>
      <c r="O6" s="669"/>
      <c r="P6" s="670"/>
    </row>
    <row r="7" spans="1:64" ht="15" thickBot="1" x14ac:dyDescent="0.4">
      <c r="B7" s="147" t="s">
        <v>152</v>
      </c>
      <c r="C7" s="671">
        <f>Option_Name</f>
        <v>0</v>
      </c>
      <c r="D7" s="672"/>
      <c r="E7" s="672"/>
      <c r="F7" s="672"/>
      <c r="G7" s="672"/>
      <c r="H7" s="672"/>
      <c r="I7" s="672"/>
      <c r="J7" s="672"/>
      <c r="K7" s="672"/>
      <c r="L7" s="672"/>
      <c r="M7" s="672"/>
      <c r="N7" s="672"/>
      <c r="O7" s="672"/>
      <c r="P7" s="673"/>
    </row>
    <row r="8" spans="1:64" ht="12.75" customHeight="1" x14ac:dyDescent="0.35">
      <c r="B8" s="130"/>
      <c r="C8" s="80"/>
      <c r="D8" s="80"/>
      <c r="E8" s="80"/>
      <c r="F8" s="80"/>
      <c r="G8" s="80"/>
      <c r="H8" s="80"/>
      <c r="I8" s="80"/>
      <c r="J8" s="80"/>
      <c r="K8" s="80"/>
      <c r="L8" s="80"/>
      <c r="M8" s="80"/>
      <c r="N8" s="80"/>
      <c r="O8" s="80"/>
      <c r="P8" s="80"/>
    </row>
    <row r="9" spans="1:64" ht="15.5" x14ac:dyDescent="0.35">
      <c r="A9" s="148"/>
      <c r="B9" s="149" t="s">
        <v>192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x14ac:dyDescent="0.35">
      <c r="B10" s="154" t="s">
        <v>193</v>
      </c>
    </row>
    <row r="11" spans="1:64" ht="7.5" hidden="1" customHeight="1" outlineLevel="1" thickBot="1" x14ac:dyDescent="0.4">
      <c r="B11" s="150"/>
    </row>
    <row r="12" spans="1:64" ht="15" hidden="1" customHeight="1" outlineLevel="1" x14ac:dyDescent="0.35">
      <c r="B12" s="398" t="s">
        <v>194</v>
      </c>
      <c r="C12" s="529">
        <f>Project_area</f>
        <v>0</v>
      </c>
      <c r="D12" s="397" t="s">
        <v>91</v>
      </c>
      <c r="E12" s="463"/>
      <c r="F12" s="463"/>
      <c r="G12" s="468"/>
    </row>
    <row r="13" spans="1:64" ht="15" hidden="1" customHeight="1" outlineLevel="1" thickBot="1" x14ac:dyDescent="0.4">
      <c r="B13" s="464" t="s">
        <v>195</v>
      </c>
      <c r="C13" s="530">
        <f>'2. General project information'!$C$68</f>
        <v>0</v>
      </c>
      <c r="D13" s="465" t="s">
        <v>91</v>
      </c>
      <c r="E13" s="466"/>
      <c r="F13" s="466"/>
      <c r="G13" s="469"/>
    </row>
    <row r="14" spans="1:64" hidden="1" outlineLevel="1" x14ac:dyDescent="0.35">
      <c r="B14" s="467" t="s">
        <v>196</v>
      </c>
      <c r="C14" s="531" t="e">
        <f>-SUM('3. Option specific inputs'!$D$47:$AG$47)</f>
        <v>#DIV/0!</v>
      </c>
      <c r="D14" s="194" t="s">
        <v>91</v>
      </c>
      <c r="E14" s="194"/>
      <c r="F14" s="194"/>
      <c r="G14" s="220"/>
      <c r="H14" s="82"/>
      <c r="I14" s="82"/>
      <c r="J14" s="82"/>
      <c r="K14" s="82"/>
      <c r="L14" s="82"/>
      <c r="M14" s="82"/>
      <c r="N14" s="82"/>
      <c r="O14" s="82"/>
      <c r="P14" s="82"/>
      <c r="Q14" s="6"/>
      <c r="R14" s="6"/>
      <c r="S14" s="6"/>
      <c r="T14" s="6"/>
    </row>
    <row r="15" spans="1:64" ht="15" hidden="1" outlineLevel="1" thickBot="1" x14ac:dyDescent="0.4">
      <c r="B15" s="464" t="s">
        <v>197</v>
      </c>
      <c r="C15" s="530" t="e">
        <f>'3. Option specific inputs'!$AG$48</f>
        <v>#DIV/0!</v>
      </c>
      <c r="D15" s="465" t="s">
        <v>91</v>
      </c>
      <c r="E15" s="462"/>
      <c r="F15" s="462"/>
      <c r="G15" s="217"/>
      <c r="H15" s="82"/>
      <c r="I15" s="82"/>
      <c r="J15" s="82"/>
      <c r="K15" s="82"/>
      <c r="L15" s="82"/>
      <c r="M15" s="82"/>
      <c r="N15" s="82"/>
      <c r="O15" s="82"/>
      <c r="P15" s="82"/>
      <c r="Q15" s="6"/>
      <c r="R15" s="6"/>
      <c r="S15" s="6"/>
      <c r="T15" s="6"/>
    </row>
    <row r="16" spans="1:64" ht="15" customHeight="1" collapsed="1" x14ac:dyDescent="0.35">
      <c r="B16" s="152" t="str">
        <f>Expand</f>
        <v>Press the plus/minus to the left to expand/minimise this section</v>
      </c>
      <c r="C16" s="80"/>
      <c r="D16" s="80"/>
      <c r="E16" s="80"/>
      <c r="F16" s="80"/>
      <c r="G16" s="80"/>
      <c r="H16" s="80"/>
      <c r="I16" s="80"/>
      <c r="J16" s="80"/>
      <c r="K16" s="80"/>
      <c r="L16" s="80"/>
      <c r="M16" s="80"/>
      <c r="N16" s="80"/>
      <c r="O16" s="80"/>
      <c r="P16" s="80"/>
    </row>
    <row r="17" spans="1:64" ht="8.25" customHeight="1" x14ac:dyDescent="0.35">
      <c r="B17" s="130"/>
      <c r="C17" s="80"/>
      <c r="D17" s="80"/>
      <c r="E17" s="80"/>
      <c r="F17" s="80"/>
      <c r="G17" s="80"/>
      <c r="H17" s="80"/>
      <c r="I17" s="80"/>
      <c r="J17" s="80"/>
      <c r="K17" s="80"/>
      <c r="L17" s="80"/>
      <c r="M17" s="80"/>
      <c r="N17" s="80"/>
      <c r="O17" s="80"/>
      <c r="P17" s="80"/>
    </row>
    <row r="18" spans="1:64" ht="15.5" x14ac:dyDescent="0.35">
      <c r="A18" s="148"/>
      <c r="B18" s="149" t="s">
        <v>198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row>
    <row r="19" spans="1:64" ht="15.5" x14ac:dyDescent="0.35">
      <c r="B19" s="150"/>
    </row>
    <row r="20" spans="1:64" outlineLevel="1" x14ac:dyDescent="0.35">
      <c r="B20" s="558" t="s">
        <v>78</v>
      </c>
    </row>
    <row r="21" spans="1:64" s="153" customFormat="1" ht="27.75" customHeight="1" outlineLevel="1" x14ac:dyDescent="0.3">
      <c r="B21" s="674" t="s">
        <v>199</v>
      </c>
      <c r="C21" s="674"/>
      <c r="D21" s="674"/>
      <c r="E21" s="674"/>
      <c r="F21" s="674"/>
      <c r="G21" s="674"/>
      <c r="H21" s="674"/>
      <c r="I21" s="674"/>
      <c r="J21" s="674"/>
      <c r="K21" s="674"/>
      <c r="L21" s="674"/>
      <c r="M21" s="674"/>
      <c r="N21" s="674"/>
      <c r="O21" s="674"/>
    </row>
    <row r="22" spans="1:64" s="153" customFormat="1" ht="13.5" outlineLevel="1" thickBot="1" x14ac:dyDescent="0.35">
      <c r="B22" s="580"/>
      <c r="C22" s="581"/>
      <c r="D22" s="581"/>
      <c r="E22" s="581"/>
      <c r="F22" s="581"/>
      <c r="G22" s="581"/>
      <c r="H22" s="581"/>
      <c r="I22" s="581"/>
      <c r="J22" s="581"/>
      <c r="K22" s="581"/>
      <c r="L22" s="581"/>
      <c r="M22" s="581"/>
      <c r="N22" s="581"/>
      <c r="O22" s="581"/>
    </row>
    <row r="23" spans="1:64" s="153" customFormat="1" ht="13" outlineLevel="1" x14ac:dyDescent="0.3">
      <c r="B23" s="154"/>
    </row>
    <row r="24" spans="1:64" s="153" customFormat="1" ht="15" outlineLevel="1" thickBot="1" x14ac:dyDescent="0.4">
      <c r="B24" s="558" t="s">
        <v>200</v>
      </c>
    </row>
    <row r="25" spans="1:64" ht="17.25" customHeight="1" outlineLevel="1" thickBot="1" x14ac:dyDescent="0.4">
      <c r="B25" s="582" t="str">
        <f>_xlfn.CONCAT($C$7," (Central estimate)")</f>
        <v>0 (Central estimate)</v>
      </c>
      <c r="D25" s="155" t="s">
        <v>201</v>
      </c>
      <c r="E25" s="155" t="s">
        <v>202</v>
      </c>
      <c r="F25" s="155" t="s">
        <v>203</v>
      </c>
      <c r="G25" s="155" t="s">
        <v>204</v>
      </c>
      <c r="H25" s="155" t="s">
        <v>205</v>
      </c>
      <c r="I25" s="155" t="s">
        <v>206</v>
      </c>
      <c r="J25" s="155" t="s">
        <v>207</v>
      </c>
      <c r="K25" s="155" t="s">
        <v>208</v>
      </c>
      <c r="L25" s="155" t="s">
        <v>209</v>
      </c>
      <c r="M25" s="155" t="s">
        <v>210</v>
      </c>
      <c r="N25" s="155" t="s">
        <v>211</v>
      </c>
      <c r="O25" s="155" t="s">
        <v>212</v>
      </c>
      <c r="P25" s="155" t="s">
        <v>213</v>
      </c>
      <c r="Q25" s="155" t="s">
        <v>214</v>
      </c>
      <c r="R25" s="155" t="s">
        <v>215</v>
      </c>
      <c r="S25" s="155" t="s">
        <v>216</v>
      </c>
      <c r="T25" s="155" t="s">
        <v>217</v>
      </c>
      <c r="U25" s="155" t="s">
        <v>218</v>
      </c>
      <c r="V25" s="155" t="s">
        <v>219</v>
      </c>
      <c r="W25" s="155" t="s">
        <v>220</v>
      </c>
      <c r="X25" s="155" t="s">
        <v>221</v>
      </c>
      <c r="Y25" s="155" t="s">
        <v>222</v>
      </c>
      <c r="Z25" s="155" t="s">
        <v>223</v>
      </c>
      <c r="AA25" s="155" t="s">
        <v>224</v>
      </c>
      <c r="AB25" s="155" t="s">
        <v>225</v>
      </c>
      <c r="AC25" s="155" t="s">
        <v>226</v>
      </c>
      <c r="AD25" s="155" t="s">
        <v>227</v>
      </c>
      <c r="AE25" s="155" t="s">
        <v>228</v>
      </c>
      <c r="AF25" s="155" t="s">
        <v>229</v>
      </c>
      <c r="AG25" s="155" t="s">
        <v>230</v>
      </c>
      <c r="AH25" s="155" t="s">
        <v>231</v>
      </c>
      <c r="AI25" s="155" t="s">
        <v>232</v>
      </c>
      <c r="AJ25" s="155" t="s">
        <v>233</v>
      </c>
      <c r="AK25" s="155" t="s">
        <v>234</v>
      </c>
      <c r="AL25" s="155" t="s">
        <v>235</v>
      </c>
      <c r="AM25" s="155" t="s">
        <v>236</v>
      </c>
      <c r="AN25" s="155" t="s">
        <v>237</v>
      </c>
      <c r="AO25" s="155" t="s">
        <v>238</v>
      </c>
      <c r="AP25" s="155" t="s">
        <v>239</v>
      </c>
      <c r="AQ25" s="155" t="s">
        <v>240</v>
      </c>
      <c r="AR25" s="155" t="s">
        <v>241</v>
      </c>
      <c r="AS25" s="155" t="s">
        <v>242</v>
      </c>
      <c r="AT25" s="155" t="s">
        <v>243</v>
      </c>
      <c r="AU25" s="155" t="s">
        <v>244</v>
      </c>
      <c r="AV25" s="155" t="s">
        <v>245</v>
      </c>
      <c r="AW25" s="155" t="s">
        <v>246</v>
      </c>
      <c r="AX25" s="155" t="s">
        <v>247</v>
      </c>
      <c r="AY25" s="155" t="s">
        <v>248</v>
      </c>
      <c r="AZ25" s="155" t="s">
        <v>249</v>
      </c>
      <c r="BA25" s="155" t="s">
        <v>250</v>
      </c>
      <c r="BB25" s="155" t="s">
        <v>251</v>
      </c>
      <c r="BC25" s="155" t="s">
        <v>252</v>
      </c>
      <c r="BD25" s="155" t="s">
        <v>253</v>
      </c>
      <c r="BE25" s="155" t="s">
        <v>254</v>
      </c>
      <c r="BF25" s="155" t="s">
        <v>255</v>
      </c>
      <c r="BG25" s="155" t="s">
        <v>256</v>
      </c>
      <c r="BH25" s="155" t="s">
        <v>257</v>
      </c>
      <c r="BI25" s="155" t="s">
        <v>258</v>
      </c>
      <c r="BJ25" s="155" t="s">
        <v>259</v>
      </c>
      <c r="BK25" s="155" t="s">
        <v>260</v>
      </c>
    </row>
    <row r="26" spans="1:64" s="6" customFormat="1" ht="30" customHeight="1" outlineLevel="1" thickBot="1" x14ac:dyDescent="0.4">
      <c r="B26" s="583" t="str">
        <f>_xlfn.CONCAT("All values are in £ ",MoneyScalarName," and are discounted to the base year.")</f>
        <v>All values are in £  and are discounted to the base year.</v>
      </c>
      <c r="C26" s="157" t="str">
        <f>_xlfn.CONCAT("Total value (£, ",MoneyScalarName,")")</f>
        <v>Total value (£, )</v>
      </c>
      <c r="D26" s="158" cm="1">
        <f t="array" ref="D26:BK26">FinancialYearRange60_Short</f>
        <v>0</v>
      </c>
      <c r="E26" s="159" t="e">
        <v>#N/A</v>
      </c>
      <c r="F26" s="159" t="e">
        <v>#N/A</v>
      </c>
      <c r="G26" s="159" t="e">
        <v>#N/A</v>
      </c>
      <c r="H26" s="159" t="e">
        <v>#N/A</v>
      </c>
      <c r="I26" s="159" t="e">
        <v>#N/A</v>
      </c>
      <c r="J26" s="159" t="e">
        <v>#N/A</v>
      </c>
      <c r="K26" s="159" t="e">
        <v>#N/A</v>
      </c>
      <c r="L26" s="159" t="e">
        <v>#N/A</v>
      </c>
      <c r="M26" s="159" t="e">
        <v>#N/A</v>
      </c>
      <c r="N26" s="159" t="e">
        <v>#N/A</v>
      </c>
      <c r="O26" s="159" t="e">
        <v>#N/A</v>
      </c>
      <c r="P26" s="159" t="e">
        <v>#N/A</v>
      </c>
      <c r="Q26" s="159" t="e">
        <v>#N/A</v>
      </c>
      <c r="R26" s="159" t="e">
        <v>#N/A</v>
      </c>
      <c r="S26" s="159" t="e">
        <v>#N/A</v>
      </c>
      <c r="T26" s="159" t="e">
        <v>#N/A</v>
      </c>
      <c r="U26" s="159" t="e">
        <v>#N/A</v>
      </c>
      <c r="V26" s="159" t="e">
        <v>#N/A</v>
      </c>
      <c r="W26" s="159" t="e">
        <v>#N/A</v>
      </c>
      <c r="X26" s="159" t="e">
        <v>#N/A</v>
      </c>
      <c r="Y26" s="159" t="e">
        <v>#N/A</v>
      </c>
      <c r="Z26" s="159" t="e">
        <v>#N/A</v>
      </c>
      <c r="AA26" s="159" t="e">
        <v>#N/A</v>
      </c>
      <c r="AB26" s="159" t="e">
        <v>#N/A</v>
      </c>
      <c r="AC26" s="159" t="e">
        <v>#N/A</v>
      </c>
      <c r="AD26" s="159" t="e">
        <v>#N/A</v>
      </c>
      <c r="AE26" s="159" t="e">
        <v>#N/A</v>
      </c>
      <c r="AF26" s="159" t="e">
        <v>#N/A</v>
      </c>
      <c r="AG26" s="159" t="e">
        <v>#N/A</v>
      </c>
      <c r="AH26" s="159" t="e">
        <v>#N/A</v>
      </c>
      <c r="AI26" s="159" t="e">
        <v>#N/A</v>
      </c>
      <c r="AJ26" s="159" t="e">
        <v>#N/A</v>
      </c>
      <c r="AK26" s="159" t="e">
        <v>#N/A</v>
      </c>
      <c r="AL26" s="159" t="e">
        <v>#N/A</v>
      </c>
      <c r="AM26" s="159" t="e">
        <v>#N/A</v>
      </c>
      <c r="AN26" s="159" t="e">
        <v>#N/A</v>
      </c>
      <c r="AO26" s="159" t="e">
        <v>#N/A</v>
      </c>
      <c r="AP26" s="159" t="e">
        <v>#N/A</v>
      </c>
      <c r="AQ26" s="159" t="e">
        <v>#N/A</v>
      </c>
      <c r="AR26" s="159" t="e">
        <v>#N/A</v>
      </c>
      <c r="AS26" s="159" t="e">
        <v>#N/A</v>
      </c>
      <c r="AT26" s="159" t="e">
        <v>#N/A</v>
      </c>
      <c r="AU26" s="159" t="e">
        <v>#N/A</v>
      </c>
      <c r="AV26" s="159" t="e">
        <v>#N/A</v>
      </c>
      <c r="AW26" s="159" t="e">
        <v>#N/A</v>
      </c>
      <c r="AX26" s="159" t="e">
        <v>#N/A</v>
      </c>
      <c r="AY26" s="159" t="e">
        <v>#N/A</v>
      </c>
      <c r="AZ26" s="159" t="e">
        <v>#N/A</v>
      </c>
      <c r="BA26" s="159" t="e">
        <v>#N/A</v>
      </c>
      <c r="BB26" s="159" t="e">
        <v>#N/A</v>
      </c>
      <c r="BC26" s="159" t="e">
        <v>#N/A</v>
      </c>
      <c r="BD26" s="159" t="e">
        <v>#N/A</v>
      </c>
      <c r="BE26" s="159" t="e">
        <v>#N/A</v>
      </c>
      <c r="BF26" s="159" t="e">
        <v>#N/A</v>
      </c>
      <c r="BG26" s="159" t="e">
        <v>#N/A</v>
      </c>
      <c r="BH26" s="159" t="e">
        <v>#N/A</v>
      </c>
      <c r="BI26" s="159" t="e">
        <v>#N/A</v>
      </c>
      <c r="BJ26" s="159" t="e">
        <v>#N/A</v>
      </c>
      <c r="BK26" s="160" t="e">
        <v>#N/A</v>
      </c>
    </row>
    <row r="27" spans="1:64" outlineLevel="1" x14ac:dyDescent="0.35">
      <c r="B27" s="161" t="s">
        <v>261</v>
      </c>
      <c r="C27" s="162" t="e">
        <f>SUM(D27:BK27)</f>
        <v>#N/A</v>
      </c>
      <c r="D27" s="229" t="e">
        <f>'5.1 - Brownfield amenity'!J85</f>
        <v>#N/A</v>
      </c>
      <c r="E27" s="230" t="e">
        <f>'5.1 - Brownfield amenity'!K85</f>
        <v>#N/A</v>
      </c>
      <c r="F27" s="230" t="e">
        <f>'5.1 - Brownfield amenity'!L85</f>
        <v>#N/A</v>
      </c>
      <c r="G27" s="230" t="e">
        <f>'5.1 - Brownfield amenity'!M85</f>
        <v>#N/A</v>
      </c>
      <c r="H27" s="230" t="e">
        <f>'5.1 - Brownfield amenity'!N85</f>
        <v>#N/A</v>
      </c>
      <c r="I27" s="230" t="e">
        <f>'5.1 - Brownfield amenity'!O85</f>
        <v>#N/A</v>
      </c>
      <c r="J27" s="230" t="e">
        <f>'5.1 - Brownfield amenity'!P85</f>
        <v>#N/A</v>
      </c>
      <c r="K27" s="230" t="e">
        <f>'5.1 - Brownfield amenity'!Q85</f>
        <v>#N/A</v>
      </c>
      <c r="L27" s="230" t="e">
        <f>'5.1 - Brownfield amenity'!R85</f>
        <v>#N/A</v>
      </c>
      <c r="M27" s="230" t="e">
        <f>'5.1 - Brownfield amenity'!S85</f>
        <v>#N/A</v>
      </c>
      <c r="N27" s="230" t="e">
        <f>'5.1 - Brownfield amenity'!T85</f>
        <v>#N/A</v>
      </c>
      <c r="O27" s="230" t="e">
        <f>'5.1 - Brownfield amenity'!U85</f>
        <v>#N/A</v>
      </c>
      <c r="P27" s="230" t="e">
        <f>'5.1 - Brownfield amenity'!V85</f>
        <v>#N/A</v>
      </c>
      <c r="Q27" s="230" t="e">
        <f>'5.1 - Brownfield amenity'!W85</f>
        <v>#N/A</v>
      </c>
      <c r="R27" s="230" t="e">
        <f>'5.1 - Brownfield amenity'!X85</f>
        <v>#N/A</v>
      </c>
      <c r="S27" s="230" t="e">
        <f>'5.1 - Brownfield amenity'!Y85</f>
        <v>#N/A</v>
      </c>
      <c r="T27" s="230" t="e">
        <f>'5.1 - Brownfield amenity'!Z85</f>
        <v>#N/A</v>
      </c>
      <c r="U27" s="230" t="e">
        <f>'5.1 - Brownfield amenity'!AA85</f>
        <v>#N/A</v>
      </c>
      <c r="V27" s="230" t="e">
        <f>'5.1 - Brownfield amenity'!AB85</f>
        <v>#N/A</v>
      </c>
      <c r="W27" s="230" t="e">
        <f>'5.1 - Brownfield amenity'!AC85</f>
        <v>#N/A</v>
      </c>
      <c r="X27" s="230" t="e">
        <f>'5.1 - Brownfield amenity'!AD85</f>
        <v>#N/A</v>
      </c>
      <c r="Y27" s="230" t="e">
        <f>'5.1 - Brownfield amenity'!AE85</f>
        <v>#N/A</v>
      </c>
      <c r="Z27" s="230" t="e">
        <f>'5.1 - Brownfield amenity'!AF85</f>
        <v>#N/A</v>
      </c>
      <c r="AA27" s="230" t="e">
        <f>'5.1 - Brownfield amenity'!AG85</f>
        <v>#N/A</v>
      </c>
      <c r="AB27" s="230" t="e">
        <f>'5.1 - Brownfield amenity'!AH85</f>
        <v>#N/A</v>
      </c>
      <c r="AC27" s="230" t="e">
        <f>'5.1 - Brownfield amenity'!AI85</f>
        <v>#N/A</v>
      </c>
      <c r="AD27" s="230" t="e">
        <f>'5.1 - Brownfield amenity'!AJ85</f>
        <v>#N/A</v>
      </c>
      <c r="AE27" s="230" t="e">
        <f>'5.1 - Brownfield amenity'!AK85</f>
        <v>#N/A</v>
      </c>
      <c r="AF27" s="230" t="e">
        <f>'5.1 - Brownfield amenity'!AL85</f>
        <v>#N/A</v>
      </c>
      <c r="AG27" s="230" t="e">
        <f>'5.1 - Brownfield amenity'!AM85</f>
        <v>#N/A</v>
      </c>
      <c r="AH27" s="230" t="e">
        <f>'5.1 - Brownfield amenity'!AN85</f>
        <v>#N/A</v>
      </c>
      <c r="AI27" s="230" t="e">
        <f>'5.1 - Brownfield amenity'!AO85</f>
        <v>#N/A</v>
      </c>
      <c r="AJ27" s="230" t="e">
        <f>'5.1 - Brownfield amenity'!AP85</f>
        <v>#N/A</v>
      </c>
      <c r="AK27" s="230" t="e">
        <f>'5.1 - Brownfield amenity'!AQ85</f>
        <v>#N/A</v>
      </c>
      <c r="AL27" s="230" t="e">
        <f>'5.1 - Brownfield amenity'!AR85</f>
        <v>#N/A</v>
      </c>
      <c r="AM27" s="230" t="e">
        <f>'5.1 - Brownfield amenity'!AS85</f>
        <v>#N/A</v>
      </c>
      <c r="AN27" s="230" t="e">
        <f>'5.1 - Brownfield amenity'!AT85</f>
        <v>#N/A</v>
      </c>
      <c r="AO27" s="230" t="e">
        <f>'5.1 - Brownfield amenity'!AU85</f>
        <v>#N/A</v>
      </c>
      <c r="AP27" s="230" t="e">
        <f>'5.1 - Brownfield amenity'!AV85</f>
        <v>#N/A</v>
      </c>
      <c r="AQ27" s="230" t="e">
        <f>'5.1 - Brownfield amenity'!AW85</f>
        <v>#N/A</v>
      </c>
      <c r="AR27" s="230" t="e">
        <f>'5.1 - Brownfield amenity'!AX85</f>
        <v>#N/A</v>
      </c>
      <c r="AS27" s="230" t="e">
        <f>'5.1 - Brownfield amenity'!AY85</f>
        <v>#N/A</v>
      </c>
      <c r="AT27" s="230" t="e">
        <f>'5.1 - Brownfield amenity'!AZ85</f>
        <v>#N/A</v>
      </c>
      <c r="AU27" s="230" t="e">
        <f>'5.1 - Brownfield amenity'!BA85</f>
        <v>#N/A</v>
      </c>
      <c r="AV27" s="230" t="e">
        <f>'5.1 - Brownfield amenity'!BB85</f>
        <v>#N/A</v>
      </c>
      <c r="AW27" s="230" t="e">
        <f>'5.1 - Brownfield amenity'!BC85</f>
        <v>#N/A</v>
      </c>
      <c r="AX27" s="230" t="e">
        <f>'5.1 - Brownfield amenity'!BD85</f>
        <v>#N/A</v>
      </c>
      <c r="AY27" s="230" t="e">
        <f>'5.1 - Brownfield amenity'!BE85</f>
        <v>#N/A</v>
      </c>
      <c r="AZ27" s="230" t="e">
        <f>'5.1 - Brownfield amenity'!BF85</f>
        <v>#N/A</v>
      </c>
      <c r="BA27" s="230" t="e">
        <f>'5.1 - Brownfield amenity'!BG85</f>
        <v>#N/A</v>
      </c>
      <c r="BB27" s="230" t="e">
        <f>'5.1 - Brownfield amenity'!BH85</f>
        <v>#N/A</v>
      </c>
      <c r="BC27" s="230" t="e">
        <f>'5.1 - Brownfield amenity'!BI85</f>
        <v>#N/A</v>
      </c>
      <c r="BD27" s="230" t="e">
        <f>'5.1 - Brownfield amenity'!BJ85</f>
        <v>#N/A</v>
      </c>
      <c r="BE27" s="230" t="e">
        <f>'5.1 - Brownfield amenity'!BK85</f>
        <v>#N/A</v>
      </c>
      <c r="BF27" s="230" t="e">
        <f>'5.1 - Brownfield amenity'!BL85</f>
        <v>#N/A</v>
      </c>
      <c r="BG27" s="230" t="e">
        <f>'5.1 - Brownfield amenity'!BM85</f>
        <v>#N/A</v>
      </c>
      <c r="BH27" s="230" t="e">
        <f>'5.1 - Brownfield amenity'!BN85</f>
        <v>#N/A</v>
      </c>
      <c r="BI27" s="230" t="e">
        <f>'5.1 - Brownfield amenity'!BO85</f>
        <v>#N/A</v>
      </c>
      <c r="BJ27" s="230" t="e">
        <f>'5.1 - Brownfield amenity'!BP85</f>
        <v>#N/A</v>
      </c>
      <c r="BK27" s="396" t="e">
        <f>'5.1 - Brownfield amenity'!BQ85</f>
        <v>#N/A</v>
      </c>
    </row>
    <row r="28" spans="1:64" ht="15" outlineLevel="1" thickBot="1" x14ac:dyDescent="0.4">
      <c r="B28" s="164" t="s">
        <v>262</v>
      </c>
      <c r="C28" s="165" t="e">
        <f t="shared" ref="C28" si="0">SUM(D28:BK28)</f>
        <v>#N/A</v>
      </c>
      <c r="D28" s="192" t="e">
        <f>'5.2 - Feature amenity'!J59</f>
        <v>#N/A</v>
      </c>
      <c r="E28" s="193" t="e">
        <f>'5.2 - Feature amenity'!K59</f>
        <v>#N/A</v>
      </c>
      <c r="F28" s="193" t="e">
        <f>'5.2 - Feature amenity'!L59</f>
        <v>#N/A</v>
      </c>
      <c r="G28" s="193" t="e">
        <f>'5.2 - Feature amenity'!M59</f>
        <v>#N/A</v>
      </c>
      <c r="H28" s="193" t="e">
        <f>'5.2 - Feature amenity'!N59</f>
        <v>#N/A</v>
      </c>
      <c r="I28" s="193" t="e">
        <f>'5.2 - Feature amenity'!O59</f>
        <v>#N/A</v>
      </c>
      <c r="J28" s="193" t="e">
        <f>'5.2 - Feature amenity'!P59</f>
        <v>#N/A</v>
      </c>
      <c r="K28" s="193" t="e">
        <f>'5.2 - Feature amenity'!Q59</f>
        <v>#N/A</v>
      </c>
      <c r="L28" s="193" t="e">
        <f>'5.2 - Feature amenity'!R59</f>
        <v>#N/A</v>
      </c>
      <c r="M28" s="193" t="e">
        <f>'5.2 - Feature amenity'!S59</f>
        <v>#N/A</v>
      </c>
      <c r="N28" s="193" t="e">
        <f>'5.2 - Feature amenity'!T59</f>
        <v>#N/A</v>
      </c>
      <c r="O28" s="193" t="e">
        <f>'5.2 - Feature amenity'!U59</f>
        <v>#N/A</v>
      </c>
      <c r="P28" s="193" t="e">
        <f>'5.2 - Feature amenity'!V59</f>
        <v>#N/A</v>
      </c>
      <c r="Q28" s="193" t="e">
        <f>'5.2 - Feature amenity'!W59</f>
        <v>#N/A</v>
      </c>
      <c r="R28" s="193" t="e">
        <f>'5.2 - Feature amenity'!X59</f>
        <v>#N/A</v>
      </c>
      <c r="S28" s="193" t="e">
        <f>'5.2 - Feature amenity'!Y59</f>
        <v>#N/A</v>
      </c>
      <c r="T28" s="193" t="e">
        <f>'5.2 - Feature amenity'!Z59</f>
        <v>#N/A</v>
      </c>
      <c r="U28" s="193" t="e">
        <f>'5.2 - Feature amenity'!AA59</f>
        <v>#N/A</v>
      </c>
      <c r="V28" s="193" t="e">
        <f>'5.2 - Feature amenity'!AB59</f>
        <v>#N/A</v>
      </c>
      <c r="W28" s="193" t="e">
        <f>'5.2 - Feature amenity'!AC59</f>
        <v>#N/A</v>
      </c>
      <c r="X28" s="193" t="e">
        <f>'5.2 - Feature amenity'!AD59</f>
        <v>#N/A</v>
      </c>
      <c r="Y28" s="193" t="e">
        <f>'5.2 - Feature amenity'!AE59</f>
        <v>#N/A</v>
      </c>
      <c r="Z28" s="193" t="e">
        <f>'5.2 - Feature amenity'!AF59</f>
        <v>#N/A</v>
      </c>
      <c r="AA28" s="193" t="e">
        <f>'5.2 - Feature amenity'!AG59</f>
        <v>#N/A</v>
      </c>
      <c r="AB28" s="193" t="e">
        <f>'5.2 - Feature amenity'!AH59</f>
        <v>#N/A</v>
      </c>
      <c r="AC28" s="193" t="e">
        <f>'5.2 - Feature amenity'!AI59</f>
        <v>#N/A</v>
      </c>
      <c r="AD28" s="193" t="e">
        <f>'5.2 - Feature amenity'!AJ59</f>
        <v>#N/A</v>
      </c>
      <c r="AE28" s="193" t="e">
        <f>'5.2 - Feature amenity'!AK59</f>
        <v>#N/A</v>
      </c>
      <c r="AF28" s="193" t="e">
        <f>'5.2 - Feature amenity'!AL59</f>
        <v>#N/A</v>
      </c>
      <c r="AG28" s="193" t="e">
        <f>'5.2 - Feature amenity'!AM59</f>
        <v>#N/A</v>
      </c>
      <c r="AH28" s="193" t="e">
        <f>'5.2 - Feature amenity'!AN59</f>
        <v>#N/A</v>
      </c>
      <c r="AI28" s="193" t="e">
        <f>'5.2 - Feature amenity'!AO59</f>
        <v>#N/A</v>
      </c>
      <c r="AJ28" s="193" t="e">
        <f>'5.2 - Feature amenity'!AP59</f>
        <v>#N/A</v>
      </c>
      <c r="AK28" s="193" t="e">
        <f>'5.2 - Feature amenity'!AQ59</f>
        <v>#N/A</v>
      </c>
      <c r="AL28" s="193" t="e">
        <f>'5.2 - Feature amenity'!AR59</f>
        <v>#N/A</v>
      </c>
      <c r="AM28" s="193" t="e">
        <f>'5.2 - Feature amenity'!AS59</f>
        <v>#N/A</v>
      </c>
      <c r="AN28" s="193" t="e">
        <f>'5.2 - Feature amenity'!AT59</f>
        <v>#N/A</v>
      </c>
      <c r="AO28" s="193" t="e">
        <f>'5.2 - Feature amenity'!AU59</f>
        <v>#N/A</v>
      </c>
      <c r="AP28" s="193" t="e">
        <f>'5.2 - Feature amenity'!AV59</f>
        <v>#N/A</v>
      </c>
      <c r="AQ28" s="193" t="e">
        <f>'5.2 - Feature amenity'!AW59</f>
        <v>#N/A</v>
      </c>
      <c r="AR28" s="193" t="e">
        <f>'5.2 - Feature amenity'!AX59</f>
        <v>#N/A</v>
      </c>
      <c r="AS28" s="193" t="e">
        <f>'5.2 - Feature amenity'!AY59</f>
        <v>#N/A</v>
      </c>
      <c r="AT28" s="193" t="e">
        <f>'5.2 - Feature amenity'!AZ59</f>
        <v>#N/A</v>
      </c>
      <c r="AU28" s="193" t="e">
        <f>'5.2 - Feature amenity'!BA59</f>
        <v>#N/A</v>
      </c>
      <c r="AV28" s="193" t="e">
        <f>'5.2 - Feature amenity'!BB59</f>
        <v>#N/A</v>
      </c>
      <c r="AW28" s="193" t="e">
        <f>'5.2 - Feature amenity'!BC59</f>
        <v>#N/A</v>
      </c>
      <c r="AX28" s="193" t="e">
        <f>'5.2 - Feature amenity'!BD59</f>
        <v>#N/A</v>
      </c>
      <c r="AY28" s="193" t="e">
        <f>'5.2 - Feature amenity'!BE59</f>
        <v>#N/A</v>
      </c>
      <c r="AZ28" s="193" t="e">
        <f>'5.2 - Feature amenity'!BF59</f>
        <v>#N/A</v>
      </c>
      <c r="BA28" s="193" t="e">
        <f>'5.2 - Feature amenity'!BG59</f>
        <v>#N/A</v>
      </c>
      <c r="BB28" s="193" t="e">
        <f>'5.2 - Feature amenity'!BH59</f>
        <v>#N/A</v>
      </c>
      <c r="BC28" s="193" t="e">
        <f>'5.2 - Feature amenity'!BI59</f>
        <v>#N/A</v>
      </c>
      <c r="BD28" s="193" t="e">
        <f>'5.2 - Feature amenity'!BJ59</f>
        <v>#N/A</v>
      </c>
      <c r="BE28" s="193" t="e">
        <f>'5.2 - Feature amenity'!BK59</f>
        <v>#N/A</v>
      </c>
      <c r="BF28" s="193" t="e">
        <f>'5.2 - Feature amenity'!BL59</f>
        <v>#N/A</v>
      </c>
      <c r="BG28" s="193" t="e">
        <f>'5.2 - Feature amenity'!BM59</f>
        <v>#N/A</v>
      </c>
      <c r="BH28" s="193" t="e">
        <f>'5.2 - Feature amenity'!BN59</f>
        <v>#N/A</v>
      </c>
      <c r="BI28" s="193" t="e">
        <f>'5.2 - Feature amenity'!BO59</f>
        <v>#N/A</v>
      </c>
      <c r="BJ28" s="193" t="e">
        <f>'5.2 - Feature amenity'!BP59</f>
        <v>#N/A</v>
      </c>
      <c r="BK28" s="163" t="e">
        <f>'5.2 - Feature amenity'!BQ59</f>
        <v>#N/A</v>
      </c>
    </row>
    <row r="29" spans="1:64" ht="15" outlineLevel="1" thickBot="1" x14ac:dyDescent="0.4">
      <c r="B29" s="481" t="s">
        <v>263</v>
      </c>
      <c r="C29" s="482" t="e">
        <f t="shared" ref="C29" si="1">SUM(D29:BK29)</f>
        <v>#N/A</v>
      </c>
      <c r="D29" s="483" t="e">
        <f t="shared" ref="D29:BK29" si="2">SUM(D27:D28)</f>
        <v>#N/A</v>
      </c>
      <c r="E29" s="484" t="e">
        <f t="shared" si="2"/>
        <v>#N/A</v>
      </c>
      <c r="F29" s="484" t="e">
        <f t="shared" si="2"/>
        <v>#N/A</v>
      </c>
      <c r="G29" s="484" t="e">
        <f t="shared" si="2"/>
        <v>#N/A</v>
      </c>
      <c r="H29" s="484" t="e">
        <f t="shared" si="2"/>
        <v>#N/A</v>
      </c>
      <c r="I29" s="484" t="e">
        <f t="shared" si="2"/>
        <v>#N/A</v>
      </c>
      <c r="J29" s="484" t="e">
        <f t="shared" si="2"/>
        <v>#N/A</v>
      </c>
      <c r="K29" s="484" t="e">
        <f t="shared" si="2"/>
        <v>#N/A</v>
      </c>
      <c r="L29" s="484" t="e">
        <f t="shared" si="2"/>
        <v>#N/A</v>
      </c>
      <c r="M29" s="484" t="e">
        <f t="shared" si="2"/>
        <v>#N/A</v>
      </c>
      <c r="N29" s="484" t="e">
        <f t="shared" si="2"/>
        <v>#N/A</v>
      </c>
      <c r="O29" s="484" t="e">
        <f t="shared" si="2"/>
        <v>#N/A</v>
      </c>
      <c r="P29" s="484" t="e">
        <f t="shared" si="2"/>
        <v>#N/A</v>
      </c>
      <c r="Q29" s="484" t="e">
        <f t="shared" si="2"/>
        <v>#N/A</v>
      </c>
      <c r="R29" s="484" t="e">
        <f t="shared" si="2"/>
        <v>#N/A</v>
      </c>
      <c r="S29" s="484" t="e">
        <f t="shared" si="2"/>
        <v>#N/A</v>
      </c>
      <c r="T29" s="484" t="e">
        <f t="shared" si="2"/>
        <v>#N/A</v>
      </c>
      <c r="U29" s="484" t="e">
        <f t="shared" si="2"/>
        <v>#N/A</v>
      </c>
      <c r="V29" s="484" t="e">
        <f t="shared" si="2"/>
        <v>#N/A</v>
      </c>
      <c r="W29" s="484" t="e">
        <f t="shared" si="2"/>
        <v>#N/A</v>
      </c>
      <c r="X29" s="484" t="e">
        <f t="shared" si="2"/>
        <v>#N/A</v>
      </c>
      <c r="Y29" s="484" t="e">
        <f t="shared" si="2"/>
        <v>#N/A</v>
      </c>
      <c r="Z29" s="484" t="e">
        <f t="shared" si="2"/>
        <v>#N/A</v>
      </c>
      <c r="AA29" s="484" t="e">
        <f t="shared" si="2"/>
        <v>#N/A</v>
      </c>
      <c r="AB29" s="484" t="e">
        <f t="shared" si="2"/>
        <v>#N/A</v>
      </c>
      <c r="AC29" s="484" t="e">
        <f t="shared" si="2"/>
        <v>#N/A</v>
      </c>
      <c r="AD29" s="484" t="e">
        <f t="shared" si="2"/>
        <v>#N/A</v>
      </c>
      <c r="AE29" s="484" t="e">
        <f t="shared" si="2"/>
        <v>#N/A</v>
      </c>
      <c r="AF29" s="484" t="e">
        <f t="shared" si="2"/>
        <v>#N/A</v>
      </c>
      <c r="AG29" s="484" t="e">
        <f t="shared" si="2"/>
        <v>#N/A</v>
      </c>
      <c r="AH29" s="484" t="e">
        <f t="shared" si="2"/>
        <v>#N/A</v>
      </c>
      <c r="AI29" s="484" t="e">
        <f t="shared" si="2"/>
        <v>#N/A</v>
      </c>
      <c r="AJ29" s="484" t="e">
        <f t="shared" si="2"/>
        <v>#N/A</v>
      </c>
      <c r="AK29" s="484" t="e">
        <f t="shared" si="2"/>
        <v>#N/A</v>
      </c>
      <c r="AL29" s="484" t="e">
        <f t="shared" si="2"/>
        <v>#N/A</v>
      </c>
      <c r="AM29" s="484" t="e">
        <f t="shared" si="2"/>
        <v>#N/A</v>
      </c>
      <c r="AN29" s="484" t="e">
        <f t="shared" si="2"/>
        <v>#N/A</v>
      </c>
      <c r="AO29" s="484" t="e">
        <f t="shared" si="2"/>
        <v>#N/A</v>
      </c>
      <c r="AP29" s="484" t="e">
        <f t="shared" si="2"/>
        <v>#N/A</v>
      </c>
      <c r="AQ29" s="484" t="e">
        <f t="shared" si="2"/>
        <v>#N/A</v>
      </c>
      <c r="AR29" s="484" t="e">
        <f t="shared" si="2"/>
        <v>#N/A</v>
      </c>
      <c r="AS29" s="484" t="e">
        <f t="shared" si="2"/>
        <v>#N/A</v>
      </c>
      <c r="AT29" s="484" t="e">
        <f t="shared" si="2"/>
        <v>#N/A</v>
      </c>
      <c r="AU29" s="484" t="e">
        <f t="shared" si="2"/>
        <v>#N/A</v>
      </c>
      <c r="AV29" s="484" t="e">
        <f t="shared" si="2"/>
        <v>#N/A</v>
      </c>
      <c r="AW29" s="484" t="e">
        <f t="shared" si="2"/>
        <v>#N/A</v>
      </c>
      <c r="AX29" s="484" t="e">
        <f t="shared" si="2"/>
        <v>#N/A</v>
      </c>
      <c r="AY29" s="484" t="e">
        <f t="shared" si="2"/>
        <v>#N/A</v>
      </c>
      <c r="AZ29" s="484" t="e">
        <f t="shared" si="2"/>
        <v>#N/A</v>
      </c>
      <c r="BA29" s="484" t="e">
        <f t="shared" si="2"/>
        <v>#N/A</v>
      </c>
      <c r="BB29" s="484" t="e">
        <f t="shared" si="2"/>
        <v>#N/A</v>
      </c>
      <c r="BC29" s="484" t="e">
        <f t="shared" si="2"/>
        <v>#N/A</v>
      </c>
      <c r="BD29" s="484" t="e">
        <f t="shared" si="2"/>
        <v>#N/A</v>
      </c>
      <c r="BE29" s="484" t="e">
        <f t="shared" si="2"/>
        <v>#N/A</v>
      </c>
      <c r="BF29" s="484" t="e">
        <f t="shared" si="2"/>
        <v>#N/A</v>
      </c>
      <c r="BG29" s="484" t="e">
        <f t="shared" si="2"/>
        <v>#N/A</v>
      </c>
      <c r="BH29" s="484" t="e">
        <f t="shared" si="2"/>
        <v>#N/A</v>
      </c>
      <c r="BI29" s="484" t="e">
        <f t="shared" si="2"/>
        <v>#N/A</v>
      </c>
      <c r="BJ29" s="484" t="e">
        <f t="shared" si="2"/>
        <v>#N/A</v>
      </c>
      <c r="BK29" s="485" t="e">
        <f t="shared" si="2"/>
        <v>#N/A</v>
      </c>
    </row>
    <row r="30" spans="1:64" s="166" customFormat="1" ht="18" customHeight="1" x14ac:dyDescent="0.3">
      <c r="B30" s="152" t="str">
        <f>Expand</f>
        <v>Press the plus/minus to the left to expand/minimise this section</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row>
    <row r="31" spans="1:64" s="166" customFormat="1" ht="7.5" customHeight="1" x14ac:dyDescent="0.3">
      <c r="B31" s="152"/>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row>
    <row r="32" spans="1:64" s="166" customFormat="1" ht="13" x14ac:dyDescent="0.3">
      <c r="B32" s="15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row>
    <row r="33" spans="1:63" ht="15.5" x14ac:dyDescent="0.35">
      <c r="A33" s="148"/>
      <c r="B33" s="149" t="s">
        <v>264</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row>
    <row r="34" spans="1:63" ht="15.5" x14ac:dyDescent="0.35">
      <c r="B34" s="150"/>
    </row>
    <row r="35" spans="1:63" hidden="1" outlineLevel="1" x14ac:dyDescent="0.35">
      <c r="B35" s="558" t="s">
        <v>78</v>
      </c>
    </row>
    <row r="36" spans="1:63" s="153" customFormat="1" ht="27.75" hidden="1" customHeight="1" outlineLevel="1" x14ac:dyDescent="0.3">
      <c r="B36" s="674" t="s">
        <v>265</v>
      </c>
      <c r="C36" s="674"/>
      <c r="D36" s="674"/>
      <c r="E36" s="674"/>
      <c r="F36" s="674"/>
      <c r="G36" s="674"/>
      <c r="H36" s="674"/>
      <c r="I36" s="674"/>
      <c r="J36" s="674"/>
      <c r="K36" s="674"/>
      <c r="L36" s="674"/>
      <c r="M36" s="674"/>
      <c r="N36" s="674"/>
      <c r="O36" s="674"/>
    </row>
    <row r="37" spans="1:63" s="153" customFormat="1" ht="13.5" hidden="1" outlineLevel="1" thickBot="1" x14ac:dyDescent="0.35">
      <c r="B37" s="580"/>
      <c r="C37" s="581"/>
      <c r="D37" s="581"/>
      <c r="E37" s="581"/>
      <c r="F37" s="581"/>
      <c r="G37" s="581"/>
      <c r="H37" s="581"/>
      <c r="I37" s="581"/>
      <c r="J37" s="581"/>
      <c r="K37" s="581"/>
      <c r="L37" s="581"/>
      <c r="M37" s="581"/>
      <c r="N37" s="581"/>
      <c r="O37" s="581"/>
    </row>
    <row r="38" spans="1:63" s="153" customFormat="1" ht="13" hidden="1" outlineLevel="1" x14ac:dyDescent="0.3">
      <c r="B38" s="154"/>
    </row>
    <row r="39" spans="1:63" s="153" customFormat="1" ht="15" hidden="1" outlineLevel="1" thickBot="1" x14ac:dyDescent="0.4">
      <c r="B39" s="558" t="s">
        <v>200</v>
      </c>
    </row>
    <row r="40" spans="1:63" ht="17.25" hidden="1" customHeight="1" outlineLevel="1" thickBot="1" x14ac:dyDescent="0.4">
      <c r="B40" s="582" t="str">
        <f>_xlfn.CONCAT($C$7," (Low sensitivity estimate)")</f>
        <v>0 (Low sensitivity estimate)</v>
      </c>
      <c r="D40" s="155" t="s">
        <v>201</v>
      </c>
      <c r="E40" s="155" t="s">
        <v>202</v>
      </c>
      <c r="F40" s="155" t="s">
        <v>203</v>
      </c>
      <c r="G40" s="155" t="s">
        <v>204</v>
      </c>
      <c r="H40" s="155" t="s">
        <v>205</v>
      </c>
      <c r="I40" s="155" t="s">
        <v>206</v>
      </c>
      <c r="J40" s="155" t="s">
        <v>207</v>
      </c>
      <c r="K40" s="155" t="s">
        <v>208</v>
      </c>
      <c r="L40" s="155" t="s">
        <v>209</v>
      </c>
      <c r="M40" s="155" t="s">
        <v>210</v>
      </c>
      <c r="N40" s="155" t="s">
        <v>211</v>
      </c>
      <c r="O40" s="155" t="s">
        <v>212</v>
      </c>
      <c r="P40" s="155" t="s">
        <v>213</v>
      </c>
      <c r="Q40" s="155" t="s">
        <v>214</v>
      </c>
      <c r="R40" s="155" t="s">
        <v>215</v>
      </c>
      <c r="S40" s="155" t="s">
        <v>216</v>
      </c>
      <c r="T40" s="155" t="s">
        <v>217</v>
      </c>
      <c r="U40" s="155" t="s">
        <v>218</v>
      </c>
      <c r="V40" s="155" t="s">
        <v>219</v>
      </c>
      <c r="W40" s="155" t="s">
        <v>220</v>
      </c>
      <c r="X40" s="155" t="s">
        <v>221</v>
      </c>
      <c r="Y40" s="155" t="s">
        <v>222</v>
      </c>
      <c r="Z40" s="155" t="s">
        <v>223</v>
      </c>
      <c r="AA40" s="155" t="s">
        <v>224</v>
      </c>
      <c r="AB40" s="155" t="s">
        <v>225</v>
      </c>
      <c r="AC40" s="155" t="s">
        <v>226</v>
      </c>
      <c r="AD40" s="155" t="s">
        <v>227</v>
      </c>
      <c r="AE40" s="155" t="s">
        <v>228</v>
      </c>
      <c r="AF40" s="155" t="s">
        <v>229</v>
      </c>
      <c r="AG40" s="155" t="s">
        <v>230</v>
      </c>
      <c r="AH40" s="155" t="s">
        <v>231</v>
      </c>
      <c r="AI40" s="155" t="s">
        <v>232</v>
      </c>
      <c r="AJ40" s="155" t="s">
        <v>233</v>
      </c>
      <c r="AK40" s="155" t="s">
        <v>234</v>
      </c>
      <c r="AL40" s="155" t="s">
        <v>235</v>
      </c>
      <c r="AM40" s="155" t="s">
        <v>236</v>
      </c>
      <c r="AN40" s="155" t="s">
        <v>237</v>
      </c>
      <c r="AO40" s="155" t="s">
        <v>238</v>
      </c>
      <c r="AP40" s="155" t="s">
        <v>239</v>
      </c>
      <c r="AQ40" s="155" t="s">
        <v>240</v>
      </c>
      <c r="AR40" s="155" t="s">
        <v>241</v>
      </c>
      <c r="AS40" s="155" t="s">
        <v>242</v>
      </c>
      <c r="AT40" s="155" t="s">
        <v>243</v>
      </c>
      <c r="AU40" s="155" t="s">
        <v>244</v>
      </c>
      <c r="AV40" s="155" t="s">
        <v>245</v>
      </c>
      <c r="AW40" s="155" t="s">
        <v>246</v>
      </c>
      <c r="AX40" s="155" t="s">
        <v>247</v>
      </c>
      <c r="AY40" s="155" t="s">
        <v>248</v>
      </c>
      <c r="AZ40" s="155" t="s">
        <v>249</v>
      </c>
      <c r="BA40" s="155" t="s">
        <v>250</v>
      </c>
      <c r="BB40" s="155" t="s">
        <v>251</v>
      </c>
      <c r="BC40" s="155" t="s">
        <v>252</v>
      </c>
      <c r="BD40" s="155" t="s">
        <v>253</v>
      </c>
      <c r="BE40" s="155" t="s">
        <v>254</v>
      </c>
      <c r="BF40" s="155" t="s">
        <v>255</v>
      </c>
      <c r="BG40" s="155" t="s">
        <v>256</v>
      </c>
      <c r="BH40" s="155" t="s">
        <v>257</v>
      </c>
      <c r="BI40" s="155" t="s">
        <v>258</v>
      </c>
      <c r="BJ40" s="155" t="s">
        <v>259</v>
      </c>
      <c r="BK40" s="155" t="s">
        <v>260</v>
      </c>
    </row>
    <row r="41" spans="1:63" s="6" customFormat="1" ht="30" hidden="1" customHeight="1" outlineLevel="1" thickBot="1" x14ac:dyDescent="0.4">
      <c r="B41" s="583" t="str">
        <f>_xlfn.CONCAT("All values are in £ ",MoneyScalarName," and are discounted to the base year.")</f>
        <v>All values are in £  and are discounted to the base year.</v>
      </c>
      <c r="C41" s="157" t="str">
        <f>_xlfn.CONCAT("Total value (£, ",MoneyScalarName,")")</f>
        <v>Total value (£, )</v>
      </c>
      <c r="D41" s="158" cm="1">
        <f t="array" ref="D41:BK41">FinancialYearRange60_Short</f>
        <v>0</v>
      </c>
      <c r="E41" s="159" t="e">
        <v>#N/A</v>
      </c>
      <c r="F41" s="159" t="e">
        <v>#N/A</v>
      </c>
      <c r="G41" s="159" t="e">
        <v>#N/A</v>
      </c>
      <c r="H41" s="159" t="e">
        <v>#N/A</v>
      </c>
      <c r="I41" s="159" t="e">
        <v>#N/A</v>
      </c>
      <c r="J41" s="159" t="e">
        <v>#N/A</v>
      </c>
      <c r="K41" s="159" t="e">
        <v>#N/A</v>
      </c>
      <c r="L41" s="159" t="e">
        <v>#N/A</v>
      </c>
      <c r="M41" s="159" t="e">
        <v>#N/A</v>
      </c>
      <c r="N41" s="159" t="e">
        <v>#N/A</v>
      </c>
      <c r="O41" s="159" t="e">
        <v>#N/A</v>
      </c>
      <c r="P41" s="159" t="e">
        <v>#N/A</v>
      </c>
      <c r="Q41" s="159" t="e">
        <v>#N/A</v>
      </c>
      <c r="R41" s="159" t="e">
        <v>#N/A</v>
      </c>
      <c r="S41" s="159" t="e">
        <v>#N/A</v>
      </c>
      <c r="T41" s="159" t="e">
        <v>#N/A</v>
      </c>
      <c r="U41" s="159" t="e">
        <v>#N/A</v>
      </c>
      <c r="V41" s="159" t="e">
        <v>#N/A</v>
      </c>
      <c r="W41" s="159" t="e">
        <v>#N/A</v>
      </c>
      <c r="X41" s="159" t="e">
        <v>#N/A</v>
      </c>
      <c r="Y41" s="159" t="e">
        <v>#N/A</v>
      </c>
      <c r="Z41" s="159" t="e">
        <v>#N/A</v>
      </c>
      <c r="AA41" s="159" t="e">
        <v>#N/A</v>
      </c>
      <c r="AB41" s="159" t="e">
        <v>#N/A</v>
      </c>
      <c r="AC41" s="159" t="e">
        <v>#N/A</v>
      </c>
      <c r="AD41" s="159" t="e">
        <v>#N/A</v>
      </c>
      <c r="AE41" s="159" t="e">
        <v>#N/A</v>
      </c>
      <c r="AF41" s="159" t="e">
        <v>#N/A</v>
      </c>
      <c r="AG41" s="159" t="e">
        <v>#N/A</v>
      </c>
      <c r="AH41" s="159" t="e">
        <v>#N/A</v>
      </c>
      <c r="AI41" s="159" t="e">
        <v>#N/A</v>
      </c>
      <c r="AJ41" s="159" t="e">
        <v>#N/A</v>
      </c>
      <c r="AK41" s="159" t="e">
        <v>#N/A</v>
      </c>
      <c r="AL41" s="159" t="e">
        <v>#N/A</v>
      </c>
      <c r="AM41" s="159" t="e">
        <v>#N/A</v>
      </c>
      <c r="AN41" s="159" t="e">
        <v>#N/A</v>
      </c>
      <c r="AO41" s="159" t="e">
        <v>#N/A</v>
      </c>
      <c r="AP41" s="159" t="e">
        <v>#N/A</v>
      </c>
      <c r="AQ41" s="159" t="e">
        <v>#N/A</v>
      </c>
      <c r="AR41" s="159" t="e">
        <v>#N/A</v>
      </c>
      <c r="AS41" s="159" t="e">
        <v>#N/A</v>
      </c>
      <c r="AT41" s="159" t="e">
        <v>#N/A</v>
      </c>
      <c r="AU41" s="159" t="e">
        <v>#N/A</v>
      </c>
      <c r="AV41" s="159" t="e">
        <v>#N/A</v>
      </c>
      <c r="AW41" s="159" t="e">
        <v>#N/A</v>
      </c>
      <c r="AX41" s="159" t="e">
        <v>#N/A</v>
      </c>
      <c r="AY41" s="159" t="e">
        <v>#N/A</v>
      </c>
      <c r="AZ41" s="159" t="e">
        <v>#N/A</v>
      </c>
      <c r="BA41" s="159" t="e">
        <v>#N/A</v>
      </c>
      <c r="BB41" s="159" t="e">
        <v>#N/A</v>
      </c>
      <c r="BC41" s="159" t="e">
        <v>#N/A</v>
      </c>
      <c r="BD41" s="159" t="e">
        <v>#N/A</v>
      </c>
      <c r="BE41" s="159" t="e">
        <v>#N/A</v>
      </c>
      <c r="BF41" s="159" t="e">
        <v>#N/A</v>
      </c>
      <c r="BG41" s="159" t="e">
        <v>#N/A</v>
      </c>
      <c r="BH41" s="159" t="e">
        <v>#N/A</v>
      </c>
      <c r="BI41" s="159" t="e">
        <v>#N/A</v>
      </c>
      <c r="BJ41" s="159" t="e">
        <v>#N/A</v>
      </c>
      <c r="BK41" s="160" t="e">
        <v>#N/A</v>
      </c>
    </row>
    <row r="42" spans="1:63" hidden="1" outlineLevel="1" x14ac:dyDescent="0.35">
      <c r="B42" s="161" t="s">
        <v>266</v>
      </c>
      <c r="C42" s="162" t="e">
        <f>SUM(D42:BK42)</f>
        <v>#N/A</v>
      </c>
      <c r="D42" s="229" t="e">
        <f>'5.1 - Brownfield amenity'!J98</f>
        <v>#N/A</v>
      </c>
      <c r="E42" s="230" t="e">
        <f>'5.1 - Brownfield amenity'!K98</f>
        <v>#N/A</v>
      </c>
      <c r="F42" s="230" t="e">
        <f>'5.1 - Brownfield amenity'!L98</f>
        <v>#N/A</v>
      </c>
      <c r="G42" s="230" t="e">
        <f>'5.1 - Brownfield amenity'!M98</f>
        <v>#N/A</v>
      </c>
      <c r="H42" s="230" t="e">
        <f>'5.1 - Brownfield amenity'!N98</f>
        <v>#N/A</v>
      </c>
      <c r="I42" s="230" t="e">
        <f>'5.1 - Brownfield amenity'!O98</f>
        <v>#N/A</v>
      </c>
      <c r="J42" s="230" t="e">
        <f>'5.1 - Brownfield amenity'!P98</f>
        <v>#N/A</v>
      </c>
      <c r="K42" s="230" t="e">
        <f>'5.1 - Brownfield amenity'!Q98</f>
        <v>#N/A</v>
      </c>
      <c r="L42" s="230" t="e">
        <f>'5.1 - Brownfield amenity'!R98</f>
        <v>#N/A</v>
      </c>
      <c r="M42" s="230" t="e">
        <f>'5.1 - Brownfield amenity'!S98</f>
        <v>#N/A</v>
      </c>
      <c r="N42" s="230" t="e">
        <f>'5.1 - Brownfield amenity'!T98</f>
        <v>#N/A</v>
      </c>
      <c r="O42" s="230" t="e">
        <f>'5.1 - Brownfield amenity'!U98</f>
        <v>#N/A</v>
      </c>
      <c r="P42" s="230" t="e">
        <f>'5.1 - Brownfield amenity'!V98</f>
        <v>#N/A</v>
      </c>
      <c r="Q42" s="230" t="e">
        <f>'5.1 - Brownfield amenity'!W98</f>
        <v>#N/A</v>
      </c>
      <c r="R42" s="230" t="e">
        <f>'5.1 - Brownfield amenity'!X98</f>
        <v>#N/A</v>
      </c>
      <c r="S42" s="230" t="e">
        <f>'5.1 - Brownfield amenity'!Y98</f>
        <v>#N/A</v>
      </c>
      <c r="T42" s="230" t="e">
        <f>'5.1 - Brownfield amenity'!Z98</f>
        <v>#N/A</v>
      </c>
      <c r="U42" s="230" t="e">
        <f>'5.1 - Brownfield amenity'!AA98</f>
        <v>#N/A</v>
      </c>
      <c r="V42" s="230" t="e">
        <f>'5.1 - Brownfield amenity'!AB98</f>
        <v>#N/A</v>
      </c>
      <c r="W42" s="230" t="e">
        <f>'5.1 - Brownfield amenity'!AC98</f>
        <v>#N/A</v>
      </c>
      <c r="X42" s="230" t="e">
        <f>'5.1 - Brownfield amenity'!AD98</f>
        <v>#N/A</v>
      </c>
      <c r="Y42" s="230" t="e">
        <f>'5.1 - Brownfield amenity'!AE98</f>
        <v>#N/A</v>
      </c>
      <c r="Z42" s="230" t="e">
        <f>'5.1 - Brownfield amenity'!AF98</f>
        <v>#N/A</v>
      </c>
      <c r="AA42" s="230" t="e">
        <f>'5.1 - Brownfield amenity'!AG98</f>
        <v>#N/A</v>
      </c>
      <c r="AB42" s="230" t="e">
        <f>'5.1 - Brownfield amenity'!AH98</f>
        <v>#N/A</v>
      </c>
      <c r="AC42" s="230" t="e">
        <f>'5.1 - Brownfield amenity'!AI98</f>
        <v>#N/A</v>
      </c>
      <c r="AD42" s="230" t="e">
        <f>'5.1 - Brownfield amenity'!AJ98</f>
        <v>#N/A</v>
      </c>
      <c r="AE42" s="230" t="e">
        <f>'5.1 - Brownfield amenity'!AK98</f>
        <v>#N/A</v>
      </c>
      <c r="AF42" s="230" t="e">
        <f>'5.1 - Brownfield amenity'!AL98</f>
        <v>#N/A</v>
      </c>
      <c r="AG42" s="230" t="e">
        <f>'5.1 - Brownfield amenity'!AM98</f>
        <v>#N/A</v>
      </c>
      <c r="AH42" s="230" t="e">
        <f>'5.1 - Brownfield amenity'!AN98</f>
        <v>#N/A</v>
      </c>
      <c r="AI42" s="230" t="e">
        <f>'5.1 - Brownfield amenity'!AO98</f>
        <v>#N/A</v>
      </c>
      <c r="AJ42" s="230" t="e">
        <f>'5.1 - Brownfield amenity'!AP98</f>
        <v>#N/A</v>
      </c>
      <c r="AK42" s="230" t="e">
        <f>'5.1 - Brownfield amenity'!AQ98</f>
        <v>#N/A</v>
      </c>
      <c r="AL42" s="230" t="e">
        <f>'5.1 - Brownfield amenity'!AR98</f>
        <v>#N/A</v>
      </c>
      <c r="AM42" s="230" t="e">
        <f>'5.1 - Brownfield amenity'!AS98</f>
        <v>#N/A</v>
      </c>
      <c r="AN42" s="230" t="e">
        <f>'5.1 - Brownfield amenity'!AT98</f>
        <v>#N/A</v>
      </c>
      <c r="AO42" s="230" t="e">
        <f>'5.1 - Brownfield amenity'!AU98</f>
        <v>#N/A</v>
      </c>
      <c r="AP42" s="230" t="e">
        <f>'5.1 - Brownfield amenity'!AV98</f>
        <v>#N/A</v>
      </c>
      <c r="AQ42" s="230" t="e">
        <f>'5.1 - Brownfield amenity'!AW98</f>
        <v>#N/A</v>
      </c>
      <c r="AR42" s="230" t="e">
        <f>'5.1 - Brownfield amenity'!AX98</f>
        <v>#N/A</v>
      </c>
      <c r="AS42" s="230" t="e">
        <f>'5.1 - Brownfield amenity'!AY98</f>
        <v>#N/A</v>
      </c>
      <c r="AT42" s="230" t="e">
        <f>'5.1 - Brownfield amenity'!AZ98</f>
        <v>#N/A</v>
      </c>
      <c r="AU42" s="230" t="e">
        <f>'5.1 - Brownfield amenity'!BA98</f>
        <v>#N/A</v>
      </c>
      <c r="AV42" s="230" t="e">
        <f>'5.1 - Brownfield amenity'!BB98</f>
        <v>#N/A</v>
      </c>
      <c r="AW42" s="230" t="e">
        <f>'5.1 - Brownfield amenity'!BC98</f>
        <v>#N/A</v>
      </c>
      <c r="AX42" s="230" t="e">
        <f>'5.1 - Brownfield amenity'!BD98</f>
        <v>#N/A</v>
      </c>
      <c r="AY42" s="230" t="e">
        <f>'5.1 - Brownfield amenity'!BE98</f>
        <v>#N/A</v>
      </c>
      <c r="AZ42" s="230" t="e">
        <f>'5.1 - Brownfield amenity'!BF98</f>
        <v>#N/A</v>
      </c>
      <c r="BA42" s="230" t="e">
        <f>'5.1 - Brownfield amenity'!BG98</f>
        <v>#N/A</v>
      </c>
      <c r="BB42" s="230" t="e">
        <f>'5.1 - Brownfield amenity'!BH98</f>
        <v>#N/A</v>
      </c>
      <c r="BC42" s="230" t="e">
        <f>'5.1 - Brownfield amenity'!BI98</f>
        <v>#N/A</v>
      </c>
      <c r="BD42" s="230" t="e">
        <f>'5.1 - Brownfield amenity'!BJ98</f>
        <v>#N/A</v>
      </c>
      <c r="BE42" s="230" t="e">
        <f>'5.1 - Brownfield amenity'!BK98</f>
        <v>#N/A</v>
      </c>
      <c r="BF42" s="230" t="e">
        <f>'5.1 - Brownfield amenity'!BL98</f>
        <v>#N/A</v>
      </c>
      <c r="BG42" s="230" t="e">
        <f>'5.1 - Brownfield amenity'!BM98</f>
        <v>#N/A</v>
      </c>
      <c r="BH42" s="230" t="e">
        <f>'5.1 - Brownfield amenity'!BN98</f>
        <v>#N/A</v>
      </c>
      <c r="BI42" s="230" t="e">
        <f>'5.1 - Brownfield amenity'!BO98</f>
        <v>#N/A</v>
      </c>
      <c r="BJ42" s="230" t="e">
        <f>'5.1 - Brownfield amenity'!BP98</f>
        <v>#N/A</v>
      </c>
      <c r="BK42" s="396" t="e">
        <f>'5.1 - Brownfield amenity'!BQ98</f>
        <v>#N/A</v>
      </c>
    </row>
    <row r="43" spans="1:63" ht="15" hidden="1" outlineLevel="1" thickBot="1" x14ac:dyDescent="0.4">
      <c r="B43" s="164" t="s">
        <v>267</v>
      </c>
      <c r="C43" s="165" t="e">
        <f t="shared" ref="C43" si="3">SUM(D43:BK43)</f>
        <v>#N/A</v>
      </c>
      <c r="D43" s="192" t="e">
        <f>'5.2 - Feature amenity'!J70</f>
        <v>#N/A</v>
      </c>
      <c r="E43" s="193" t="e">
        <f>'5.2 - Feature amenity'!K70</f>
        <v>#N/A</v>
      </c>
      <c r="F43" s="193" t="e">
        <f>'5.2 - Feature amenity'!L70</f>
        <v>#N/A</v>
      </c>
      <c r="G43" s="193" t="e">
        <f>'5.2 - Feature amenity'!M70</f>
        <v>#N/A</v>
      </c>
      <c r="H43" s="193" t="e">
        <f>'5.2 - Feature amenity'!N70</f>
        <v>#N/A</v>
      </c>
      <c r="I43" s="193" t="e">
        <f>'5.2 - Feature amenity'!O70</f>
        <v>#N/A</v>
      </c>
      <c r="J43" s="193" t="e">
        <f>'5.2 - Feature amenity'!P70</f>
        <v>#N/A</v>
      </c>
      <c r="K43" s="193" t="e">
        <f>'5.2 - Feature amenity'!Q70</f>
        <v>#N/A</v>
      </c>
      <c r="L43" s="193" t="e">
        <f>'5.2 - Feature amenity'!R70</f>
        <v>#N/A</v>
      </c>
      <c r="M43" s="193" t="e">
        <f>'5.2 - Feature amenity'!S70</f>
        <v>#N/A</v>
      </c>
      <c r="N43" s="193" t="e">
        <f>'5.2 - Feature amenity'!T70</f>
        <v>#N/A</v>
      </c>
      <c r="O43" s="193" t="e">
        <f>'5.2 - Feature amenity'!U70</f>
        <v>#N/A</v>
      </c>
      <c r="P43" s="193" t="e">
        <f>'5.2 - Feature amenity'!V70</f>
        <v>#N/A</v>
      </c>
      <c r="Q43" s="193" t="e">
        <f>'5.2 - Feature amenity'!W70</f>
        <v>#N/A</v>
      </c>
      <c r="R43" s="193" t="e">
        <f>'5.2 - Feature amenity'!X70</f>
        <v>#N/A</v>
      </c>
      <c r="S43" s="193" t="e">
        <f>'5.2 - Feature amenity'!Y70</f>
        <v>#N/A</v>
      </c>
      <c r="T43" s="193" t="e">
        <f>'5.2 - Feature amenity'!Z70</f>
        <v>#N/A</v>
      </c>
      <c r="U43" s="193" t="e">
        <f>'5.2 - Feature amenity'!AA70</f>
        <v>#N/A</v>
      </c>
      <c r="V43" s="193" t="e">
        <f>'5.2 - Feature amenity'!AB70</f>
        <v>#N/A</v>
      </c>
      <c r="W43" s="193" t="e">
        <f>'5.2 - Feature amenity'!AC70</f>
        <v>#N/A</v>
      </c>
      <c r="X43" s="193" t="e">
        <f>'5.2 - Feature amenity'!AD70</f>
        <v>#N/A</v>
      </c>
      <c r="Y43" s="193" t="e">
        <f>'5.2 - Feature amenity'!AE70</f>
        <v>#N/A</v>
      </c>
      <c r="Z43" s="193" t="e">
        <f>'5.2 - Feature amenity'!AF70</f>
        <v>#N/A</v>
      </c>
      <c r="AA43" s="193" t="e">
        <f>'5.2 - Feature amenity'!AG70</f>
        <v>#N/A</v>
      </c>
      <c r="AB43" s="193" t="e">
        <f>'5.2 - Feature amenity'!AH70</f>
        <v>#N/A</v>
      </c>
      <c r="AC43" s="193" t="e">
        <f>'5.2 - Feature amenity'!AI70</f>
        <v>#N/A</v>
      </c>
      <c r="AD43" s="193" t="e">
        <f>'5.2 - Feature amenity'!AJ70</f>
        <v>#N/A</v>
      </c>
      <c r="AE43" s="193" t="e">
        <f>'5.2 - Feature amenity'!AK70</f>
        <v>#N/A</v>
      </c>
      <c r="AF43" s="193" t="e">
        <f>'5.2 - Feature amenity'!AL70</f>
        <v>#N/A</v>
      </c>
      <c r="AG43" s="193" t="e">
        <f>'5.2 - Feature amenity'!AM70</f>
        <v>#N/A</v>
      </c>
      <c r="AH43" s="193" t="e">
        <f>'5.2 - Feature amenity'!AN70</f>
        <v>#N/A</v>
      </c>
      <c r="AI43" s="193" t="e">
        <f>'5.2 - Feature amenity'!AO70</f>
        <v>#N/A</v>
      </c>
      <c r="AJ43" s="193" t="e">
        <f>'5.2 - Feature amenity'!AP70</f>
        <v>#N/A</v>
      </c>
      <c r="AK43" s="193" t="e">
        <f>'5.2 - Feature amenity'!AQ70</f>
        <v>#N/A</v>
      </c>
      <c r="AL43" s="193" t="e">
        <f>'5.2 - Feature amenity'!AR70</f>
        <v>#N/A</v>
      </c>
      <c r="AM43" s="193" t="e">
        <f>'5.2 - Feature amenity'!AS70</f>
        <v>#N/A</v>
      </c>
      <c r="AN43" s="193" t="e">
        <f>'5.2 - Feature amenity'!AT70</f>
        <v>#N/A</v>
      </c>
      <c r="AO43" s="193" t="e">
        <f>'5.2 - Feature amenity'!AU70</f>
        <v>#N/A</v>
      </c>
      <c r="AP43" s="193" t="e">
        <f>'5.2 - Feature amenity'!AV70</f>
        <v>#N/A</v>
      </c>
      <c r="AQ43" s="193" t="e">
        <f>'5.2 - Feature amenity'!AW70</f>
        <v>#N/A</v>
      </c>
      <c r="AR43" s="193" t="e">
        <f>'5.2 - Feature amenity'!AX70</f>
        <v>#N/A</v>
      </c>
      <c r="AS43" s="193" t="e">
        <f>'5.2 - Feature amenity'!AY70</f>
        <v>#N/A</v>
      </c>
      <c r="AT43" s="193" t="e">
        <f>'5.2 - Feature amenity'!AZ70</f>
        <v>#N/A</v>
      </c>
      <c r="AU43" s="193" t="e">
        <f>'5.2 - Feature amenity'!BA70</f>
        <v>#N/A</v>
      </c>
      <c r="AV43" s="193" t="e">
        <f>'5.2 - Feature amenity'!BB70</f>
        <v>#N/A</v>
      </c>
      <c r="AW43" s="193" t="e">
        <f>'5.2 - Feature amenity'!BC70</f>
        <v>#N/A</v>
      </c>
      <c r="AX43" s="193" t="e">
        <f>'5.2 - Feature amenity'!BD70</f>
        <v>#N/A</v>
      </c>
      <c r="AY43" s="193" t="e">
        <f>'5.2 - Feature amenity'!BE70</f>
        <v>#N/A</v>
      </c>
      <c r="AZ43" s="193" t="e">
        <f>'5.2 - Feature amenity'!BF70</f>
        <v>#N/A</v>
      </c>
      <c r="BA43" s="193" t="e">
        <f>'5.2 - Feature amenity'!BG70</f>
        <v>#N/A</v>
      </c>
      <c r="BB43" s="193" t="e">
        <f>'5.2 - Feature amenity'!BH70</f>
        <v>#N/A</v>
      </c>
      <c r="BC43" s="193" t="e">
        <f>'5.2 - Feature amenity'!BI70</f>
        <v>#N/A</v>
      </c>
      <c r="BD43" s="193" t="e">
        <f>'5.2 - Feature amenity'!BJ70</f>
        <v>#N/A</v>
      </c>
      <c r="BE43" s="193" t="e">
        <f>'5.2 - Feature amenity'!BK70</f>
        <v>#N/A</v>
      </c>
      <c r="BF43" s="193" t="e">
        <f>'5.2 - Feature amenity'!BL70</f>
        <v>#N/A</v>
      </c>
      <c r="BG43" s="193" t="e">
        <f>'5.2 - Feature amenity'!BM70</f>
        <v>#N/A</v>
      </c>
      <c r="BH43" s="193" t="e">
        <f>'5.2 - Feature amenity'!BN70</f>
        <v>#N/A</v>
      </c>
      <c r="BI43" s="193" t="e">
        <f>'5.2 - Feature amenity'!BO70</f>
        <v>#N/A</v>
      </c>
      <c r="BJ43" s="193" t="e">
        <f>'5.2 - Feature amenity'!BP70</f>
        <v>#N/A</v>
      </c>
      <c r="BK43" s="163" t="e">
        <f>'5.2 - Feature amenity'!BQ70</f>
        <v>#N/A</v>
      </c>
    </row>
    <row r="44" spans="1:63" ht="15" hidden="1" outlineLevel="1" thickBot="1" x14ac:dyDescent="0.4">
      <c r="B44" s="481" t="s">
        <v>268</v>
      </c>
      <c r="C44" s="482" t="e">
        <f t="shared" ref="C44" si="4">SUM(D44:BK44)</f>
        <v>#N/A</v>
      </c>
      <c r="D44" s="483" t="e">
        <f t="shared" ref="D44" si="5">SUM(D42:D43)</f>
        <v>#N/A</v>
      </c>
      <c r="E44" s="484" t="e">
        <f t="shared" ref="E44:BK44" si="6">SUM(E42:E43)</f>
        <v>#N/A</v>
      </c>
      <c r="F44" s="484" t="e">
        <f t="shared" si="6"/>
        <v>#N/A</v>
      </c>
      <c r="G44" s="484" t="e">
        <f t="shared" si="6"/>
        <v>#N/A</v>
      </c>
      <c r="H44" s="484" t="e">
        <f t="shared" si="6"/>
        <v>#N/A</v>
      </c>
      <c r="I44" s="484" t="e">
        <f t="shared" si="6"/>
        <v>#N/A</v>
      </c>
      <c r="J44" s="484" t="e">
        <f t="shared" si="6"/>
        <v>#N/A</v>
      </c>
      <c r="K44" s="484" t="e">
        <f t="shared" si="6"/>
        <v>#N/A</v>
      </c>
      <c r="L44" s="484" t="e">
        <f t="shared" si="6"/>
        <v>#N/A</v>
      </c>
      <c r="M44" s="484" t="e">
        <f t="shared" si="6"/>
        <v>#N/A</v>
      </c>
      <c r="N44" s="484" t="e">
        <f t="shared" si="6"/>
        <v>#N/A</v>
      </c>
      <c r="O44" s="484" t="e">
        <f t="shared" si="6"/>
        <v>#N/A</v>
      </c>
      <c r="P44" s="484" t="e">
        <f t="shared" si="6"/>
        <v>#N/A</v>
      </c>
      <c r="Q44" s="484" t="e">
        <f t="shared" si="6"/>
        <v>#N/A</v>
      </c>
      <c r="R44" s="484" t="e">
        <f t="shared" si="6"/>
        <v>#N/A</v>
      </c>
      <c r="S44" s="484" t="e">
        <f t="shared" si="6"/>
        <v>#N/A</v>
      </c>
      <c r="T44" s="484" t="e">
        <f t="shared" si="6"/>
        <v>#N/A</v>
      </c>
      <c r="U44" s="484" t="e">
        <f t="shared" si="6"/>
        <v>#N/A</v>
      </c>
      <c r="V44" s="484" t="e">
        <f t="shared" si="6"/>
        <v>#N/A</v>
      </c>
      <c r="W44" s="484" t="e">
        <f t="shared" si="6"/>
        <v>#N/A</v>
      </c>
      <c r="X44" s="484" t="e">
        <f t="shared" si="6"/>
        <v>#N/A</v>
      </c>
      <c r="Y44" s="484" t="e">
        <f t="shared" si="6"/>
        <v>#N/A</v>
      </c>
      <c r="Z44" s="484" t="e">
        <f t="shared" si="6"/>
        <v>#N/A</v>
      </c>
      <c r="AA44" s="484" t="e">
        <f t="shared" si="6"/>
        <v>#N/A</v>
      </c>
      <c r="AB44" s="484" t="e">
        <f t="shared" si="6"/>
        <v>#N/A</v>
      </c>
      <c r="AC44" s="484" t="e">
        <f t="shared" si="6"/>
        <v>#N/A</v>
      </c>
      <c r="AD44" s="484" t="e">
        <f t="shared" si="6"/>
        <v>#N/A</v>
      </c>
      <c r="AE44" s="484" t="e">
        <f t="shared" si="6"/>
        <v>#N/A</v>
      </c>
      <c r="AF44" s="484" t="e">
        <f t="shared" si="6"/>
        <v>#N/A</v>
      </c>
      <c r="AG44" s="484" t="e">
        <f t="shared" si="6"/>
        <v>#N/A</v>
      </c>
      <c r="AH44" s="484" t="e">
        <f t="shared" si="6"/>
        <v>#N/A</v>
      </c>
      <c r="AI44" s="484" t="e">
        <f t="shared" si="6"/>
        <v>#N/A</v>
      </c>
      <c r="AJ44" s="484" t="e">
        <f t="shared" si="6"/>
        <v>#N/A</v>
      </c>
      <c r="AK44" s="484" t="e">
        <f t="shared" si="6"/>
        <v>#N/A</v>
      </c>
      <c r="AL44" s="484" t="e">
        <f t="shared" si="6"/>
        <v>#N/A</v>
      </c>
      <c r="AM44" s="484" t="e">
        <f t="shared" si="6"/>
        <v>#N/A</v>
      </c>
      <c r="AN44" s="484" t="e">
        <f t="shared" si="6"/>
        <v>#N/A</v>
      </c>
      <c r="AO44" s="484" t="e">
        <f t="shared" si="6"/>
        <v>#N/A</v>
      </c>
      <c r="AP44" s="484" t="e">
        <f t="shared" si="6"/>
        <v>#N/A</v>
      </c>
      <c r="AQ44" s="484" t="e">
        <f t="shared" si="6"/>
        <v>#N/A</v>
      </c>
      <c r="AR44" s="484" t="e">
        <f t="shared" si="6"/>
        <v>#N/A</v>
      </c>
      <c r="AS44" s="484" t="e">
        <f t="shared" si="6"/>
        <v>#N/A</v>
      </c>
      <c r="AT44" s="484" t="e">
        <f t="shared" si="6"/>
        <v>#N/A</v>
      </c>
      <c r="AU44" s="484" t="e">
        <f t="shared" si="6"/>
        <v>#N/A</v>
      </c>
      <c r="AV44" s="484" t="e">
        <f t="shared" si="6"/>
        <v>#N/A</v>
      </c>
      <c r="AW44" s="484" t="e">
        <f t="shared" si="6"/>
        <v>#N/A</v>
      </c>
      <c r="AX44" s="484" t="e">
        <f t="shared" si="6"/>
        <v>#N/A</v>
      </c>
      <c r="AY44" s="484" t="e">
        <f t="shared" si="6"/>
        <v>#N/A</v>
      </c>
      <c r="AZ44" s="484" t="e">
        <f t="shared" si="6"/>
        <v>#N/A</v>
      </c>
      <c r="BA44" s="484" t="e">
        <f t="shared" si="6"/>
        <v>#N/A</v>
      </c>
      <c r="BB44" s="484" t="e">
        <f t="shared" si="6"/>
        <v>#N/A</v>
      </c>
      <c r="BC44" s="484" t="e">
        <f t="shared" si="6"/>
        <v>#N/A</v>
      </c>
      <c r="BD44" s="484" t="e">
        <f t="shared" si="6"/>
        <v>#N/A</v>
      </c>
      <c r="BE44" s="484" t="e">
        <f t="shared" si="6"/>
        <v>#N/A</v>
      </c>
      <c r="BF44" s="484" t="e">
        <f t="shared" si="6"/>
        <v>#N/A</v>
      </c>
      <c r="BG44" s="484" t="e">
        <f t="shared" si="6"/>
        <v>#N/A</v>
      </c>
      <c r="BH44" s="484" t="e">
        <f t="shared" si="6"/>
        <v>#N/A</v>
      </c>
      <c r="BI44" s="484" t="e">
        <f t="shared" si="6"/>
        <v>#N/A</v>
      </c>
      <c r="BJ44" s="484" t="e">
        <f t="shared" si="6"/>
        <v>#N/A</v>
      </c>
      <c r="BK44" s="485" t="e">
        <f t="shared" si="6"/>
        <v>#N/A</v>
      </c>
    </row>
    <row r="45" spans="1:63" s="166" customFormat="1" ht="18" hidden="1" customHeight="1" outlineLevel="1" x14ac:dyDescent="0.3">
      <c r="B45" s="152" t="str">
        <f>Expand</f>
        <v>Press the plus/minus to the left to expand/minimise this section</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row>
    <row r="46" spans="1:63" s="166" customFormat="1" ht="7.5" hidden="1" customHeight="1" outlineLevel="1" thickBot="1" x14ac:dyDescent="0.35">
      <c r="B46" s="152"/>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row>
    <row r="47" spans="1:63" ht="17.25" hidden="1" customHeight="1" outlineLevel="1" thickBot="1" x14ac:dyDescent="0.4">
      <c r="B47" s="582" t="str">
        <f>_xlfn.CONCAT($C$7," (High sensitivity estimate)")</f>
        <v>0 (High sensitivity estimate)</v>
      </c>
      <c r="D47" s="155" t="s">
        <v>201</v>
      </c>
      <c r="E47" s="155" t="s">
        <v>202</v>
      </c>
      <c r="F47" s="155" t="s">
        <v>203</v>
      </c>
      <c r="G47" s="155" t="s">
        <v>204</v>
      </c>
      <c r="H47" s="155" t="s">
        <v>205</v>
      </c>
      <c r="I47" s="155" t="s">
        <v>206</v>
      </c>
      <c r="J47" s="155" t="s">
        <v>207</v>
      </c>
      <c r="K47" s="155" t="s">
        <v>208</v>
      </c>
      <c r="L47" s="155" t="s">
        <v>209</v>
      </c>
      <c r="M47" s="155" t="s">
        <v>210</v>
      </c>
      <c r="N47" s="155" t="s">
        <v>211</v>
      </c>
      <c r="O47" s="155" t="s">
        <v>212</v>
      </c>
      <c r="P47" s="155" t="s">
        <v>213</v>
      </c>
      <c r="Q47" s="155" t="s">
        <v>214</v>
      </c>
      <c r="R47" s="155" t="s">
        <v>215</v>
      </c>
      <c r="S47" s="155" t="s">
        <v>216</v>
      </c>
      <c r="T47" s="155" t="s">
        <v>217</v>
      </c>
      <c r="U47" s="155" t="s">
        <v>218</v>
      </c>
      <c r="V47" s="155" t="s">
        <v>219</v>
      </c>
      <c r="W47" s="155" t="s">
        <v>220</v>
      </c>
      <c r="X47" s="155" t="s">
        <v>221</v>
      </c>
      <c r="Y47" s="155" t="s">
        <v>222</v>
      </c>
      <c r="Z47" s="155" t="s">
        <v>223</v>
      </c>
      <c r="AA47" s="155" t="s">
        <v>224</v>
      </c>
      <c r="AB47" s="155" t="s">
        <v>225</v>
      </c>
      <c r="AC47" s="155" t="s">
        <v>226</v>
      </c>
      <c r="AD47" s="155" t="s">
        <v>227</v>
      </c>
      <c r="AE47" s="155" t="s">
        <v>228</v>
      </c>
      <c r="AF47" s="155" t="s">
        <v>229</v>
      </c>
      <c r="AG47" s="155" t="s">
        <v>230</v>
      </c>
      <c r="AH47" s="155" t="s">
        <v>231</v>
      </c>
      <c r="AI47" s="155" t="s">
        <v>232</v>
      </c>
      <c r="AJ47" s="155" t="s">
        <v>233</v>
      </c>
      <c r="AK47" s="155" t="s">
        <v>234</v>
      </c>
      <c r="AL47" s="155" t="s">
        <v>235</v>
      </c>
      <c r="AM47" s="155" t="s">
        <v>236</v>
      </c>
      <c r="AN47" s="155" t="s">
        <v>237</v>
      </c>
      <c r="AO47" s="155" t="s">
        <v>238</v>
      </c>
      <c r="AP47" s="155" t="s">
        <v>239</v>
      </c>
      <c r="AQ47" s="155" t="s">
        <v>240</v>
      </c>
      <c r="AR47" s="155" t="s">
        <v>241</v>
      </c>
      <c r="AS47" s="155" t="s">
        <v>242</v>
      </c>
      <c r="AT47" s="155" t="s">
        <v>243</v>
      </c>
      <c r="AU47" s="155" t="s">
        <v>244</v>
      </c>
      <c r="AV47" s="155" t="s">
        <v>245</v>
      </c>
      <c r="AW47" s="155" t="s">
        <v>246</v>
      </c>
      <c r="AX47" s="155" t="s">
        <v>247</v>
      </c>
      <c r="AY47" s="155" t="s">
        <v>248</v>
      </c>
      <c r="AZ47" s="155" t="s">
        <v>249</v>
      </c>
      <c r="BA47" s="155" t="s">
        <v>250</v>
      </c>
      <c r="BB47" s="155" t="s">
        <v>251</v>
      </c>
      <c r="BC47" s="155" t="s">
        <v>252</v>
      </c>
      <c r="BD47" s="155" t="s">
        <v>253</v>
      </c>
      <c r="BE47" s="155" t="s">
        <v>254</v>
      </c>
      <c r="BF47" s="155" t="s">
        <v>255</v>
      </c>
      <c r="BG47" s="155" t="s">
        <v>256</v>
      </c>
      <c r="BH47" s="155" t="s">
        <v>257</v>
      </c>
      <c r="BI47" s="155" t="s">
        <v>258</v>
      </c>
      <c r="BJ47" s="155" t="s">
        <v>259</v>
      </c>
      <c r="BK47" s="155" t="s">
        <v>260</v>
      </c>
    </row>
    <row r="48" spans="1:63" s="6" customFormat="1" ht="30" hidden="1" customHeight="1" outlineLevel="1" thickBot="1" x14ac:dyDescent="0.4">
      <c r="B48" s="583" t="str">
        <f>_xlfn.CONCAT("All values are in £ ",MoneyScalarName," and are discounted to the base year.")</f>
        <v>All values are in £  and are discounted to the base year.</v>
      </c>
      <c r="C48" s="157" t="str">
        <f>_xlfn.CONCAT("Total value (£, ",MoneyScalarName,")")</f>
        <v>Total value (£, )</v>
      </c>
      <c r="D48" s="158" cm="1">
        <f t="array" ref="D48:BK48">FinancialYearRange60_Short</f>
        <v>0</v>
      </c>
      <c r="E48" s="159" t="e">
        <v>#N/A</v>
      </c>
      <c r="F48" s="159" t="e">
        <v>#N/A</v>
      </c>
      <c r="G48" s="159" t="e">
        <v>#N/A</v>
      </c>
      <c r="H48" s="159" t="e">
        <v>#N/A</v>
      </c>
      <c r="I48" s="159" t="e">
        <v>#N/A</v>
      </c>
      <c r="J48" s="159" t="e">
        <v>#N/A</v>
      </c>
      <c r="K48" s="159" t="e">
        <v>#N/A</v>
      </c>
      <c r="L48" s="159" t="e">
        <v>#N/A</v>
      </c>
      <c r="M48" s="159" t="e">
        <v>#N/A</v>
      </c>
      <c r="N48" s="159" t="e">
        <v>#N/A</v>
      </c>
      <c r="O48" s="159" t="e">
        <v>#N/A</v>
      </c>
      <c r="P48" s="159" t="e">
        <v>#N/A</v>
      </c>
      <c r="Q48" s="159" t="e">
        <v>#N/A</v>
      </c>
      <c r="R48" s="159" t="e">
        <v>#N/A</v>
      </c>
      <c r="S48" s="159" t="e">
        <v>#N/A</v>
      </c>
      <c r="T48" s="159" t="e">
        <v>#N/A</v>
      </c>
      <c r="U48" s="159" t="e">
        <v>#N/A</v>
      </c>
      <c r="V48" s="159" t="e">
        <v>#N/A</v>
      </c>
      <c r="W48" s="159" t="e">
        <v>#N/A</v>
      </c>
      <c r="X48" s="159" t="e">
        <v>#N/A</v>
      </c>
      <c r="Y48" s="159" t="e">
        <v>#N/A</v>
      </c>
      <c r="Z48" s="159" t="e">
        <v>#N/A</v>
      </c>
      <c r="AA48" s="159" t="e">
        <v>#N/A</v>
      </c>
      <c r="AB48" s="159" t="e">
        <v>#N/A</v>
      </c>
      <c r="AC48" s="159" t="e">
        <v>#N/A</v>
      </c>
      <c r="AD48" s="159" t="e">
        <v>#N/A</v>
      </c>
      <c r="AE48" s="159" t="e">
        <v>#N/A</v>
      </c>
      <c r="AF48" s="159" t="e">
        <v>#N/A</v>
      </c>
      <c r="AG48" s="159" t="e">
        <v>#N/A</v>
      </c>
      <c r="AH48" s="159" t="e">
        <v>#N/A</v>
      </c>
      <c r="AI48" s="159" t="e">
        <v>#N/A</v>
      </c>
      <c r="AJ48" s="159" t="e">
        <v>#N/A</v>
      </c>
      <c r="AK48" s="159" t="e">
        <v>#N/A</v>
      </c>
      <c r="AL48" s="159" t="e">
        <v>#N/A</v>
      </c>
      <c r="AM48" s="159" t="e">
        <v>#N/A</v>
      </c>
      <c r="AN48" s="159" t="e">
        <v>#N/A</v>
      </c>
      <c r="AO48" s="159" t="e">
        <v>#N/A</v>
      </c>
      <c r="AP48" s="159" t="e">
        <v>#N/A</v>
      </c>
      <c r="AQ48" s="159" t="e">
        <v>#N/A</v>
      </c>
      <c r="AR48" s="159" t="e">
        <v>#N/A</v>
      </c>
      <c r="AS48" s="159" t="e">
        <v>#N/A</v>
      </c>
      <c r="AT48" s="159" t="e">
        <v>#N/A</v>
      </c>
      <c r="AU48" s="159" t="e">
        <v>#N/A</v>
      </c>
      <c r="AV48" s="159" t="e">
        <v>#N/A</v>
      </c>
      <c r="AW48" s="159" t="e">
        <v>#N/A</v>
      </c>
      <c r="AX48" s="159" t="e">
        <v>#N/A</v>
      </c>
      <c r="AY48" s="159" t="e">
        <v>#N/A</v>
      </c>
      <c r="AZ48" s="159" t="e">
        <v>#N/A</v>
      </c>
      <c r="BA48" s="159" t="e">
        <v>#N/A</v>
      </c>
      <c r="BB48" s="159" t="e">
        <v>#N/A</v>
      </c>
      <c r="BC48" s="159" t="e">
        <v>#N/A</v>
      </c>
      <c r="BD48" s="159" t="e">
        <v>#N/A</v>
      </c>
      <c r="BE48" s="159" t="e">
        <v>#N/A</v>
      </c>
      <c r="BF48" s="159" t="e">
        <v>#N/A</v>
      </c>
      <c r="BG48" s="159" t="e">
        <v>#N/A</v>
      </c>
      <c r="BH48" s="159" t="e">
        <v>#N/A</v>
      </c>
      <c r="BI48" s="159" t="e">
        <v>#N/A</v>
      </c>
      <c r="BJ48" s="159" t="e">
        <v>#N/A</v>
      </c>
      <c r="BK48" s="160" t="e">
        <v>#N/A</v>
      </c>
    </row>
    <row r="49" spans="2:63" hidden="1" outlineLevel="1" x14ac:dyDescent="0.35">
      <c r="B49" s="161" t="s">
        <v>269</v>
      </c>
      <c r="C49" s="162" t="e">
        <f>SUM(D49:BK49)</f>
        <v>#N/A</v>
      </c>
      <c r="D49" s="229" t="e">
        <f>'5.1 - Brownfield amenity'!J111</f>
        <v>#N/A</v>
      </c>
      <c r="E49" s="230" t="e">
        <f>'5.1 - Brownfield amenity'!K111</f>
        <v>#N/A</v>
      </c>
      <c r="F49" s="230" t="e">
        <f>'5.1 - Brownfield amenity'!L111</f>
        <v>#N/A</v>
      </c>
      <c r="G49" s="230" t="e">
        <f>'5.1 - Brownfield amenity'!M111</f>
        <v>#N/A</v>
      </c>
      <c r="H49" s="230" t="e">
        <f>'5.1 - Brownfield amenity'!N111</f>
        <v>#N/A</v>
      </c>
      <c r="I49" s="230" t="e">
        <f>'5.1 - Brownfield amenity'!O111</f>
        <v>#N/A</v>
      </c>
      <c r="J49" s="230" t="e">
        <f>'5.1 - Brownfield amenity'!P111</f>
        <v>#N/A</v>
      </c>
      <c r="K49" s="230" t="e">
        <f>'5.1 - Brownfield amenity'!Q111</f>
        <v>#N/A</v>
      </c>
      <c r="L49" s="230" t="e">
        <f>'5.1 - Brownfield amenity'!R111</f>
        <v>#N/A</v>
      </c>
      <c r="M49" s="230" t="e">
        <f>'5.1 - Brownfield amenity'!S111</f>
        <v>#N/A</v>
      </c>
      <c r="N49" s="230" t="e">
        <f>'5.1 - Brownfield amenity'!T111</f>
        <v>#N/A</v>
      </c>
      <c r="O49" s="230" t="e">
        <f>'5.1 - Brownfield amenity'!U111</f>
        <v>#N/A</v>
      </c>
      <c r="P49" s="230" t="e">
        <f>'5.1 - Brownfield amenity'!V111</f>
        <v>#N/A</v>
      </c>
      <c r="Q49" s="230" t="e">
        <f>'5.1 - Brownfield amenity'!W111</f>
        <v>#N/A</v>
      </c>
      <c r="R49" s="230" t="e">
        <f>'5.1 - Brownfield amenity'!X111</f>
        <v>#N/A</v>
      </c>
      <c r="S49" s="230" t="e">
        <f>'5.1 - Brownfield amenity'!Y111</f>
        <v>#N/A</v>
      </c>
      <c r="T49" s="230" t="e">
        <f>'5.1 - Brownfield amenity'!Z111</f>
        <v>#N/A</v>
      </c>
      <c r="U49" s="230" t="e">
        <f>'5.1 - Brownfield amenity'!AA111</f>
        <v>#N/A</v>
      </c>
      <c r="V49" s="230" t="e">
        <f>'5.1 - Brownfield amenity'!AB111</f>
        <v>#N/A</v>
      </c>
      <c r="W49" s="230" t="e">
        <f>'5.1 - Brownfield amenity'!AC111</f>
        <v>#N/A</v>
      </c>
      <c r="X49" s="230" t="e">
        <f>'5.1 - Brownfield amenity'!AD111</f>
        <v>#N/A</v>
      </c>
      <c r="Y49" s="230" t="e">
        <f>'5.1 - Brownfield amenity'!AE111</f>
        <v>#N/A</v>
      </c>
      <c r="Z49" s="230" t="e">
        <f>'5.1 - Brownfield amenity'!AF111</f>
        <v>#N/A</v>
      </c>
      <c r="AA49" s="230" t="e">
        <f>'5.1 - Brownfield amenity'!AG111</f>
        <v>#N/A</v>
      </c>
      <c r="AB49" s="230" t="e">
        <f>'5.1 - Brownfield amenity'!AH111</f>
        <v>#N/A</v>
      </c>
      <c r="AC49" s="230" t="e">
        <f>'5.1 - Brownfield amenity'!AI111</f>
        <v>#N/A</v>
      </c>
      <c r="AD49" s="230" t="e">
        <f>'5.1 - Brownfield amenity'!AJ111</f>
        <v>#N/A</v>
      </c>
      <c r="AE49" s="230" t="e">
        <f>'5.1 - Brownfield amenity'!AK111</f>
        <v>#N/A</v>
      </c>
      <c r="AF49" s="230" t="e">
        <f>'5.1 - Brownfield amenity'!AL111</f>
        <v>#N/A</v>
      </c>
      <c r="AG49" s="230" t="e">
        <f>'5.1 - Brownfield amenity'!AM111</f>
        <v>#N/A</v>
      </c>
      <c r="AH49" s="230" t="e">
        <f>'5.1 - Brownfield amenity'!AN111</f>
        <v>#N/A</v>
      </c>
      <c r="AI49" s="230" t="e">
        <f>'5.1 - Brownfield amenity'!AO111</f>
        <v>#N/A</v>
      </c>
      <c r="AJ49" s="230" t="e">
        <f>'5.1 - Brownfield amenity'!AP111</f>
        <v>#N/A</v>
      </c>
      <c r="AK49" s="230" t="e">
        <f>'5.1 - Brownfield amenity'!AQ111</f>
        <v>#N/A</v>
      </c>
      <c r="AL49" s="230" t="e">
        <f>'5.1 - Brownfield amenity'!AR111</f>
        <v>#N/A</v>
      </c>
      <c r="AM49" s="230" t="e">
        <f>'5.1 - Brownfield amenity'!AS111</f>
        <v>#N/A</v>
      </c>
      <c r="AN49" s="230" t="e">
        <f>'5.1 - Brownfield amenity'!AT111</f>
        <v>#N/A</v>
      </c>
      <c r="AO49" s="230" t="e">
        <f>'5.1 - Brownfield amenity'!AU111</f>
        <v>#N/A</v>
      </c>
      <c r="AP49" s="230" t="e">
        <f>'5.1 - Brownfield amenity'!AV111</f>
        <v>#N/A</v>
      </c>
      <c r="AQ49" s="230" t="e">
        <f>'5.1 - Brownfield amenity'!AW111</f>
        <v>#N/A</v>
      </c>
      <c r="AR49" s="230" t="e">
        <f>'5.1 - Brownfield amenity'!AX111</f>
        <v>#N/A</v>
      </c>
      <c r="AS49" s="230" t="e">
        <f>'5.1 - Brownfield amenity'!AY111</f>
        <v>#N/A</v>
      </c>
      <c r="AT49" s="230" t="e">
        <f>'5.1 - Brownfield amenity'!AZ111</f>
        <v>#N/A</v>
      </c>
      <c r="AU49" s="230" t="e">
        <f>'5.1 - Brownfield amenity'!BA111</f>
        <v>#N/A</v>
      </c>
      <c r="AV49" s="230" t="e">
        <f>'5.1 - Brownfield amenity'!BB111</f>
        <v>#N/A</v>
      </c>
      <c r="AW49" s="230" t="e">
        <f>'5.1 - Brownfield amenity'!BC111</f>
        <v>#N/A</v>
      </c>
      <c r="AX49" s="230" t="e">
        <f>'5.1 - Brownfield amenity'!BD111</f>
        <v>#N/A</v>
      </c>
      <c r="AY49" s="230" t="e">
        <f>'5.1 - Brownfield amenity'!BE111</f>
        <v>#N/A</v>
      </c>
      <c r="AZ49" s="230" t="e">
        <f>'5.1 - Brownfield amenity'!BF111</f>
        <v>#N/A</v>
      </c>
      <c r="BA49" s="230" t="e">
        <f>'5.1 - Brownfield amenity'!BG111</f>
        <v>#N/A</v>
      </c>
      <c r="BB49" s="230" t="e">
        <f>'5.1 - Brownfield amenity'!BH111</f>
        <v>#N/A</v>
      </c>
      <c r="BC49" s="230" t="e">
        <f>'5.1 - Brownfield amenity'!BI111</f>
        <v>#N/A</v>
      </c>
      <c r="BD49" s="230" t="e">
        <f>'5.1 - Brownfield amenity'!BJ111</f>
        <v>#N/A</v>
      </c>
      <c r="BE49" s="230" t="e">
        <f>'5.1 - Brownfield amenity'!BK111</f>
        <v>#N/A</v>
      </c>
      <c r="BF49" s="230" t="e">
        <f>'5.1 - Brownfield amenity'!BL111</f>
        <v>#N/A</v>
      </c>
      <c r="BG49" s="230" t="e">
        <f>'5.1 - Brownfield amenity'!BM111</f>
        <v>#N/A</v>
      </c>
      <c r="BH49" s="230" t="e">
        <f>'5.1 - Brownfield amenity'!BN111</f>
        <v>#N/A</v>
      </c>
      <c r="BI49" s="230" t="e">
        <f>'5.1 - Brownfield amenity'!BO111</f>
        <v>#N/A</v>
      </c>
      <c r="BJ49" s="230" t="e">
        <f>'5.1 - Brownfield amenity'!BP111</f>
        <v>#N/A</v>
      </c>
      <c r="BK49" s="396" t="e">
        <f>'5.1 - Brownfield amenity'!BQ111</f>
        <v>#N/A</v>
      </c>
    </row>
    <row r="50" spans="2:63" ht="15" hidden="1" outlineLevel="1" thickBot="1" x14ac:dyDescent="0.4">
      <c r="B50" s="164" t="s">
        <v>270</v>
      </c>
      <c r="C50" s="165" t="e">
        <f t="shared" ref="C50" si="7">SUM(D50:BK50)</f>
        <v>#N/A</v>
      </c>
      <c r="D50" s="192" t="e">
        <f>'5.2 - Feature amenity'!J81</f>
        <v>#N/A</v>
      </c>
      <c r="E50" s="193" t="e">
        <f>'5.2 - Feature amenity'!K81</f>
        <v>#N/A</v>
      </c>
      <c r="F50" s="193" t="e">
        <f>'5.2 - Feature amenity'!L81</f>
        <v>#N/A</v>
      </c>
      <c r="G50" s="193" t="e">
        <f>'5.2 - Feature amenity'!M81</f>
        <v>#N/A</v>
      </c>
      <c r="H50" s="193" t="e">
        <f>'5.2 - Feature amenity'!N81</f>
        <v>#N/A</v>
      </c>
      <c r="I50" s="193" t="e">
        <f>'5.2 - Feature amenity'!O81</f>
        <v>#N/A</v>
      </c>
      <c r="J50" s="193" t="e">
        <f>'5.2 - Feature amenity'!P81</f>
        <v>#N/A</v>
      </c>
      <c r="K50" s="193" t="e">
        <f>'5.2 - Feature amenity'!Q81</f>
        <v>#N/A</v>
      </c>
      <c r="L50" s="193" t="e">
        <f>'5.2 - Feature amenity'!R81</f>
        <v>#N/A</v>
      </c>
      <c r="M50" s="193" t="e">
        <f>'5.2 - Feature amenity'!S81</f>
        <v>#N/A</v>
      </c>
      <c r="N50" s="193" t="e">
        <f>'5.2 - Feature amenity'!T81</f>
        <v>#N/A</v>
      </c>
      <c r="O50" s="193" t="e">
        <f>'5.2 - Feature amenity'!U81</f>
        <v>#N/A</v>
      </c>
      <c r="P50" s="193" t="e">
        <f>'5.2 - Feature amenity'!V81</f>
        <v>#N/A</v>
      </c>
      <c r="Q50" s="193" t="e">
        <f>'5.2 - Feature amenity'!W81</f>
        <v>#N/A</v>
      </c>
      <c r="R50" s="193" t="e">
        <f>'5.2 - Feature amenity'!X81</f>
        <v>#N/A</v>
      </c>
      <c r="S50" s="193" t="e">
        <f>'5.2 - Feature amenity'!Y81</f>
        <v>#N/A</v>
      </c>
      <c r="T50" s="193" t="e">
        <f>'5.2 - Feature amenity'!Z81</f>
        <v>#N/A</v>
      </c>
      <c r="U50" s="193" t="e">
        <f>'5.2 - Feature amenity'!AA81</f>
        <v>#N/A</v>
      </c>
      <c r="V50" s="193" t="e">
        <f>'5.2 - Feature amenity'!AB81</f>
        <v>#N/A</v>
      </c>
      <c r="W50" s="193" t="e">
        <f>'5.2 - Feature amenity'!AC81</f>
        <v>#N/A</v>
      </c>
      <c r="X50" s="193" t="e">
        <f>'5.2 - Feature amenity'!AD81</f>
        <v>#N/A</v>
      </c>
      <c r="Y50" s="193" t="e">
        <f>'5.2 - Feature amenity'!AE81</f>
        <v>#N/A</v>
      </c>
      <c r="Z50" s="193" t="e">
        <f>'5.2 - Feature amenity'!AF81</f>
        <v>#N/A</v>
      </c>
      <c r="AA50" s="193" t="e">
        <f>'5.2 - Feature amenity'!AG81</f>
        <v>#N/A</v>
      </c>
      <c r="AB50" s="193" t="e">
        <f>'5.2 - Feature amenity'!AH81</f>
        <v>#N/A</v>
      </c>
      <c r="AC50" s="193" t="e">
        <f>'5.2 - Feature amenity'!AI81</f>
        <v>#N/A</v>
      </c>
      <c r="AD50" s="193" t="e">
        <f>'5.2 - Feature amenity'!AJ81</f>
        <v>#N/A</v>
      </c>
      <c r="AE50" s="193" t="e">
        <f>'5.2 - Feature amenity'!AK81</f>
        <v>#N/A</v>
      </c>
      <c r="AF50" s="193" t="e">
        <f>'5.2 - Feature amenity'!AL81</f>
        <v>#N/A</v>
      </c>
      <c r="AG50" s="193" t="e">
        <f>'5.2 - Feature amenity'!AM81</f>
        <v>#N/A</v>
      </c>
      <c r="AH50" s="193" t="e">
        <f>'5.2 - Feature amenity'!AN81</f>
        <v>#N/A</v>
      </c>
      <c r="AI50" s="193" t="e">
        <f>'5.2 - Feature amenity'!AO81</f>
        <v>#N/A</v>
      </c>
      <c r="AJ50" s="193" t="e">
        <f>'5.2 - Feature amenity'!AP81</f>
        <v>#N/A</v>
      </c>
      <c r="AK50" s="193" t="e">
        <f>'5.2 - Feature amenity'!AQ81</f>
        <v>#N/A</v>
      </c>
      <c r="AL50" s="193" t="e">
        <f>'5.2 - Feature amenity'!AR81</f>
        <v>#N/A</v>
      </c>
      <c r="AM50" s="193" t="e">
        <f>'5.2 - Feature amenity'!AS81</f>
        <v>#N/A</v>
      </c>
      <c r="AN50" s="193" t="e">
        <f>'5.2 - Feature amenity'!AT81</f>
        <v>#N/A</v>
      </c>
      <c r="AO50" s="193" t="e">
        <f>'5.2 - Feature amenity'!AU81</f>
        <v>#N/A</v>
      </c>
      <c r="AP50" s="193" t="e">
        <f>'5.2 - Feature amenity'!AV81</f>
        <v>#N/A</v>
      </c>
      <c r="AQ50" s="193" t="e">
        <f>'5.2 - Feature amenity'!AW81</f>
        <v>#N/A</v>
      </c>
      <c r="AR50" s="193" t="e">
        <f>'5.2 - Feature amenity'!AX81</f>
        <v>#N/A</v>
      </c>
      <c r="AS50" s="193" t="e">
        <f>'5.2 - Feature amenity'!AY81</f>
        <v>#N/A</v>
      </c>
      <c r="AT50" s="193" t="e">
        <f>'5.2 - Feature amenity'!AZ81</f>
        <v>#N/A</v>
      </c>
      <c r="AU50" s="193" t="e">
        <f>'5.2 - Feature amenity'!BA81</f>
        <v>#N/A</v>
      </c>
      <c r="AV50" s="193" t="e">
        <f>'5.2 - Feature amenity'!BB81</f>
        <v>#N/A</v>
      </c>
      <c r="AW50" s="193" t="e">
        <f>'5.2 - Feature amenity'!BC81</f>
        <v>#N/A</v>
      </c>
      <c r="AX50" s="193" t="e">
        <f>'5.2 - Feature amenity'!BD81</f>
        <v>#N/A</v>
      </c>
      <c r="AY50" s="193" t="e">
        <f>'5.2 - Feature amenity'!BE81</f>
        <v>#N/A</v>
      </c>
      <c r="AZ50" s="193" t="e">
        <f>'5.2 - Feature amenity'!BF81</f>
        <v>#N/A</v>
      </c>
      <c r="BA50" s="193" t="e">
        <f>'5.2 - Feature amenity'!BG81</f>
        <v>#N/A</v>
      </c>
      <c r="BB50" s="193" t="e">
        <f>'5.2 - Feature amenity'!BH81</f>
        <v>#N/A</v>
      </c>
      <c r="BC50" s="193" t="e">
        <f>'5.2 - Feature amenity'!BI81</f>
        <v>#N/A</v>
      </c>
      <c r="BD50" s="193" t="e">
        <f>'5.2 - Feature amenity'!BJ81</f>
        <v>#N/A</v>
      </c>
      <c r="BE50" s="193" t="e">
        <f>'5.2 - Feature amenity'!BK81</f>
        <v>#N/A</v>
      </c>
      <c r="BF50" s="193" t="e">
        <f>'5.2 - Feature amenity'!BL81</f>
        <v>#N/A</v>
      </c>
      <c r="BG50" s="193" t="e">
        <f>'5.2 - Feature amenity'!BM81</f>
        <v>#N/A</v>
      </c>
      <c r="BH50" s="193" t="e">
        <f>'5.2 - Feature amenity'!BN81</f>
        <v>#N/A</v>
      </c>
      <c r="BI50" s="193" t="e">
        <f>'5.2 - Feature amenity'!BO81</f>
        <v>#N/A</v>
      </c>
      <c r="BJ50" s="193" t="e">
        <f>'5.2 - Feature amenity'!BP81</f>
        <v>#N/A</v>
      </c>
      <c r="BK50" s="163" t="e">
        <f>'5.2 - Feature amenity'!BQ81</f>
        <v>#N/A</v>
      </c>
    </row>
    <row r="51" spans="2:63" ht="15" hidden="1" outlineLevel="1" thickBot="1" x14ac:dyDescent="0.4">
      <c r="B51" s="481" t="s">
        <v>271</v>
      </c>
      <c r="C51" s="482" t="e">
        <f t="shared" ref="C51" si="8">SUM(D51:BK51)</f>
        <v>#N/A</v>
      </c>
      <c r="D51" s="483" t="e">
        <f t="shared" ref="D51:BK51" si="9">SUM(D49:D50)</f>
        <v>#N/A</v>
      </c>
      <c r="E51" s="484" t="e">
        <f t="shared" si="9"/>
        <v>#N/A</v>
      </c>
      <c r="F51" s="484" t="e">
        <f t="shared" si="9"/>
        <v>#N/A</v>
      </c>
      <c r="G51" s="484" t="e">
        <f t="shared" si="9"/>
        <v>#N/A</v>
      </c>
      <c r="H51" s="484" t="e">
        <f t="shared" si="9"/>
        <v>#N/A</v>
      </c>
      <c r="I51" s="484" t="e">
        <f t="shared" si="9"/>
        <v>#N/A</v>
      </c>
      <c r="J51" s="484" t="e">
        <f t="shared" si="9"/>
        <v>#N/A</v>
      </c>
      <c r="K51" s="484" t="e">
        <f t="shared" si="9"/>
        <v>#N/A</v>
      </c>
      <c r="L51" s="484" t="e">
        <f t="shared" si="9"/>
        <v>#N/A</v>
      </c>
      <c r="M51" s="484" t="e">
        <f t="shared" si="9"/>
        <v>#N/A</v>
      </c>
      <c r="N51" s="484" t="e">
        <f t="shared" si="9"/>
        <v>#N/A</v>
      </c>
      <c r="O51" s="484" t="e">
        <f t="shared" si="9"/>
        <v>#N/A</v>
      </c>
      <c r="P51" s="484" t="e">
        <f t="shared" si="9"/>
        <v>#N/A</v>
      </c>
      <c r="Q51" s="484" t="e">
        <f t="shared" si="9"/>
        <v>#N/A</v>
      </c>
      <c r="R51" s="484" t="e">
        <f t="shared" si="9"/>
        <v>#N/A</v>
      </c>
      <c r="S51" s="484" t="e">
        <f t="shared" si="9"/>
        <v>#N/A</v>
      </c>
      <c r="T51" s="484" t="e">
        <f t="shared" si="9"/>
        <v>#N/A</v>
      </c>
      <c r="U51" s="484" t="e">
        <f t="shared" si="9"/>
        <v>#N/A</v>
      </c>
      <c r="V51" s="484" t="e">
        <f t="shared" si="9"/>
        <v>#N/A</v>
      </c>
      <c r="W51" s="484" t="e">
        <f t="shared" si="9"/>
        <v>#N/A</v>
      </c>
      <c r="X51" s="484" t="e">
        <f t="shared" si="9"/>
        <v>#N/A</v>
      </c>
      <c r="Y51" s="484" t="e">
        <f t="shared" si="9"/>
        <v>#N/A</v>
      </c>
      <c r="Z51" s="484" t="e">
        <f t="shared" si="9"/>
        <v>#N/A</v>
      </c>
      <c r="AA51" s="484" t="e">
        <f t="shared" si="9"/>
        <v>#N/A</v>
      </c>
      <c r="AB51" s="484" t="e">
        <f t="shared" si="9"/>
        <v>#N/A</v>
      </c>
      <c r="AC51" s="484" t="e">
        <f t="shared" si="9"/>
        <v>#N/A</v>
      </c>
      <c r="AD51" s="484" t="e">
        <f t="shared" si="9"/>
        <v>#N/A</v>
      </c>
      <c r="AE51" s="484" t="e">
        <f t="shared" si="9"/>
        <v>#N/A</v>
      </c>
      <c r="AF51" s="484" t="e">
        <f t="shared" si="9"/>
        <v>#N/A</v>
      </c>
      <c r="AG51" s="484" t="e">
        <f t="shared" si="9"/>
        <v>#N/A</v>
      </c>
      <c r="AH51" s="484" t="e">
        <f t="shared" si="9"/>
        <v>#N/A</v>
      </c>
      <c r="AI51" s="484" t="e">
        <f t="shared" si="9"/>
        <v>#N/A</v>
      </c>
      <c r="AJ51" s="484" t="e">
        <f t="shared" si="9"/>
        <v>#N/A</v>
      </c>
      <c r="AK51" s="484" t="e">
        <f t="shared" si="9"/>
        <v>#N/A</v>
      </c>
      <c r="AL51" s="484" t="e">
        <f t="shared" si="9"/>
        <v>#N/A</v>
      </c>
      <c r="AM51" s="484" t="e">
        <f t="shared" si="9"/>
        <v>#N/A</v>
      </c>
      <c r="AN51" s="484" t="e">
        <f t="shared" si="9"/>
        <v>#N/A</v>
      </c>
      <c r="AO51" s="484" t="e">
        <f t="shared" si="9"/>
        <v>#N/A</v>
      </c>
      <c r="AP51" s="484" t="e">
        <f t="shared" si="9"/>
        <v>#N/A</v>
      </c>
      <c r="AQ51" s="484" t="e">
        <f t="shared" si="9"/>
        <v>#N/A</v>
      </c>
      <c r="AR51" s="484" t="e">
        <f t="shared" si="9"/>
        <v>#N/A</v>
      </c>
      <c r="AS51" s="484" t="e">
        <f t="shared" si="9"/>
        <v>#N/A</v>
      </c>
      <c r="AT51" s="484" t="e">
        <f t="shared" si="9"/>
        <v>#N/A</v>
      </c>
      <c r="AU51" s="484" t="e">
        <f t="shared" si="9"/>
        <v>#N/A</v>
      </c>
      <c r="AV51" s="484" t="e">
        <f t="shared" si="9"/>
        <v>#N/A</v>
      </c>
      <c r="AW51" s="484" t="e">
        <f t="shared" si="9"/>
        <v>#N/A</v>
      </c>
      <c r="AX51" s="484" t="e">
        <f t="shared" si="9"/>
        <v>#N/A</v>
      </c>
      <c r="AY51" s="484" t="e">
        <f t="shared" si="9"/>
        <v>#N/A</v>
      </c>
      <c r="AZ51" s="484" t="e">
        <f t="shared" si="9"/>
        <v>#N/A</v>
      </c>
      <c r="BA51" s="484" t="e">
        <f t="shared" si="9"/>
        <v>#N/A</v>
      </c>
      <c r="BB51" s="484" t="e">
        <f t="shared" si="9"/>
        <v>#N/A</v>
      </c>
      <c r="BC51" s="484" t="e">
        <f t="shared" si="9"/>
        <v>#N/A</v>
      </c>
      <c r="BD51" s="484" t="e">
        <f t="shared" si="9"/>
        <v>#N/A</v>
      </c>
      <c r="BE51" s="484" t="e">
        <f t="shared" si="9"/>
        <v>#N/A</v>
      </c>
      <c r="BF51" s="484" t="e">
        <f t="shared" si="9"/>
        <v>#N/A</v>
      </c>
      <c r="BG51" s="484" t="e">
        <f t="shared" si="9"/>
        <v>#N/A</v>
      </c>
      <c r="BH51" s="484" t="e">
        <f t="shared" si="9"/>
        <v>#N/A</v>
      </c>
      <c r="BI51" s="484" t="e">
        <f t="shared" si="9"/>
        <v>#N/A</v>
      </c>
      <c r="BJ51" s="484" t="e">
        <f t="shared" si="9"/>
        <v>#N/A</v>
      </c>
      <c r="BK51" s="485" t="e">
        <f t="shared" si="9"/>
        <v>#N/A</v>
      </c>
    </row>
    <row r="52" spans="2:63" s="166" customFormat="1" ht="18" customHeight="1" collapsed="1" x14ac:dyDescent="0.3">
      <c r="B52" s="152" t="str">
        <f>Expand</f>
        <v>Press the plus/minus to the left to expand/minimise this section</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row>
    <row r="53" spans="2:63" ht="7.5" customHeight="1" x14ac:dyDescent="0.35">
      <c r="B53" s="112"/>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row>
    <row r="54" spans="2:63" x14ac:dyDescent="0.35"/>
    <row r="55" spans="2:63" x14ac:dyDescent="0.35">
      <c r="C55" s="170"/>
    </row>
    <row r="56" spans="2:63" x14ac:dyDescent="0.35">
      <c r="C56" s="170"/>
    </row>
    <row r="57" spans="2:63" hidden="1" x14ac:dyDescent="0.35">
      <c r="C57" s="170"/>
    </row>
    <row r="58" spans="2:63" hidden="1" x14ac:dyDescent="0.35">
      <c r="C58" s="170"/>
    </row>
    <row r="59" spans="2:63" hidden="1" x14ac:dyDescent="0.35">
      <c r="C59" s="170"/>
    </row>
    <row r="60" spans="2:63" hidden="1" x14ac:dyDescent="0.35">
      <c r="C60" s="170"/>
    </row>
    <row r="61" spans="2:63" hidden="1" x14ac:dyDescent="0.35">
      <c r="C61" s="170"/>
    </row>
    <row r="62" spans="2:63" hidden="1" x14ac:dyDescent="0.35">
      <c r="C62" s="170"/>
    </row>
    <row r="63" spans="2:63" hidden="1" x14ac:dyDescent="0.35">
      <c r="C63" s="170"/>
    </row>
    <row r="64" spans="2:63" hidden="1" x14ac:dyDescent="0.35">
      <c r="C64" s="170"/>
    </row>
    <row r="65" spans="3:3" hidden="1" x14ac:dyDescent="0.35">
      <c r="C65" s="170"/>
    </row>
    <row r="66" spans="3:3" hidden="1" x14ac:dyDescent="0.35">
      <c r="C66" s="170"/>
    </row>
    <row r="67" spans="3:3" hidden="1" x14ac:dyDescent="0.35">
      <c r="C67" s="170"/>
    </row>
    <row r="68" spans="3:3" hidden="1" x14ac:dyDescent="0.35">
      <c r="C68" s="170"/>
    </row>
    <row r="69" spans="3:3" hidden="1" x14ac:dyDescent="0.35">
      <c r="C69" s="170"/>
    </row>
    <row r="70" spans="3:3" hidden="1" x14ac:dyDescent="0.35">
      <c r="C70" s="170"/>
    </row>
    <row r="71" spans="3:3" hidden="1" x14ac:dyDescent="0.35">
      <c r="C71" s="170"/>
    </row>
    <row r="72" spans="3:3" hidden="1" x14ac:dyDescent="0.35">
      <c r="C72" s="170"/>
    </row>
    <row r="73" spans="3:3" hidden="1" x14ac:dyDescent="0.35">
      <c r="C73" s="170"/>
    </row>
    <row r="74" spans="3:3" hidden="1" x14ac:dyDescent="0.35">
      <c r="C74" s="170"/>
    </row>
    <row r="75" spans="3:3" hidden="1" x14ac:dyDescent="0.35">
      <c r="C75" s="170"/>
    </row>
    <row r="76" spans="3:3" hidden="1" x14ac:dyDescent="0.35">
      <c r="C76" s="170"/>
    </row>
    <row r="77" spans="3:3" hidden="1" x14ac:dyDescent="0.35">
      <c r="C77" s="170"/>
    </row>
    <row r="78" spans="3:3" hidden="1" x14ac:dyDescent="0.35">
      <c r="C78" s="170"/>
    </row>
    <row r="79" spans="3:3" hidden="1" x14ac:dyDescent="0.35">
      <c r="C79" s="170"/>
    </row>
    <row r="80" spans="3:3" hidden="1" x14ac:dyDescent="0.35">
      <c r="C80" s="170"/>
    </row>
    <row r="81" spans="3:3" hidden="1" x14ac:dyDescent="0.35">
      <c r="C81" s="170"/>
    </row>
    <row r="82" spans="3:3" x14ac:dyDescent="0.35"/>
    <row r="83" spans="3:3" x14ac:dyDescent="0.35"/>
    <row r="84" spans="3:3" x14ac:dyDescent="0.35"/>
    <row r="85" spans="3:3" x14ac:dyDescent="0.35"/>
    <row r="86" spans="3:3" x14ac:dyDescent="0.35"/>
    <row r="87" spans="3:3" x14ac:dyDescent="0.35"/>
    <row r="88" spans="3:3" x14ac:dyDescent="0.35"/>
    <row r="89" spans="3:3" x14ac:dyDescent="0.35"/>
    <row r="90" spans="3:3" x14ac:dyDescent="0.35"/>
    <row r="91" spans="3:3" x14ac:dyDescent="0.35"/>
    <row r="92" spans="3:3" x14ac:dyDescent="0.35"/>
    <row r="93" spans="3:3" x14ac:dyDescent="0.35"/>
    <row r="94" spans="3:3" x14ac:dyDescent="0.35"/>
    <row r="95" spans="3:3" x14ac:dyDescent="0.35"/>
    <row r="96" spans="3:3"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sheetData>
  <sheetProtection algorithmName="SHA-512" hashValue="yvTCaVHzMkf6HU2Gz87IwFmSwc4hXJnbDDPAvW5iNWWuIfvnOxzdSOwsCg6iDEDY/tpgCqRN5xP3ytkHbVFw0Q==" saltValue="lVlwKmg7z5rVjWsaz34QvA==" spinCount="100000" sheet="1" formatRows="0"/>
  <mergeCells count="5">
    <mergeCell ref="C6:P6"/>
    <mergeCell ref="C7:P7"/>
    <mergeCell ref="G2:M2"/>
    <mergeCell ref="B36:O36"/>
    <mergeCell ref="B21:O21"/>
  </mergeCells>
  <phoneticPr fontId="10" type="noConversion"/>
  <conditionalFormatting sqref="C14">
    <cfRule type="cellIs" dxfId="0" priority="1" operator="lessThan">
      <formula>0</formula>
    </cfRule>
  </conditionalFormatting>
  <hyperlinks>
    <hyperlink ref="G2" location="Welcome!A1" display="CLICK to return to Welcome screen" xr:uid="{279612DA-116A-406C-A815-572C9C1DD1BC}"/>
  </hyperlinks>
  <pageMargins left="0.7" right="0.7" top="0.75" bottom="0.75" header="0.3" footer="0.3"/>
  <pageSetup paperSize="9" orientation="portrait" r:id="rId1"/>
  <headerFooter>
    <oddFooter xml:space="preserve">&amp;C_x000D_&amp;1#&amp;"Calibri"&amp;12&amp;K0078D7 OFFICIAL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05C3-6C62-4D67-93B6-C08707DB651D}">
  <sheetPr codeName="Sheet10">
    <tabColor theme="6"/>
  </sheetPr>
  <dimension ref="A1:BT130"/>
  <sheetViews>
    <sheetView showGridLines="0" topLeftCell="A99" workbookViewId="0">
      <selection activeCell="C123" sqref="C123:E125"/>
    </sheetView>
  </sheetViews>
  <sheetFormatPr defaultColWidth="0" defaultRowHeight="14.5" zeroHeight="1" outlineLevelRow="1" x14ac:dyDescent="0.35"/>
  <cols>
    <col min="1" max="1" width="2.81640625" customWidth="1"/>
    <col min="2" max="2" width="36.81640625" customWidth="1"/>
    <col min="3" max="3" width="22.54296875" customWidth="1"/>
    <col min="4" max="8" width="18.54296875" customWidth="1"/>
    <col min="9" max="9" width="19.81640625" bestFit="1" customWidth="1"/>
    <col min="10" max="39" width="11.453125" customWidth="1"/>
    <col min="40" max="69" width="11.7265625" customWidth="1"/>
    <col min="70" max="70" width="9.54296875" customWidth="1"/>
    <col min="71" max="72" width="0" hidden="1" customWidth="1"/>
    <col min="73" max="16384" width="36.81640625" hidden="1"/>
  </cols>
  <sheetData>
    <row r="1" spans="1:69" ht="3.75" customHeight="1" x14ac:dyDescent="0.35">
      <c r="A1" s="75"/>
      <c r="B1" s="76"/>
      <c r="C1" s="75"/>
      <c r="D1" s="75"/>
      <c r="E1" s="75"/>
      <c r="F1" s="75"/>
      <c r="G1" s="75"/>
      <c r="H1" s="75"/>
      <c r="I1" s="75"/>
      <c r="J1" s="75"/>
      <c r="K1" s="75"/>
    </row>
    <row r="2" spans="1:69" ht="18.5" x14ac:dyDescent="0.45">
      <c r="A2" s="196"/>
      <c r="B2" s="197" t="s">
        <v>272</v>
      </c>
      <c r="C2" s="198"/>
      <c r="D2" s="198"/>
      <c r="E2" s="198"/>
      <c r="F2" s="198"/>
      <c r="G2" s="198"/>
      <c r="H2" s="198"/>
      <c r="I2" s="684" t="s">
        <v>59</v>
      </c>
      <c r="J2" s="684"/>
      <c r="K2" s="684"/>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row>
    <row r="3" spans="1:69" ht="7.5" customHeight="1" x14ac:dyDescent="0.35"/>
    <row r="4" spans="1:69" ht="15" customHeight="1" x14ac:dyDescent="0.35">
      <c r="B4" s="81" t="s">
        <v>273</v>
      </c>
    </row>
    <row r="5" spans="1:69" ht="3.75" customHeight="1" outlineLevel="1" x14ac:dyDescent="0.35">
      <c r="A5" s="153"/>
      <c r="B5" s="691"/>
      <c r="C5" s="691"/>
      <c r="D5" s="190"/>
      <c r="E5" s="190"/>
      <c r="F5" s="190"/>
      <c r="G5" s="190"/>
      <c r="H5" s="190"/>
      <c r="I5" s="190"/>
      <c r="J5" s="190"/>
      <c r="K5" s="190"/>
    </row>
    <row r="6" spans="1:69" ht="48.75" customHeight="1" outlineLevel="1" x14ac:dyDescent="0.35">
      <c r="A6" s="153"/>
      <c r="B6" s="199"/>
      <c r="C6" s="199"/>
      <c r="D6" s="190"/>
      <c r="E6" s="190"/>
      <c r="F6" s="190"/>
      <c r="G6" s="190"/>
      <c r="H6" s="190"/>
      <c r="I6" s="190"/>
      <c r="J6" s="190"/>
      <c r="K6" s="190"/>
    </row>
    <row r="7" spans="1:69" ht="15" customHeight="1" outlineLevel="1" x14ac:dyDescent="0.35">
      <c r="A7" s="153"/>
      <c r="B7" s="199"/>
      <c r="C7" s="199"/>
      <c r="D7" s="190"/>
      <c r="E7" s="190"/>
      <c r="F7" s="190"/>
      <c r="G7" s="190"/>
      <c r="H7" s="190"/>
      <c r="I7" s="190"/>
      <c r="J7" s="190"/>
      <c r="K7" s="190"/>
    </row>
    <row r="8" spans="1:69" ht="15" customHeight="1" outlineLevel="1" x14ac:dyDescent="0.35">
      <c r="A8" s="153"/>
      <c r="B8" s="199"/>
      <c r="C8" s="199"/>
      <c r="D8" s="190"/>
      <c r="E8" s="190"/>
      <c r="F8" s="190"/>
      <c r="G8" s="190"/>
      <c r="H8" s="190"/>
      <c r="I8" s="190"/>
      <c r="J8" s="190"/>
      <c r="K8" s="190"/>
    </row>
    <row r="9" spans="1:69" ht="15" customHeight="1" outlineLevel="1" x14ac:dyDescent="0.35">
      <c r="A9" s="153"/>
      <c r="B9" s="199"/>
      <c r="C9" s="199"/>
      <c r="D9" s="190"/>
      <c r="E9" s="190"/>
      <c r="F9" s="190"/>
      <c r="G9" s="190"/>
      <c r="H9" s="190"/>
      <c r="I9" s="190"/>
      <c r="J9" s="190"/>
      <c r="K9" s="190"/>
    </row>
    <row r="10" spans="1:69" ht="15" customHeight="1" outlineLevel="1" x14ac:dyDescent="0.35">
      <c r="A10" s="153"/>
      <c r="B10" s="199"/>
      <c r="C10" s="199"/>
      <c r="D10" s="190"/>
      <c r="E10" s="190"/>
      <c r="F10" s="190"/>
      <c r="G10" s="190"/>
      <c r="H10" s="190"/>
      <c r="I10" s="190"/>
      <c r="J10" s="190"/>
      <c r="K10" s="190"/>
    </row>
    <row r="11" spans="1:69" ht="67.5" customHeight="1" outlineLevel="1" x14ac:dyDescent="0.35">
      <c r="A11" s="153"/>
      <c r="B11" s="199"/>
      <c r="C11" s="199"/>
      <c r="D11" s="190"/>
      <c r="E11" s="190"/>
      <c r="F11" s="190"/>
      <c r="G11" s="190"/>
      <c r="H11" s="190"/>
      <c r="I11" s="190"/>
      <c r="J11" s="190"/>
      <c r="K11" s="190"/>
    </row>
    <row r="12" spans="1:69" ht="15" customHeight="1" outlineLevel="1" x14ac:dyDescent="0.35">
      <c r="A12" s="153"/>
      <c r="B12" s="199"/>
      <c r="C12" s="199"/>
      <c r="D12" s="190"/>
      <c r="E12" s="190"/>
      <c r="F12" s="190"/>
      <c r="G12" s="190"/>
      <c r="H12" s="190"/>
      <c r="I12" s="190"/>
      <c r="J12" s="190"/>
      <c r="K12" s="190"/>
    </row>
    <row r="13" spans="1:69" ht="156" customHeight="1" outlineLevel="1" x14ac:dyDescent="0.35">
      <c r="A13" s="153"/>
      <c r="B13" s="642" t="s">
        <v>274</v>
      </c>
      <c r="C13" s="642"/>
      <c r="D13" s="642"/>
      <c r="E13" s="642"/>
      <c r="F13" s="642"/>
      <c r="G13" s="642"/>
      <c r="H13" s="642"/>
      <c r="I13" s="642"/>
      <c r="J13" s="642"/>
      <c r="K13" s="642"/>
    </row>
    <row r="14" spans="1:69" ht="15" customHeight="1" outlineLevel="1" x14ac:dyDescent="0.35">
      <c r="A14" s="153"/>
      <c r="B14" s="127" t="s">
        <v>275</v>
      </c>
      <c r="C14" s="199"/>
      <c r="D14" s="190"/>
      <c r="E14" s="190"/>
      <c r="F14" s="190"/>
      <c r="G14" s="190"/>
      <c r="H14" s="190"/>
      <c r="I14" s="190"/>
      <c r="J14" s="190"/>
      <c r="K14" s="190"/>
    </row>
    <row r="15" spans="1:69" ht="15" customHeight="1" outlineLevel="1" x14ac:dyDescent="0.35">
      <c r="A15" s="153"/>
      <c r="B15" s="127" t="s">
        <v>276</v>
      </c>
      <c r="C15" s="199"/>
      <c r="D15" s="190"/>
      <c r="E15" s="190"/>
      <c r="F15" s="190"/>
      <c r="G15" s="190"/>
      <c r="H15" s="190"/>
      <c r="I15" s="190"/>
      <c r="J15" s="190"/>
      <c r="K15" s="190"/>
    </row>
    <row r="16" spans="1:69" ht="15" customHeight="1" outlineLevel="1" x14ac:dyDescent="0.35">
      <c r="A16" s="153"/>
      <c r="B16" s="127" t="s">
        <v>277</v>
      </c>
      <c r="C16" s="199"/>
      <c r="D16" s="190"/>
      <c r="E16" s="190"/>
      <c r="F16" s="190"/>
      <c r="G16" s="190"/>
      <c r="H16" s="190"/>
      <c r="I16" s="190"/>
      <c r="J16" s="190"/>
      <c r="K16" s="190"/>
    </row>
    <row r="17" spans="1:69" s="166" customFormat="1" ht="18" customHeight="1" x14ac:dyDescent="0.3">
      <c r="B17" s="152" t="str">
        <f>Expand</f>
        <v>Press the plus/minus to the left to expand/minimise this section</v>
      </c>
      <c r="C17" s="167"/>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row>
    <row r="18" spans="1:69" ht="14.25" customHeight="1" x14ac:dyDescent="0.35">
      <c r="A18" s="153"/>
      <c r="B18" s="177" t="s">
        <v>278</v>
      </c>
      <c r="C18" s="199"/>
      <c r="D18" s="190"/>
      <c r="E18" s="190"/>
      <c r="F18" s="190"/>
      <c r="G18" s="190"/>
      <c r="H18" s="190"/>
      <c r="I18" s="190"/>
      <c r="J18" s="190"/>
      <c r="K18" s="190"/>
    </row>
    <row r="19" spans="1:69" ht="7.5" customHeight="1" x14ac:dyDescent="0.35">
      <c r="A19" s="78"/>
      <c r="B19" s="79"/>
      <c r="C19" s="78"/>
      <c r="D19" s="78"/>
      <c r="E19" s="78"/>
      <c r="F19" s="78"/>
      <c r="G19" s="78"/>
      <c r="H19" s="78"/>
      <c r="I19" s="78"/>
      <c r="J19" s="78"/>
      <c r="K19" s="78"/>
    </row>
    <row r="20" spans="1:69" x14ac:dyDescent="0.35">
      <c r="A20" s="200"/>
      <c r="B20" s="201" t="s">
        <v>279</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row>
    <row r="21" spans="1:69" ht="7.5" customHeight="1" x14ac:dyDescent="0.35">
      <c r="A21" s="106"/>
      <c r="B21" s="202"/>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row>
    <row r="22" spans="1:69" ht="18.75" customHeight="1" thickBot="1" x14ac:dyDescent="0.4">
      <c r="A22" s="82"/>
      <c r="B22" s="136" t="s">
        <v>280</v>
      </c>
      <c r="C22" s="110"/>
      <c r="D22" s="111"/>
      <c r="E22" s="111"/>
      <c r="F22" s="111"/>
      <c r="G22" s="111"/>
      <c r="H22" s="111"/>
      <c r="I22" s="111"/>
      <c r="J22" s="111"/>
      <c r="K22" s="112"/>
    </row>
    <row r="23" spans="1:69" ht="3.75" customHeight="1" x14ac:dyDescent="0.35">
      <c r="A23" s="82"/>
      <c r="B23" s="128"/>
      <c r="C23" s="128"/>
      <c r="D23" s="112"/>
      <c r="E23" s="112"/>
      <c r="F23" s="112"/>
      <c r="G23" s="112"/>
      <c r="H23" s="112"/>
      <c r="I23" s="112"/>
      <c r="J23" s="112"/>
      <c r="K23" s="112"/>
    </row>
    <row r="24" spans="1:69" hidden="1" outlineLevel="1" x14ac:dyDescent="0.35">
      <c r="A24" s="82"/>
      <c r="B24" s="127" t="s">
        <v>281</v>
      </c>
      <c r="C24" s="471">
        <f>'2. General project information'!C68</f>
        <v>0</v>
      </c>
      <c r="D24" s="128" t="s">
        <v>119</v>
      </c>
      <c r="E24" s="112"/>
      <c r="F24" s="112"/>
      <c r="G24" s="112"/>
      <c r="H24" s="112"/>
    </row>
    <row r="25" spans="1:69" hidden="1" outlineLevel="1" x14ac:dyDescent="0.35">
      <c r="A25" s="82"/>
      <c r="B25" s="127" t="s">
        <v>282</v>
      </c>
      <c r="C25" s="471">
        <f>'2. General project information'!C70</f>
        <v>0</v>
      </c>
      <c r="D25" s="128"/>
      <c r="E25" s="112"/>
      <c r="F25" s="112"/>
      <c r="G25" s="112"/>
      <c r="H25" s="112"/>
    </row>
    <row r="26" spans="1:69" hidden="1" outlineLevel="1" x14ac:dyDescent="0.35">
      <c r="A26" s="82"/>
      <c r="B26" s="127" t="s">
        <v>283</v>
      </c>
      <c r="C26" s="112"/>
      <c r="D26" s="128"/>
      <c r="E26" s="112"/>
      <c r="F26" s="112"/>
      <c r="G26" s="112"/>
      <c r="H26" s="112"/>
    </row>
    <row r="27" spans="1:69" hidden="1" outlineLevel="1" x14ac:dyDescent="0.35">
      <c r="A27" s="82"/>
      <c r="B27" s="82" t="s">
        <v>122</v>
      </c>
      <c r="C27" s="471">
        <f>'2. General project information'!C73</f>
        <v>0</v>
      </c>
      <c r="D27" s="128"/>
      <c r="E27" s="112"/>
      <c r="F27" s="112"/>
      <c r="G27" s="112"/>
      <c r="H27" s="112"/>
    </row>
    <row r="28" spans="1:69" hidden="1" outlineLevel="1" x14ac:dyDescent="0.35">
      <c r="A28" s="82"/>
      <c r="B28" s="82" t="s">
        <v>123</v>
      </c>
      <c r="C28" s="471">
        <f>'2. General project information'!C74</f>
        <v>0</v>
      </c>
      <c r="D28" s="128"/>
      <c r="E28" s="112"/>
      <c r="F28" s="112"/>
      <c r="G28" s="112"/>
      <c r="H28" s="112"/>
    </row>
    <row r="29" spans="1:69" hidden="1" outlineLevel="1" x14ac:dyDescent="0.35">
      <c r="A29" s="82"/>
      <c r="B29" s="82" t="s">
        <v>124</v>
      </c>
      <c r="C29" s="471">
        <f>'2. General project information'!C75</f>
        <v>0</v>
      </c>
      <c r="D29" s="128"/>
      <c r="E29" s="112"/>
      <c r="F29" s="112"/>
      <c r="G29" s="112"/>
      <c r="H29" s="112"/>
    </row>
    <row r="30" spans="1:69" hidden="1" outlineLevel="1" x14ac:dyDescent="0.35">
      <c r="A30" s="82"/>
      <c r="B30" s="81" t="s">
        <v>284</v>
      </c>
      <c r="C30" s="153"/>
      <c r="D30" s="128"/>
      <c r="E30" s="112"/>
      <c r="F30" s="112"/>
      <c r="G30" s="112"/>
      <c r="H30" s="112"/>
    </row>
    <row r="31" spans="1:69" hidden="1" outlineLevel="1" x14ac:dyDescent="0.35">
      <c r="A31" s="82"/>
      <c r="B31" s="86" t="s">
        <v>285</v>
      </c>
      <c r="C31" s="478" t="e">
        <f>'2. General project information'!$C$91</f>
        <v>#N/A</v>
      </c>
      <c r="D31" s="128" t="s">
        <v>119</v>
      </c>
      <c r="E31" s="112"/>
      <c r="F31" s="112"/>
      <c r="G31" s="112"/>
      <c r="H31" s="112"/>
    </row>
    <row r="32" spans="1:69" hidden="1" outlineLevel="1" x14ac:dyDescent="0.35">
      <c r="A32" s="82"/>
      <c r="B32" s="86" t="s">
        <v>286</v>
      </c>
      <c r="C32" s="478" t="e">
        <f>'2. General project information'!$C$100</f>
        <v>#N/A</v>
      </c>
      <c r="D32" s="128" t="s">
        <v>119</v>
      </c>
      <c r="E32" s="112"/>
      <c r="F32" s="112"/>
      <c r="G32" s="112"/>
      <c r="H32" s="112"/>
    </row>
    <row r="33" spans="1:11" hidden="1" outlineLevel="1" x14ac:dyDescent="0.35">
      <c r="A33" s="82"/>
      <c r="B33" s="86" t="s">
        <v>287</v>
      </c>
      <c r="C33" s="478" t="e">
        <f>'2. General project information'!$D$100</f>
        <v>#N/A</v>
      </c>
      <c r="D33" s="128" t="s">
        <v>119</v>
      </c>
      <c r="E33" s="112"/>
      <c r="F33" s="112"/>
      <c r="G33" s="112"/>
      <c r="H33" s="112"/>
    </row>
    <row r="34" spans="1:11" ht="15" customHeight="1" collapsed="1" x14ac:dyDescent="0.35">
      <c r="A34" s="82"/>
      <c r="B34" s="114" t="str">
        <f>Expand</f>
        <v>Press the plus/minus to the left to expand/minimise this section</v>
      </c>
      <c r="C34" s="128"/>
      <c r="D34" s="128"/>
      <c r="E34" s="112"/>
      <c r="F34" s="112"/>
      <c r="G34" s="112"/>
      <c r="H34" s="112"/>
    </row>
    <row r="35" spans="1:11" ht="15" customHeight="1" x14ac:dyDescent="0.35">
      <c r="A35" s="82"/>
      <c r="C35" s="128"/>
      <c r="D35" s="203"/>
      <c r="E35" s="112"/>
      <c r="F35" s="112"/>
      <c r="G35" s="112"/>
      <c r="H35" s="112"/>
      <c r="I35" s="112"/>
      <c r="J35" s="112"/>
      <c r="K35" s="112"/>
    </row>
    <row r="36" spans="1:11" s="82" customFormat="1" ht="16" thickBot="1" x14ac:dyDescent="0.4">
      <c r="B36" s="138" t="s">
        <v>288</v>
      </c>
      <c r="C36" s="110"/>
      <c r="D36" s="111"/>
      <c r="E36" s="111"/>
      <c r="F36" s="111"/>
      <c r="G36" s="111"/>
      <c r="H36" s="111"/>
      <c r="I36" s="111"/>
      <c r="J36" s="111"/>
    </row>
    <row r="37" spans="1:11" s="82" customFormat="1" ht="6.75" customHeight="1" x14ac:dyDescent="0.3"/>
    <row r="38" spans="1:11" s="82" customFormat="1" ht="15" customHeight="1" outlineLevel="1" thickBot="1" x14ac:dyDescent="0.35"/>
    <row r="39" spans="1:11" s="82" customFormat="1" ht="15" customHeight="1" outlineLevel="1" thickBot="1" x14ac:dyDescent="0.35">
      <c r="B39" s="86"/>
      <c r="C39" s="156" t="s">
        <v>289</v>
      </c>
      <c r="D39" s="156" t="s">
        <v>290</v>
      </c>
      <c r="E39" s="156" t="s">
        <v>291</v>
      </c>
      <c r="F39" s="112"/>
      <c r="G39" s="112"/>
      <c r="H39" s="112"/>
      <c r="I39" s="112"/>
    </row>
    <row r="40" spans="1:11" s="82" customFormat="1" ht="29.25" customHeight="1" outlineLevel="1" thickBot="1" x14ac:dyDescent="0.35">
      <c r="B40" s="204" t="s">
        <v>292</v>
      </c>
      <c r="C40" s="461" t="e">
        <f>-C126</f>
        <v>#N/A</v>
      </c>
      <c r="D40" s="461" t="e">
        <f>-D126</f>
        <v>#N/A</v>
      </c>
      <c r="E40" s="461" t="e">
        <f>-E126</f>
        <v>#N/A</v>
      </c>
      <c r="F40" s="86"/>
      <c r="G40" s="112"/>
      <c r="H40" s="112"/>
    </row>
    <row r="41" spans="1:11" s="82" customFormat="1" ht="15" customHeight="1" outlineLevel="1" thickBot="1" x14ac:dyDescent="0.35">
      <c r="B41" s="86"/>
      <c r="C41" s="169"/>
      <c r="D41" s="112"/>
      <c r="E41" s="206"/>
      <c r="F41" s="206"/>
    </row>
    <row r="42" spans="1:11" s="82" customFormat="1" ht="30" customHeight="1" outlineLevel="1" thickBot="1" x14ac:dyDescent="0.35">
      <c r="B42" s="204" t="s">
        <v>293</v>
      </c>
      <c r="C42" s="205" t="s">
        <v>294</v>
      </c>
      <c r="D42" s="207" t="s">
        <v>295</v>
      </c>
      <c r="E42" s="207" t="s">
        <v>296</v>
      </c>
      <c r="F42" s="207" t="s">
        <v>297</v>
      </c>
      <c r="G42" s="207" t="s">
        <v>298</v>
      </c>
    </row>
    <row r="43" spans="1:11" s="82" customFormat="1" ht="30" customHeight="1" outlineLevel="1" x14ac:dyDescent="0.3">
      <c r="B43" s="208" t="s">
        <v>299</v>
      </c>
      <c r="C43" s="479" t="e">
        <f>'2. General project information'!$C$100</f>
        <v>#N/A</v>
      </c>
      <c r="D43" s="454" t="e">
        <f>MIN(C$24/C43,100%)</f>
        <v>#N/A</v>
      </c>
      <c r="E43" s="455" t="e">
        <f>$D43*C$40</f>
        <v>#N/A</v>
      </c>
      <c r="F43" s="455" t="e">
        <f t="shared" ref="F43:F45" si="0">$D43*D$40</f>
        <v>#N/A</v>
      </c>
      <c r="G43" s="455" t="e">
        <f t="shared" ref="G43:G45" si="1">$D43*E$40</f>
        <v>#N/A</v>
      </c>
    </row>
    <row r="44" spans="1:11" s="82" customFormat="1" ht="28.5" customHeight="1" outlineLevel="1" x14ac:dyDescent="0.3">
      <c r="B44" s="209" t="s">
        <v>300</v>
      </c>
      <c r="C44" s="480" t="e">
        <f>'2. General project information'!$D$100</f>
        <v>#N/A</v>
      </c>
      <c r="D44" s="456" t="e">
        <f t="shared" ref="D44:D45" si="2">MIN(C$24/C44,100%)</f>
        <v>#N/A</v>
      </c>
      <c r="E44" s="457" t="e">
        <f t="shared" ref="E44:E45" si="3">$D44*C$40</f>
        <v>#N/A</v>
      </c>
      <c r="F44" s="457" t="e">
        <f t="shared" si="0"/>
        <v>#N/A</v>
      </c>
      <c r="G44" s="457" t="e">
        <f t="shared" si="1"/>
        <v>#N/A</v>
      </c>
    </row>
    <row r="45" spans="1:11" s="82" customFormat="1" ht="15" customHeight="1" outlineLevel="1" thickBot="1" x14ac:dyDescent="0.35">
      <c r="B45" s="210" t="s">
        <v>301</v>
      </c>
      <c r="C45" s="458" t="e">
        <f>'2. General project information'!$C$91</f>
        <v>#N/A</v>
      </c>
      <c r="D45" s="459" t="e">
        <f t="shared" si="2"/>
        <v>#N/A</v>
      </c>
      <c r="E45" s="460" t="e">
        <f t="shared" si="3"/>
        <v>#N/A</v>
      </c>
      <c r="F45" s="460" t="e">
        <f t="shared" si="0"/>
        <v>#N/A</v>
      </c>
      <c r="G45" s="460" t="e">
        <f t="shared" si="1"/>
        <v>#N/A</v>
      </c>
    </row>
    <row r="46" spans="1:11" s="82" customFormat="1" ht="15" customHeight="1" outlineLevel="1" x14ac:dyDescent="0.3"/>
    <row r="47" spans="1:11" s="82" customFormat="1" ht="15.75" customHeight="1" outlineLevel="1" thickBot="1" x14ac:dyDescent="0.35">
      <c r="B47" s="82" t="s">
        <v>302</v>
      </c>
      <c r="C47" s="81"/>
      <c r="D47" s="211"/>
      <c r="G47" s="89"/>
      <c r="H47" s="89"/>
      <c r="I47" s="212"/>
    </row>
    <row r="48" spans="1:11" s="82" customFormat="1" ht="15.75" customHeight="1" outlineLevel="1" x14ac:dyDescent="0.3">
      <c r="C48" s="128"/>
      <c r="D48" s="688" t="s">
        <v>303</v>
      </c>
      <c r="E48" s="689"/>
      <c r="F48" s="690"/>
      <c r="G48" s="213"/>
    </row>
    <row r="49" spans="2:24" s="82" customFormat="1" ht="15" customHeight="1" outlineLevel="1" thickBot="1" x14ac:dyDescent="0.35">
      <c r="C49" s="128"/>
      <c r="D49" s="214" t="s">
        <v>304</v>
      </c>
      <c r="E49" s="215" t="s">
        <v>305</v>
      </c>
      <c r="F49" s="216" t="s">
        <v>306</v>
      </c>
      <c r="G49" s="217" t="s">
        <v>307</v>
      </c>
    </row>
    <row r="50" spans="2:24" s="82" customFormat="1" ht="16.5" customHeight="1" outlineLevel="1" thickBot="1" x14ac:dyDescent="0.35">
      <c r="C50" s="128"/>
      <c r="D50" s="218">
        <v>0.5</v>
      </c>
      <c r="E50" s="195">
        <v>1</v>
      </c>
      <c r="F50" s="219">
        <v>2</v>
      </c>
      <c r="G50" s="220"/>
    </row>
    <row r="51" spans="2:24" s="82" customFormat="1" ht="18" customHeight="1" outlineLevel="1" x14ac:dyDescent="0.3">
      <c r="B51" s="685" t="s">
        <v>308</v>
      </c>
      <c r="C51" s="221" t="s">
        <v>122</v>
      </c>
      <c r="D51" s="448">
        <f t="shared" ref="D51:F53" si="4">IFERROR(MAX((($C117)+($C$121*IF($C$25="Already removed",1,0))+($C$122*IF($C$25="Will be reused",1,0)))+($C$123*LN(D$50))+MAX(0,($C$124*LN($C$24))+($C$125*LN($C$24*D$50))),0),0)</f>
        <v>0</v>
      </c>
      <c r="E51" s="448">
        <f t="shared" si="4"/>
        <v>0</v>
      </c>
      <c r="F51" s="433">
        <f t="shared" si="4"/>
        <v>0</v>
      </c>
      <c r="G51" s="449" t="s">
        <v>309</v>
      </c>
    </row>
    <row r="52" spans="2:24" s="82" customFormat="1" ht="14.5" customHeight="1" outlineLevel="1" x14ac:dyDescent="0.3">
      <c r="B52" s="686"/>
      <c r="C52" s="222" t="s">
        <v>123</v>
      </c>
      <c r="D52" s="450">
        <f t="shared" si="4"/>
        <v>0</v>
      </c>
      <c r="E52" s="450">
        <f t="shared" si="4"/>
        <v>0</v>
      </c>
      <c r="F52" s="434">
        <f t="shared" si="4"/>
        <v>0</v>
      </c>
      <c r="G52" s="451" t="s">
        <v>309</v>
      </c>
    </row>
    <row r="53" spans="2:24" s="82" customFormat="1" ht="15" customHeight="1" outlineLevel="1" thickBot="1" x14ac:dyDescent="0.35">
      <c r="B53" s="687"/>
      <c r="C53" s="223" t="s">
        <v>124</v>
      </c>
      <c r="D53" s="452">
        <f t="shared" si="4"/>
        <v>0</v>
      </c>
      <c r="E53" s="452">
        <f t="shared" si="4"/>
        <v>0</v>
      </c>
      <c r="F53" s="435">
        <f t="shared" si="4"/>
        <v>0</v>
      </c>
      <c r="G53" s="453" t="s">
        <v>309</v>
      </c>
    </row>
    <row r="54" spans="2:24" s="82" customFormat="1" ht="14.5" customHeight="1" outlineLevel="1" x14ac:dyDescent="0.3">
      <c r="B54" s="128"/>
      <c r="C54" s="128"/>
      <c r="D54" s="224" t="s">
        <v>310</v>
      </c>
      <c r="E54" s="112"/>
      <c r="F54" s="112"/>
      <c r="G54" s="112"/>
      <c r="H54" s="112"/>
      <c r="I54" s="112"/>
    </row>
    <row r="55" spans="2:24" s="82" customFormat="1" ht="14.5" customHeight="1" outlineLevel="1" x14ac:dyDescent="0.3">
      <c r="B55" s="128"/>
      <c r="C55" s="128"/>
      <c r="D55" s="224"/>
      <c r="E55" s="112"/>
      <c r="F55" s="112"/>
      <c r="G55" s="112"/>
      <c r="H55" s="112"/>
      <c r="I55" s="112"/>
      <c r="J55" s="128"/>
      <c r="K55" s="128"/>
      <c r="L55" s="224"/>
      <c r="M55" s="112"/>
      <c r="N55" s="112"/>
      <c r="O55" s="112"/>
      <c r="P55" s="112"/>
      <c r="R55" s="128"/>
      <c r="S55" s="128"/>
      <c r="T55" s="224"/>
      <c r="U55" s="112"/>
      <c r="V55" s="112"/>
      <c r="W55" s="112"/>
      <c r="X55" s="112"/>
    </row>
    <row r="56" spans="2:24" s="82" customFormat="1" ht="14.5" customHeight="1" outlineLevel="1" thickBot="1" x14ac:dyDescent="0.35">
      <c r="B56" s="82" t="s">
        <v>311</v>
      </c>
      <c r="I56" s="112"/>
      <c r="J56" s="128"/>
      <c r="K56" s="128"/>
      <c r="L56" s="224"/>
      <c r="M56" s="112"/>
      <c r="N56" s="112"/>
      <c r="O56" s="112"/>
      <c r="P56" s="112"/>
      <c r="R56" s="128"/>
      <c r="S56" s="128"/>
      <c r="T56" s="224"/>
      <c r="U56" s="112"/>
      <c r="V56" s="112"/>
      <c r="W56" s="112"/>
      <c r="X56" s="112"/>
    </row>
    <row r="57" spans="2:24" s="82" customFormat="1" ht="14.5" customHeight="1" outlineLevel="1" x14ac:dyDescent="0.3">
      <c r="C57" s="128"/>
      <c r="D57" s="688" t="s">
        <v>303</v>
      </c>
      <c r="E57" s="689"/>
      <c r="F57" s="690"/>
      <c r="G57" s="213"/>
      <c r="H57" s="112"/>
      <c r="I57" s="128"/>
      <c r="J57" s="128"/>
      <c r="K57" s="224"/>
      <c r="L57" s="112"/>
      <c r="M57" s="112"/>
      <c r="N57" s="112"/>
      <c r="O57" s="112"/>
      <c r="Q57" s="128"/>
      <c r="R57" s="128"/>
      <c r="S57" s="224"/>
      <c r="T57" s="112"/>
      <c r="U57" s="112"/>
      <c r="V57" s="112"/>
      <c r="W57" s="112"/>
    </row>
    <row r="58" spans="2:24" s="82" customFormat="1" ht="14.5" customHeight="1" outlineLevel="1" thickBot="1" x14ac:dyDescent="0.35">
      <c r="C58" s="128"/>
      <c r="D58" s="214" t="s">
        <v>304</v>
      </c>
      <c r="E58" s="215" t="s">
        <v>305</v>
      </c>
      <c r="F58" s="216" t="s">
        <v>306</v>
      </c>
      <c r="G58" s="217" t="s">
        <v>307</v>
      </c>
      <c r="H58" s="112"/>
      <c r="I58" s="128"/>
      <c r="J58" s="128"/>
      <c r="K58" s="224"/>
      <c r="L58" s="112"/>
      <c r="M58" s="112"/>
      <c r="N58" s="112"/>
      <c r="O58" s="112"/>
      <c r="Q58" s="128"/>
      <c r="R58" s="128"/>
      <c r="S58" s="224"/>
      <c r="T58" s="112"/>
      <c r="U58" s="112"/>
      <c r="V58" s="112"/>
      <c r="W58" s="112"/>
    </row>
    <row r="59" spans="2:24" s="82" customFormat="1" ht="14.5" customHeight="1" outlineLevel="1" thickBot="1" x14ac:dyDescent="0.35">
      <c r="C59" s="128"/>
      <c r="D59" s="218">
        <v>0.5</v>
      </c>
      <c r="E59" s="195">
        <v>1</v>
      </c>
      <c r="F59" s="219">
        <v>2</v>
      </c>
      <c r="G59" s="220"/>
      <c r="H59" s="112"/>
      <c r="I59" s="128"/>
      <c r="J59" s="128"/>
      <c r="K59" s="224"/>
      <c r="L59" s="112"/>
      <c r="M59" s="112"/>
      <c r="N59" s="112"/>
      <c r="O59" s="112"/>
      <c r="Q59" s="128"/>
      <c r="R59" s="128"/>
      <c r="S59" s="224"/>
      <c r="T59" s="112"/>
      <c r="U59" s="112"/>
      <c r="V59" s="112"/>
      <c r="W59" s="112"/>
    </row>
    <row r="60" spans="2:24" s="82" customFormat="1" ht="14.5" customHeight="1" outlineLevel="1" x14ac:dyDescent="0.3">
      <c r="B60" s="685" t="s">
        <v>308</v>
      </c>
      <c r="C60" s="221" t="s">
        <v>122</v>
      </c>
      <c r="D60" s="448">
        <f t="shared" ref="D60:F62" si="5">IFERROR(MAX((($D117)+($D$121*IF($C$25="Already removed",1,0))+($D$122*IF($C$25="Will be reused",1,0)))+($D$123*LN(D$59))+MAX(0,($D$124*LN($C$24))+($D$125*LN($C$24*D$59))),0),0)</f>
        <v>0</v>
      </c>
      <c r="E60" s="448">
        <f t="shared" si="5"/>
        <v>0</v>
      </c>
      <c r="F60" s="433">
        <f t="shared" si="5"/>
        <v>0</v>
      </c>
      <c r="G60" s="449" t="s">
        <v>309</v>
      </c>
      <c r="H60" s="112"/>
      <c r="I60" s="128"/>
      <c r="J60" s="128"/>
      <c r="K60" s="224"/>
      <c r="L60" s="112"/>
      <c r="M60" s="112"/>
      <c r="N60" s="112"/>
      <c r="O60" s="112"/>
      <c r="Q60" s="128"/>
      <c r="R60" s="128"/>
      <c r="S60" s="224"/>
      <c r="T60" s="112"/>
      <c r="U60" s="112"/>
      <c r="V60" s="112"/>
      <c r="W60" s="112"/>
    </row>
    <row r="61" spans="2:24" s="82" customFormat="1" ht="14.5" customHeight="1" outlineLevel="1" x14ac:dyDescent="0.3">
      <c r="B61" s="686"/>
      <c r="C61" s="222" t="s">
        <v>123</v>
      </c>
      <c r="D61" s="450">
        <f t="shared" si="5"/>
        <v>0</v>
      </c>
      <c r="E61" s="450">
        <f t="shared" si="5"/>
        <v>0</v>
      </c>
      <c r="F61" s="434">
        <f t="shared" si="5"/>
        <v>0</v>
      </c>
      <c r="G61" s="451" t="s">
        <v>309</v>
      </c>
      <c r="H61" s="112"/>
      <c r="I61" s="128"/>
      <c r="J61" s="128"/>
      <c r="K61" s="224"/>
      <c r="L61" s="112"/>
      <c r="M61" s="112"/>
      <c r="N61" s="112"/>
      <c r="O61" s="112"/>
      <c r="Q61" s="128"/>
      <c r="R61" s="128"/>
      <c r="S61" s="224"/>
      <c r="T61" s="112"/>
      <c r="U61" s="112"/>
      <c r="V61" s="112"/>
      <c r="W61" s="112"/>
    </row>
    <row r="62" spans="2:24" s="82" customFormat="1" ht="14.5" customHeight="1" outlineLevel="1" thickBot="1" x14ac:dyDescent="0.35">
      <c r="B62" s="687"/>
      <c r="C62" s="223" t="s">
        <v>124</v>
      </c>
      <c r="D62" s="452">
        <f t="shared" si="5"/>
        <v>0</v>
      </c>
      <c r="E62" s="452">
        <f t="shared" si="5"/>
        <v>0</v>
      </c>
      <c r="F62" s="435">
        <f t="shared" si="5"/>
        <v>0</v>
      </c>
      <c r="G62" s="453" t="s">
        <v>309</v>
      </c>
      <c r="H62" s="112"/>
      <c r="I62" s="128"/>
      <c r="J62" s="128"/>
      <c r="K62" s="224"/>
      <c r="L62" s="112"/>
      <c r="M62" s="112"/>
      <c r="N62" s="112"/>
      <c r="O62" s="112"/>
      <c r="Q62" s="128"/>
      <c r="R62" s="128"/>
      <c r="S62" s="224"/>
      <c r="T62" s="112"/>
      <c r="U62" s="112"/>
      <c r="V62" s="112"/>
      <c r="W62" s="112"/>
    </row>
    <row r="63" spans="2:24" s="82" customFormat="1" ht="14.5" customHeight="1" outlineLevel="1" x14ac:dyDescent="0.3">
      <c r="B63" s="128"/>
      <c r="C63" s="128"/>
      <c r="D63" s="224" t="s">
        <v>310</v>
      </c>
      <c r="E63" s="112"/>
      <c r="F63" s="112"/>
      <c r="G63" s="112"/>
      <c r="H63" s="112"/>
      <c r="I63" s="128"/>
      <c r="J63" s="128"/>
      <c r="K63" s="224"/>
      <c r="L63" s="112"/>
      <c r="M63" s="112"/>
      <c r="N63" s="112"/>
      <c r="O63" s="112"/>
      <c r="Q63" s="128"/>
      <c r="R63" s="128"/>
      <c r="S63" s="224"/>
      <c r="T63" s="112"/>
      <c r="U63" s="112"/>
      <c r="V63" s="112"/>
      <c r="W63" s="112"/>
    </row>
    <row r="64" spans="2:24" s="82" customFormat="1" ht="14.5" customHeight="1" outlineLevel="1" x14ac:dyDescent="0.3">
      <c r="B64" s="128"/>
      <c r="C64" s="128"/>
      <c r="D64" s="224"/>
      <c r="E64" s="112"/>
      <c r="F64" s="112"/>
      <c r="G64" s="112"/>
      <c r="H64" s="112"/>
      <c r="I64" s="112"/>
      <c r="J64" s="128"/>
      <c r="K64" s="128"/>
      <c r="L64" s="224"/>
      <c r="M64" s="112"/>
      <c r="N64" s="112"/>
      <c r="O64" s="112"/>
      <c r="P64" s="112"/>
      <c r="R64" s="128"/>
      <c r="S64" s="128"/>
      <c r="T64" s="224"/>
      <c r="U64" s="112"/>
      <c r="V64" s="112"/>
      <c r="W64" s="112"/>
      <c r="X64" s="112"/>
    </row>
    <row r="65" spans="1:69" s="82" customFormat="1" ht="14.5" customHeight="1" outlineLevel="1" thickBot="1" x14ac:dyDescent="0.35">
      <c r="B65" s="82" t="s">
        <v>312</v>
      </c>
      <c r="I65" s="112"/>
      <c r="J65" s="128"/>
      <c r="K65" s="128"/>
      <c r="L65" s="224"/>
      <c r="M65" s="112"/>
      <c r="N65" s="112"/>
      <c r="O65" s="112"/>
      <c r="P65" s="112"/>
      <c r="R65" s="128"/>
      <c r="S65" s="128"/>
      <c r="T65" s="224"/>
      <c r="U65" s="112"/>
      <c r="V65" s="112"/>
      <c r="W65" s="112"/>
      <c r="X65" s="112"/>
    </row>
    <row r="66" spans="1:69" s="82" customFormat="1" ht="14.5" customHeight="1" outlineLevel="1" x14ac:dyDescent="0.3">
      <c r="C66" s="128"/>
      <c r="D66" s="688" t="s">
        <v>303</v>
      </c>
      <c r="E66" s="689"/>
      <c r="F66" s="690"/>
      <c r="G66" s="213"/>
      <c r="H66" s="112"/>
      <c r="I66" s="128"/>
      <c r="J66" s="128"/>
      <c r="K66" s="224"/>
      <c r="L66" s="112"/>
      <c r="M66" s="112"/>
      <c r="N66" s="112"/>
      <c r="O66" s="112"/>
      <c r="Q66" s="128"/>
      <c r="R66" s="128"/>
      <c r="S66" s="224"/>
      <c r="T66" s="112"/>
      <c r="U66" s="112"/>
      <c r="V66" s="112"/>
      <c r="W66" s="112"/>
    </row>
    <row r="67" spans="1:69" s="82" customFormat="1" ht="14.5" customHeight="1" outlineLevel="1" thickBot="1" x14ac:dyDescent="0.35">
      <c r="C67" s="128"/>
      <c r="D67" s="214" t="s">
        <v>304</v>
      </c>
      <c r="E67" s="215" t="s">
        <v>305</v>
      </c>
      <c r="F67" s="216" t="s">
        <v>306</v>
      </c>
      <c r="G67" s="217" t="s">
        <v>307</v>
      </c>
      <c r="H67" s="112"/>
      <c r="I67" s="128"/>
      <c r="J67" s="128"/>
      <c r="K67" s="224"/>
      <c r="L67" s="112"/>
      <c r="M67" s="112"/>
      <c r="N67" s="112"/>
      <c r="O67" s="112"/>
      <c r="Q67" s="128"/>
      <c r="R67" s="128"/>
      <c r="S67" s="224"/>
      <c r="T67" s="112"/>
      <c r="U67" s="112"/>
      <c r="V67" s="112"/>
      <c r="W67" s="112"/>
    </row>
    <row r="68" spans="1:69" s="82" customFormat="1" ht="14.5" customHeight="1" outlineLevel="1" thickBot="1" x14ac:dyDescent="0.35">
      <c r="C68" s="128"/>
      <c r="D68" s="218">
        <v>0.5</v>
      </c>
      <c r="E68" s="195">
        <v>1</v>
      </c>
      <c r="F68" s="219">
        <v>2</v>
      </c>
      <c r="G68" s="220"/>
      <c r="H68" s="112"/>
      <c r="I68" s="128"/>
      <c r="J68" s="128"/>
      <c r="K68" s="224"/>
      <c r="L68" s="112"/>
      <c r="M68" s="112"/>
      <c r="N68" s="112"/>
      <c r="O68" s="112"/>
      <c r="Q68" s="128"/>
      <c r="R68" s="128"/>
      <c r="S68" s="224"/>
      <c r="T68" s="112"/>
      <c r="U68" s="112"/>
      <c r="V68" s="112"/>
      <c r="W68" s="112"/>
    </row>
    <row r="69" spans="1:69" s="82" customFormat="1" ht="14.5" customHeight="1" outlineLevel="1" x14ac:dyDescent="0.3">
      <c r="B69" s="685" t="s">
        <v>308</v>
      </c>
      <c r="C69" s="221" t="s">
        <v>122</v>
      </c>
      <c r="D69" s="448">
        <f t="shared" ref="D69:F71" si="6">IFERROR(MAX((($E117)+($E$121*IF($C$25="Already removed",1,0))+($E$122*IF($C$25="Will be reused",1,0)))+($E$123*LN(D$68))+MAX(0,($E$124*LN($C$24))+($E$125*LN($C$24*D$68))),0),0)</f>
        <v>0</v>
      </c>
      <c r="E69" s="448">
        <f t="shared" si="6"/>
        <v>0</v>
      </c>
      <c r="F69" s="433">
        <f t="shared" si="6"/>
        <v>0</v>
      </c>
      <c r="G69" s="449" t="s">
        <v>309</v>
      </c>
      <c r="H69" s="112"/>
      <c r="I69" s="128"/>
      <c r="J69" s="128"/>
      <c r="K69" s="224"/>
      <c r="L69" s="112"/>
      <c r="M69" s="112"/>
      <c r="N69" s="112"/>
      <c r="O69" s="112"/>
      <c r="Q69" s="128"/>
      <c r="R69" s="128"/>
      <c r="S69" s="224"/>
      <c r="T69" s="112"/>
      <c r="U69" s="112"/>
      <c r="V69" s="112"/>
      <c r="W69" s="112"/>
    </row>
    <row r="70" spans="1:69" s="82" customFormat="1" ht="14.5" customHeight="1" outlineLevel="1" x14ac:dyDescent="0.3">
      <c r="B70" s="686"/>
      <c r="C70" s="222" t="s">
        <v>123</v>
      </c>
      <c r="D70" s="450">
        <f t="shared" si="6"/>
        <v>0</v>
      </c>
      <c r="E70" s="450">
        <f t="shared" si="6"/>
        <v>0</v>
      </c>
      <c r="F70" s="434">
        <f t="shared" si="6"/>
        <v>0</v>
      </c>
      <c r="G70" s="451" t="s">
        <v>309</v>
      </c>
      <c r="H70" s="112"/>
      <c r="I70" s="128"/>
      <c r="J70" s="128"/>
      <c r="K70" s="224"/>
      <c r="L70" s="112"/>
      <c r="M70" s="112"/>
      <c r="N70" s="112"/>
      <c r="O70" s="112"/>
      <c r="Q70" s="128"/>
      <c r="R70" s="128"/>
      <c r="S70" s="224"/>
      <c r="T70" s="112"/>
      <c r="U70" s="112"/>
      <c r="V70" s="112"/>
      <c r="W70" s="112"/>
    </row>
    <row r="71" spans="1:69" s="82" customFormat="1" ht="14.5" customHeight="1" outlineLevel="1" thickBot="1" x14ac:dyDescent="0.35">
      <c r="B71" s="687"/>
      <c r="C71" s="223" t="s">
        <v>124</v>
      </c>
      <c r="D71" s="452">
        <f t="shared" si="6"/>
        <v>0</v>
      </c>
      <c r="E71" s="452">
        <f t="shared" si="6"/>
        <v>0</v>
      </c>
      <c r="F71" s="435">
        <f t="shared" si="6"/>
        <v>0</v>
      </c>
      <c r="G71" s="453" t="s">
        <v>309</v>
      </c>
      <c r="H71" s="112"/>
      <c r="I71" s="128"/>
      <c r="J71" s="128"/>
      <c r="K71" s="224"/>
      <c r="L71" s="112"/>
      <c r="M71" s="112"/>
      <c r="N71" s="112"/>
      <c r="O71" s="112"/>
      <c r="Q71" s="128"/>
      <c r="R71" s="128"/>
      <c r="S71" s="224"/>
      <c r="T71" s="112"/>
      <c r="U71" s="112"/>
      <c r="V71" s="112"/>
      <c r="W71" s="112"/>
    </row>
    <row r="72" spans="1:69" s="82" customFormat="1" ht="14.5" customHeight="1" outlineLevel="1" x14ac:dyDescent="0.3">
      <c r="B72" s="128"/>
      <c r="C72" s="128"/>
      <c r="D72" s="224" t="s">
        <v>310</v>
      </c>
      <c r="E72" s="112"/>
      <c r="F72" s="112"/>
      <c r="G72" s="112"/>
      <c r="H72" s="112"/>
      <c r="I72" s="112"/>
      <c r="J72" s="128"/>
      <c r="K72" s="128"/>
      <c r="L72" s="224"/>
      <c r="M72" s="112"/>
      <c r="N72" s="112"/>
      <c r="O72" s="112"/>
      <c r="P72" s="112"/>
      <c r="R72" s="128"/>
      <c r="S72" s="128"/>
      <c r="T72" s="224"/>
      <c r="U72" s="112"/>
      <c r="V72" s="112"/>
      <c r="W72" s="112"/>
      <c r="X72" s="112"/>
    </row>
    <row r="73" spans="1:69" s="82" customFormat="1" ht="13" x14ac:dyDescent="0.3">
      <c r="B73" s="114" t="str">
        <f>Expand</f>
        <v>Press the plus/minus to the left to expand/minimise this section</v>
      </c>
      <c r="C73" s="128"/>
    </row>
    <row r="74" spans="1:69" s="82" customFormat="1" ht="7.5" customHeight="1" x14ac:dyDescent="0.3">
      <c r="B74" s="114"/>
      <c r="C74" s="128"/>
    </row>
    <row r="75" spans="1:69" ht="16" thickBot="1" x14ac:dyDescent="0.4">
      <c r="A75" s="82"/>
      <c r="B75" s="138" t="s">
        <v>313</v>
      </c>
      <c r="C75" s="110"/>
      <c r="D75" s="111"/>
      <c r="E75" s="111"/>
      <c r="F75" s="111"/>
      <c r="G75" s="111"/>
      <c r="H75" s="111"/>
      <c r="I75" s="111"/>
      <c r="J75" s="111"/>
      <c r="K75" s="111"/>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row>
    <row r="76" spans="1:69" s="82" customFormat="1" ht="15" customHeight="1" outlineLevel="1" thickBot="1" x14ac:dyDescent="0.35">
      <c r="C76" s="225"/>
      <c r="E76" s="121"/>
      <c r="F76" s="12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row r="77" spans="1:69" s="82" customFormat="1" ht="15" customHeight="1" outlineLevel="1" x14ac:dyDescent="0.3">
      <c r="C77" s="225"/>
      <c r="D77" s="675" t="s">
        <v>314</v>
      </c>
      <c r="E77" s="678" t="str" cm="1">
        <f t="array" ref="E77">TAV</f>
        <v>Total annual value (£, )</v>
      </c>
      <c r="F77" s="678" t="str">
        <f>_xlfn.CONCAT("PV for 10 years (£, ",MoneyScalarName,")")</f>
        <v>PV for 10 years (£, )</v>
      </c>
      <c r="G77" s="678" t="str">
        <f>_xlfn.CONCAT("Annual value using amortised benefits (£/yr, ",MoneyScalarName,")")</f>
        <v>Annual value using amortised benefits (£/yr, )</v>
      </c>
      <c r="H77" s="681" t="str">
        <f>_xlfn.CONCAT("Total value using amortised benefits (£, ",MoneyScalarName,")")</f>
        <v>Total value using amortised benefits (£, )</v>
      </c>
      <c r="I77" s="505" t="s">
        <v>315</v>
      </c>
      <c r="J77" s="521">
        <v>0</v>
      </c>
      <c r="K77" s="521">
        <v>1</v>
      </c>
      <c r="L77" s="521">
        <v>2</v>
      </c>
      <c r="M77" s="521">
        <v>3</v>
      </c>
      <c r="N77" s="521">
        <v>4</v>
      </c>
      <c r="O77" s="521">
        <v>5</v>
      </c>
      <c r="P77" s="521">
        <v>6</v>
      </c>
      <c r="Q77" s="521">
        <v>7</v>
      </c>
      <c r="R77" s="521">
        <v>8</v>
      </c>
      <c r="S77" s="521">
        <v>9</v>
      </c>
      <c r="T77" s="521">
        <v>10</v>
      </c>
      <c r="U77" s="521">
        <v>11</v>
      </c>
      <c r="V77" s="521">
        <v>12</v>
      </c>
      <c r="W77" s="521">
        <v>13</v>
      </c>
      <c r="X77" s="521">
        <v>14</v>
      </c>
      <c r="Y77" s="521">
        <v>15</v>
      </c>
      <c r="Z77" s="521">
        <v>16</v>
      </c>
      <c r="AA77" s="521">
        <v>17</v>
      </c>
      <c r="AB77" s="521">
        <v>18</v>
      </c>
      <c r="AC77" s="521">
        <v>19</v>
      </c>
      <c r="AD77" s="521">
        <v>20</v>
      </c>
      <c r="AE77" s="521">
        <v>21</v>
      </c>
      <c r="AF77" s="521">
        <v>22</v>
      </c>
      <c r="AG77" s="521">
        <v>23</v>
      </c>
      <c r="AH77" s="521">
        <v>24</v>
      </c>
      <c r="AI77" s="521">
        <v>25</v>
      </c>
      <c r="AJ77" s="521">
        <v>26</v>
      </c>
      <c r="AK77" s="521">
        <v>27</v>
      </c>
      <c r="AL77" s="521">
        <v>28</v>
      </c>
      <c r="AM77" s="521">
        <v>29</v>
      </c>
      <c r="AN77" s="521">
        <v>30</v>
      </c>
      <c r="AO77" s="521">
        <v>31</v>
      </c>
      <c r="AP77" s="521">
        <v>32</v>
      </c>
      <c r="AQ77" s="521">
        <v>33</v>
      </c>
      <c r="AR77" s="521">
        <v>34</v>
      </c>
      <c r="AS77" s="521">
        <v>35</v>
      </c>
      <c r="AT77" s="521">
        <v>36</v>
      </c>
      <c r="AU77" s="521">
        <v>37</v>
      </c>
      <c r="AV77" s="521">
        <v>38</v>
      </c>
      <c r="AW77" s="521">
        <v>39</v>
      </c>
      <c r="AX77" s="521">
        <v>40</v>
      </c>
      <c r="AY77" s="521">
        <v>41</v>
      </c>
      <c r="AZ77" s="521">
        <v>42</v>
      </c>
      <c r="BA77" s="521">
        <v>43</v>
      </c>
      <c r="BB77" s="521">
        <v>44</v>
      </c>
      <c r="BC77" s="521">
        <v>45</v>
      </c>
      <c r="BD77" s="521">
        <v>46</v>
      </c>
      <c r="BE77" s="521">
        <v>47</v>
      </c>
      <c r="BF77" s="521">
        <v>48</v>
      </c>
      <c r="BG77" s="521">
        <v>49</v>
      </c>
      <c r="BH77" s="521">
        <v>50</v>
      </c>
      <c r="BI77" s="521">
        <v>51</v>
      </c>
      <c r="BJ77" s="521">
        <v>52</v>
      </c>
      <c r="BK77" s="521">
        <v>53</v>
      </c>
      <c r="BL77" s="521">
        <v>54</v>
      </c>
      <c r="BM77" s="521">
        <v>55</v>
      </c>
      <c r="BN77" s="521">
        <v>56</v>
      </c>
      <c r="BO77" s="521">
        <v>57</v>
      </c>
      <c r="BP77" s="521">
        <v>58</v>
      </c>
      <c r="BQ77" s="522">
        <v>59</v>
      </c>
    </row>
    <row r="78" spans="1:69" s="82" customFormat="1" ht="15" customHeight="1" outlineLevel="1" x14ac:dyDescent="0.3">
      <c r="D78" s="676"/>
      <c r="E78" s="679"/>
      <c r="F78" s="679"/>
      <c r="G78" s="679"/>
      <c r="H78" s="682"/>
      <c r="I78" s="506" t="s">
        <v>316</v>
      </c>
      <c r="J78" s="226" cm="1">
        <f t="array" ref="J78:BQ78">FinancialYearRange60</f>
        <v>0</v>
      </c>
      <c r="K78" s="226" t="e">
        <v>#N/A</v>
      </c>
      <c r="L78" s="226" t="e">
        <v>#N/A</v>
      </c>
      <c r="M78" s="226" t="e">
        <v>#N/A</v>
      </c>
      <c r="N78" s="226" t="e">
        <v>#N/A</v>
      </c>
      <c r="O78" s="226" t="e">
        <v>#N/A</v>
      </c>
      <c r="P78" s="226" t="e">
        <v>#N/A</v>
      </c>
      <c r="Q78" s="226" t="e">
        <v>#N/A</v>
      </c>
      <c r="R78" s="226" t="e">
        <v>#N/A</v>
      </c>
      <c r="S78" s="226" t="e">
        <v>#N/A</v>
      </c>
      <c r="T78" s="226" t="e">
        <v>#N/A</v>
      </c>
      <c r="U78" s="226" t="e">
        <v>#N/A</v>
      </c>
      <c r="V78" s="226" t="e">
        <v>#N/A</v>
      </c>
      <c r="W78" s="226" t="e">
        <v>#N/A</v>
      </c>
      <c r="X78" s="226" t="e">
        <v>#N/A</v>
      </c>
      <c r="Y78" s="226" t="e">
        <v>#N/A</v>
      </c>
      <c r="Z78" s="226" t="e">
        <v>#N/A</v>
      </c>
      <c r="AA78" s="226" t="e">
        <v>#N/A</v>
      </c>
      <c r="AB78" s="226" t="e">
        <v>#N/A</v>
      </c>
      <c r="AC78" s="226" t="e">
        <v>#N/A</v>
      </c>
      <c r="AD78" s="226" t="e">
        <v>#N/A</v>
      </c>
      <c r="AE78" s="226" t="e">
        <v>#N/A</v>
      </c>
      <c r="AF78" s="226" t="e">
        <v>#N/A</v>
      </c>
      <c r="AG78" s="226" t="e">
        <v>#N/A</v>
      </c>
      <c r="AH78" s="226" t="e">
        <v>#N/A</v>
      </c>
      <c r="AI78" s="226" t="e">
        <v>#N/A</v>
      </c>
      <c r="AJ78" s="226" t="e">
        <v>#N/A</v>
      </c>
      <c r="AK78" s="226" t="e">
        <v>#N/A</v>
      </c>
      <c r="AL78" s="226" t="e">
        <v>#N/A</v>
      </c>
      <c r="AM78" s="226" t="e">
        <v>#N/A</v>
      </c>
      <c r="AN78" s="226" t="e">
        <v>#N/A</v>
      </c>
      <c r="AO78" s="226" t="e">
        <v>#N/A</v>
      </c>
      <c r="AP78" s="226" t="e">
        <v>#N/A</v>
      </c>
      <c r="AQ78" s="226" t="e">
        <v>#N/A</v>
      </c>
      <c r="AR78" s="226" t="e">
        <v>#N/A</v>
      </c>
      <c r="AS78" s="226" t="e">
        <v>#N/A</v>
      </c>
      <c r="AT78" s="226" t="e">
        <v>#N/A</v>
      </c>
      <c r="AU78" s="226" t="e">
        <v>#N/A</v>
      </c>
      <c r="AV78" s="226" t="e">
        <v>#N/A</v>
      </c>
      <c r="AW78" s="226" t="e">
        <v>#N/A</v>
      </c>
      <c r="AX78" s="226" t="e">
        <v>#N/A</v>
      </c>
      <c r="AY78" s="226" t="e">
        <v>#N/A</v>
      </c>
      <c r="AZ78" s="226" t="e">
        <v>#N/A</v>
      </c>
      <c r="BA78" s="226" t="e">
        <v>#N/A</v>
      </c>
      <c r="BB78" s="226" t="e">
        <v>#N/A</v>
      </c>
      <c r="BC78" s="226" t="e">
        <v>#N/A</v>
      </c>
      <c r="BD78" s="226" t="e">
        <v>#N/A</v>
      </c>
      <c r="BE78" s="226" t="e">
        <v>#N/A</v>
      </c>
      <c r="BF78" s="226" t="e">
        <v>#N/A</v>
      </c>
      <c r="BG78" s="226" t="e">
        <v>#N/A</v>
      </c>
      <c r="BH78" s="226" t="e">
        <v>#N/A</v>
      </c>
      <c r="BI78" s="226" t="e">
        <v>#N/A</v>
      </c>
      <c r="BJ78" s="226" t="e">
        <v>#N/A</v>
      </c>
      <c r="BK78" s="226" t="e">
        <v>#N/A</v>
      </c>
      <c r="BL78" s="226" t="e">
        <v>#N/A</v>
      </c>
      <c r="BM78" s="226" t="e">
        <v>#N/A</v>
      </c>
      <c r="BN78" s="226" t="e">
        <v>#N/A</v>
      </c>
      <c r="BO78" s="226" t="e">
        <v>#N/A</v>
      </c>
      <c r="BP78" s="226" t="e">
        <v>#N/A</v>
      </c>
      <c r="BQ78" s="501" t="e">
        <v>#N/A</v>
      </c>
    </row>
    <row r="79" spans="1:69" s="82" customFormat="1" ht="15" customHeight="1" outlineLevel="1" x14ac:dyDescent="0.3">
      <c r="B79" s="81"/>
      <c r="C79" s="225"/>
      <c r="D79" s="676"/>
      <c r="E79" s="679"/>
      <c r="F79" s="679"/>
      <c r="G79" s="679"/>
      <c r="H79" s="682"/>
      <c r="I79" s="506" t="s">
        <v>317</v>
      </c>
      <c r="J79" s="504">
        <f>'6.6 - Lists and lookups'!C$78</f>
        <v>0</v>
      </c>
      <c r="K79" s="504">
        <f>'6.6 - Lists and lookups'!D$78</f>
        <v>0</v>
      </c>
      <c r="L79" s="504">
        <f>'6.6 - Lists and lookups'!E$78</f>
        <v>0</v>
      </c>
      <c r="M79" s="504">
        <f>'6.6 - Lists and lookups'!F$78</f>
        <v>0</v>
      </c>
      <c r="N79" s="504">
        <f>'6.6 - Lists and lookups'!G$78</f>
        <v>0</v>
      </c>
      <c r="O79" s="504">
        <f>'6.6 - Lists and lookups'!H$78</f>
        <v>0</v>
      </c>
      <c r="P79" s="504">
        <f>'6.6 - Lists and lookups'!I$78</f>
        <v>0</v>
      </c>
      <c r="Q79" s="504">
        <f>'6.6 - Lists and lookups'!J$78</f>
        <v>0</v>
      </c>
      <c r="R79" s="504">
        <f>'6.6 - Lists and lookups'!K$78</f>
        <v>0</v>
      </c>
      <c r="S79" s="504">
        <f>'6.6 - Lists and lookups'!L$78</f>
        <v>0</v>
      </c>
      <c r="T79" s="504">
        <f>'6.6 - Lists and lookups'!M$78</f>
        <v>0</v>
      </c>
      <c r="U79" s="504">
        <f>'6.6 - Lists and lookups'!N$78</f>
        <v>0</v>
      </c>
      <c r="V79" s="504">
        <f>'6.6 - Lists and lookups'!O$78</f>
        <v>0</v>
      </c>
      <c r="W79" s="504">
        <f>'6.6 - Lists and lookups'!P$78</f>
        <v>0</v>
      </c>
      <c r="X79" s="504">
        <f>'6.6 - Lists and lookups'!Q$78</f>
        <v>0</v>
      </c>
      <c r="Y79" s="504">
        <f>'6.6 - Lists and lookups'!R$78</f>
        <v>0</v>
      </c>
      <c r="Z79" s="504">
        <f>'6.6 - Lists and lookups'!S$78</f>
        <v>0</v>
      </c>
      <c r="AA79" s="504">
        <f>'6.6 - Lists and lookups'!T$78</f>
        <v>0</v>
      </c>
      <c r="AB79" s="504">
        <f>'6.6 - Lists and lookups'!U$78</f>
        <v>0</v>
      </c>
      <c r="AC79" s="504">
        <f>'6.6 - Lists and lookups'!V$78</f>
        <v>0</v>
      </c>
      <c r="AD79" s="504">
        <f>'6.6 - Lists and lookups'!W$78</f>
        <v>0</v>
      </c>
      <c r="AE79" s="504">
        <f>'6.6 - Lists and lookups'!X$78</f>
        <v>0</v>
      </c>
      <c r="AF79" s="504">
        <f>'6.6 - Lists and lookups'!Y$78</f>
        <v>0</v>
      </c>
      <c r="AG79" s="504">
        <f>'6.6 - Lists and lookups'!Z$78</f>
        <v>0</v>
      </c>
      <c r="AH79" s="504">
        <f>'6.6 - Lists and lookups'!AA$78</f>
        <v>0</v>
      </c>
      <c r="AI79" s="504">
        <f>'6.6 - Lists and lookups'!AB$78</f>
        <v>0</v>
      </c>
      <c r="AJ79" s="504">
        <f>'6.6 - Lists and lookups'!AC$78</f>
        <v>0</v>
      </c>
      <c r="AK79" s="504">
        <f>'6.6 - Lists and lookups'!AD$78</f>
        <v>0</v>
      </c>
      <c r="AL79" s="504">
        <f>'6.6 - Lists and lookups'!AE$78</f>
        <v>0</v>
      </c>
      <c r="AM79" s="504">
        <f>'6.6 - Lists and lookups'!AF$78</f>
        <v>0</v>
      </c>
      <c r="AN79" s="504">
        <f>'6.6 - Lists and lookups'!AG$78</f>
        <v>0</v>
      </c>
      <c r="AO79" s="504">
        <f>'6.6 - Lists and lookups'!AH$78</f>
        <v>0</v>
      </c>
      <c r="AP79" s="504">
        <f>'6.6 - Lists and lookups'!AI$78</f>
        <v>0</v>
      </c>
      <c r="AQ79" s="504">
        <f>'6.6 - Lists and lookups'!AJ$78</f>
        <v>0</v>
      </c>
      <c r="AR79" s="504">
        <f>'6.6 - Lists and lookups'!AK$78</f>
        <v>0</v>
      </c>
      <c r="AS79" s="504">
        <f>'6.6 - Lists and lookups'!AL$78</f>
        <v>0</v>
      </c>
      <c r="AT79" s="504">
        <f>'6.6 - Lists and lookups'!AM$78</f>
        <v>0</v>
      </c>
      <c r="AU79" s="504">
        <f>'6.6 - Lists and lookups'!AN$78</f>
        <v>0</v>
      </c>
      <c r="AV79" s="504">
        <f>'6.6 - Lists and lookups'!AO$78</f>
        <v>0</v>
      </c>
      <c r="AW79" s="504">
        <f>'6.6 - Lists and lookups'!AP$78</f>
        <v>0</v>
      </c>
      <c r="AX79" s="504">
        <f>'6.6 - Lists and lookups'!AQ$78</f>
        <v>0</v>
      </c>
      <c r="AY79" s="504">
        <f>'6.6 - Lists and lookups'!AR$78</f>
        <v>0</v>
      </c>
      <c r="AZ79" s="504">
        <f>'6.6 - Lists and lookups'!AS$78</f>
        <v>0</v>
      </c>
      <c r="BA79" s="504">
        <f>'6.6 - Lists and lookups'!AT$78</f>
        <v>0</v>
      </c>
      <c r="BB79" s="504">
        <f>'6.6 - Lists and lookups'!AU$78</f>
        <v>0</v>
      </c>
      <c r="BC79" s="504">
        <f>'6.6 - Lists and lookups'!AV$78</f>
        <v>0</v>
      </c>
      <c r="BD79" s="504">
        <f>'6.6 - Lists and lookups'!AW$78</f>
        <v>0</v>
      </c>
      <c r="BE79" s="504">
        <f>'6.6 - Lists and lookups'!AX$78</f>
        <v>0</v>
      </c>
      <c r="BF79" s="504">
        <f>'6.6 - Lists and lookups'!AY$78</f>
        <v>0</v>
      </c>
      <c r="BG79" s="504">
        <f>'6.6 - Lists and lookups'!AZ$78</f>
        <v>0</v>
      </c>
      <c r="BH79" s="504">
        <f>'6.6 - Lists and lookups'!BA$78</f>
        <v>0</v>
      </c>
      <c r="BI79" s="504">
        <f>'6.6 - Lists and lookups'!BB$78</f>
        <v>0</v>
      </c>
      <c r="BJ79" s="504">
        <f>'6.6 - Lists and lookups'!BC$78</f>
        <v>0</v>
      </c>
      <c r="BK79" s="504">
        <f>'6.6 - Lists and lookups'!BD$78</f>
        <v>0</v>
      </c>
      <c r="BL79" s="504">
        <f>'6.6 - Lists and lookups'!BE$78</f>
        <v>0</v>
      </c>
      <c r="BM79" s="504">
        <f>'6.6 - Lists and lookups'!BF$78</f>
        <v>0</v>
      </c>
      <c r="BN79" s="504">
        <f>'6.6 - Lists and lookups'!BG$78</f>
        <v>0</v>
      </c>
      <c r="BO79" s="504">
        <f>'6.6 - Lists and lookups'!BH$78</f>
        <v>0</v>
      </c>
      <c r="BP79" s="504">
        <f>'6.6 - Lists and lookups'!BI$78</f>
        <v>0</v>
      </c>
      <c r="BQ79" s="507">
        <f>'6.6 - Lists and lookups'!BJ$78</f>
        <v>0</v>
      </c>
    </row>
    <row r="80" spans="1:69" s="82" customFormat="1" ht="15" customHeight="1" outlineLevel="1" thickBot="1" x14ac:dyDescent="0.35">
      <c r="B80" s="81" t="s">
        <v>303</v>
      </c>
      <c r="C80" s="225" t="s">
        <v>101</v>
      </c>
      <c r="D80" s="677"/>
      <c r="E80" s="680"/>
      <c r="F80" s="680"/>
      <c r="G80" s="680"/>
      <c r="H80" s="683"/>
      <c r="I80" s="477" t="s">
        <v>318</v>
      </c>
      <c r="J80" s="502">
        <f>IFERROR(IF(LEFT(J78,4)&gt;LEFT('3. Option specific inputs'!$AG$44,4),I80,('2. General project information'!$C$68-'3. Option specific inputs'!D$48)/'2. General project information'!$C$68),0)</f>
        <v>0</v>
      </c>
      <c r="K80" s="502">
        <f>IFERROR(IF(LEFT(K78,4)&gt;LEFT('3. Option specific inputs'!$AG$44,4),J80,('2. General project information'!$C$68-'3. Option specific inputs'!E$48)/'2. General project information'!$C$68),0)</f>
        <v>0</v>
      </c>
      <c r="L80" s="502">
        <f>IFERROR(IF(LEFT(L78,4)&gt;LEFT('3. Option specific inputs'!$AG$44,4),K80,('2. General project information'!$C$68-'3. Option specific inputs'!F$48)/'2. General project information'!$C$68),0)</f>
        <v>0</v>
      </c>
      <c r="M80" s="502">
        <f>IFERROR(IF(LEFT(M78,4)&gt;LEFT('3. Option specific inputs'!$AG$44,4),L80,('2. General project information'!$C$68-'3. Option specific inputs'!G$48)/'2. General project information'!$C$68),0)</f>
        <v>0</v>
      </c>
      <c r="N80" s="502">
        <f>IFERROR(IF(LEFT(N78,4)&gt;LEFT('3. Option specific inputs'!$AG$44,4),M80,('2. General project information'!$C$68-'3. Option specific inputs'!H$48)/'2. General project information'!$C$68),0)</f>
        <v>0</v>
      </c>
      <c r="O80" s="502">
        <f>IFERROR(IF(LEFT(O78,4)&gt;LEFT('3. Option specific inputs'!$AG$44,4),N80,('2. General project information'!$C$68-'3. Option specific inputs'!I$48)/'2. General project information'!$C$68),0)</f>
        <v>0</v>
      </c>
      <c r="P80" s="502">
        <f>IFERROR(IF(LEFT(P78,4)&gt;LEFT('3. Option specific inputs'!$AG$44,4),O80,('2. General project information'!$C$68-'3. Option specific inputs'!J$48)/'2. General project information'!$C$68),0)</f>
        <v>0</v>
      </c>
      <c r="Q80" s="502">
        <f>IFERROR(IF(LEFT(Q78,4)&gt;LEFT('3. Option specific inputs'!$AG$44,4),P80,('2. General project information'!$C$68-'3. Option specific inputs'!K$48)/'2. General project information'!$C$68),0)</f>
        <v>0</v>
      </c>
      <c r="R80" s="502">
        <f>IFERROR(IF(LEFT(R78,4)&gt;LEFT('3. Option specific inputs'!$AG$44,4),Q80,('2. General project information'!$C$68-'3. Option specific inputs'!L$48)/'2. General project information'!$C$68),0)</f>
        <v>0</v>
      </c>
      <c r="S80" s="502">
        <f>IFERROR(IF(LEFT(S78,4)&gt;LEFT('3. Option specific inputs'!$AG$44,4),R80,('2. General project information'!$C$68-'3. Option specific inputs'!M$48)/'2. General project information'!$C$68),0)</f>
        <v>0</v>
      </c>
      <c r="T80" s="502">
        <f>IFERROR(IF(LEFT(T78,4)&gt;LEFT('3. Option specific inputs'!$AG$44,4),S80,('2. General project information'!$C$68-'3. Option specific inputs'!N$48)/'2. General project information'!$C$68),0)</f>
        <v>0</v>
      </c>
      <c r="U80" s="502">
        <f>IFERROR(IF(LEFT(U78,4)&gt;LEFT('3. Option specific inputs'!$AG$44,4),T80,('2. General project information'!$C$68-'3. Option specific inputs'!O$48)/'2. General project information'!$C$68),0)</f>
        <v>0</v>
      </c>
      <c r="V80" s="502">
        <f>IFERROR(IF(LEFT(V78,4)&gt;LEFT('3. Option specific inputs'!$AG$44,4),U80,('2. General project information'!$C$68-'3. Option specific inputs'!P$48)/'2. General project information'!$C$68),0)</f>
        <v>0</v>
      </c>
      <c r="W80" s="502">
        <f>IFERROR(IF(LEFT(W78,4)&gt;LEFT('3. Option specific inputs'!$AG$44,4),V80,('2. General project information'!$C$68-'3. Option specific inputs'!Q$48)/'2. General project information'!$C$68),0)</f>
        <v>0</v>
      </c>
      <c r="X80" s="502">
        <f>IFERROR(IF(LEFT(X78,4)&gt;LEFT('3. Option specific inputs'!$AG$44,4),W80,('2. General project information'!$C$68-'3. Option specific inputs'!R$48)/'2. General project information'!$C$68),0)</f>
        <v>0</v>
      </c>
      <c r="Y80" s="502">
        <f>IFERROR(IF(LEFT(Y78,4)&gt;LEFT('3. Option specific inputs'!$AG$44,4),X80,('2. General project information'!$C$68-'3. Option specific inputs'!S$48)/'2. General project information'!$C$68),0)</f>
        <v>0</v>
      </c>
      <c r="Z80" s="502">
        <f>IFERROR(IF(LEFT(Z78,4)&gt;LEFT('3. Option specific inputs'!$AG$44,4),Y80,('2. General project information'!$C$68-'3. Option specific inputs'!T$48)/'2. General project information'!$C$68),0)</f>
        <v>0</v>
      </c>
      <c r="AA80" s="502">
        <f>IFERROR(IF(LEFT(AA78,4)&gt;LEFT('3. Option specific inputs'!$AG$44,4),Z80,('2. General project information'!$C$68-'3. Option specific inputs'!U$48)/'2. General project information'!$C$68),0)</f>
        <v>0</v>
      </c>
      <c r="AB80" s="502">
        <f>IFERROR(IF(LEFT(AB78,4)&gt;LEFT('3. Option specific inputs'!$AG$44,4),AA80,('2. General project information'!$C$68-'3. Option specific inputs'!V$48)/'2. General project information'!$C$68),0)</f>
        <v>0</v>
      </c>
      <c r="AC80" s="502">
        <f>IFERROR(IF(LEFT(AC78,4)&gt;LEFT('3. Option specific inputs'!$AG$44,4),AB80,('2. General project information'!$C$68-'3. Option specific inputs'!W$48)/'2. General project information'!$C$68),0)</f>
        <v>0</v>
      </c>
      <c r="AD80" s="502">
        <f>IFERROR(IF(LEFT(AD78,4)&gt;LEFT('3. Option specific inputs'!$AG$44,4),AC80,('2. General project information'!$C$68-'3. Option specific inputs'!X$48)/'2. General project information'!$C$68),0)</f>
        <v>0</v>
      </c>
      <c r="AE80" s="502">
        <f>IFERROR(IF(LEFT(AE78,4)&gt;LEFT('3. Option specific inputs'!$AG$44,4),AD80,('2. General project information'!$C$68-'3. Option specific inputs'!Y$48)/'2. General project information'!$C$68),0)</f>
        <v>0</v>
      </c>
      <c r="AF80" s="502">
        <f>IFERROR(IF(LEFT(AF78,4)&gt;LEFT('3. Option specific inputs'!$AG$44,4),AE80,('2. General project information'!$C$68-'3. Option specific inputs'!Z$48)/'2. General project information'!$C$68),0)</f>
        <v>0</v>
      </c>
      <c r="AG80" s="502">
        <f>IFERROR(IF(LEFT(AG78,4)&gt;LEFT('3. Option specific inputs'!$AG$44,4),AF80,('2. General project information'!$C$68-'3. Option specific inputs'!AA$48)/'2. General project information'!$C$68),0)</f>
        <v>0</v>
      </c>
      <c r="AH80" s="502">
        <f>IFERROR(IF(LEFT(AH78,4)&gt;LEFT('3. Option specific inputs'!$AG$44,4),AG80,('2. General project information'!$C$68-'3. Option specific inputs'!AB$48)/'2. General project information'!$C$68),0)</f>
        <v>0</v>
      </c>
      <c r="AI80" s="502">
        <f>IFERROR(IF(LEFT(AI78,4)&gt;LEFT('3. Option specific inputs'!$AG$44,4),AH80,('2. General project information'!$C$68-'3. Option specific inputs'!AC$48)/'2. General project information'!$C$68),0)</f>
        <v>0</v>
      </c>
      <c r="AJ80" s="502">
        <f>IFERROR(IF(LEFT(AJ78,4)&gt;LEFT('3. Option specific inputs'!$AG$44,4),AI80,('2. General project information'!$C$68-'3. Option specific inputs'!AD$48)/'2. General project information'!$C$68),0)</f>
        <v>0</v>
      </c>
      <c r="AK80" s="502">
        <f>IFERROR(IF(LEFT(AK78,4)&gt;LEFT('3. Option specific inputs'!$AG$44,4),AJ80,('2. General project information'!$C$68-'3. Option specific inputs'!AE$48)/'2. General project information'!$C$68),0)</f>
        <v>0</v>
      </c>
      <c r="AL80" s="502">
        <f>IFERROR(IF(LEFT(AL78,4)&gt;LEFT('3. Option specific inputs'!$AG$44,4),AK80,('2. General project information'!$C$68-'3. Option specific inputs'!AF$48)/'2. General project information'!$C$68),0)</f>
        <v>0</v>
      </c>
      <c r="AM80" s="502">
        <f>IFERROR(IF(LEFT(AM78,4)&gt;LEFT('3. Option specific inputs'!$AG$44,4),AL80,('2. General project information'!$C$68-'3. Option specific inputs'!AG$48)/'2. General project information'!$C$68),0)</f>
        <v>0</v>
      </c>
      <c r="AN80" s="502">
        <f>IFERROR(IF(LEFT(AN78,4)&gt;LEFT('3. Option specific inputs'!$AG$44,4),AM80,('2. General project information'!$C$68-'3. Option specific inputs'!AH$48)/'2. General project information'!$C$68),0)</f>
        <v>0</v>
      </c>
      <c r="AO80" s="502">
        <f>IFERROR(IF(LEFT(AO78,4)&gt;LEFT('3. Option specific inputs'!$AG$44,4),AN80,('2. General project information'!$C$68-'3. Option specific inputs'!AI$48)/'2. General project information'!$C$68),0)</f>
        <v>0</v>
      </c>
      <c r="AP80" s="502">
        <f>IFERROR(IF(LEFT(AP78,4)&gt;LEFT('3. Option specific inputs'!$AG$44,4),AO80,('2. General project information'!$C$68-'3. Option specific inputs'!AJ$48)/'2. General project information'!$C$68),0)</f>
        <v>0</v>
      </c>
      <c r="AQ80" s="502">
        <f>IFERROR(IF(LEFT(AQ78,4)&gt;LEFT('3. Option specific inputs'!$AG$44,4),AP80,('2. General project information'!$C$68-'3. Option specific inputs'!AK$48)/'2. General project information'!$C$68),0)</f>
        <v>0</v>
      </c>
      <c r="AR80" s="502">
        <f>IFERROR(IF(LEFT(AR78,4)&gt;LEFT('3. Option specific inputs'!$AG$44,4),AQ80,('2. General project information'!$C$68-'3. Option specific inputs'!AL$48)/'2. General project information'!$C$68),0)</f>
        <v>0</v>
      </c>
      <c r="AS80" s="502">
        <f>IFERROR(IF(LEFT(AS78,4)&gt;LEFT('3. Option specific inputs'!$AG$44,4),AR80,('2. General project information'!$C$68-'3. Option specific inputs'!AM$48)/'2. General project information'!$C$68),0)</f>
        <v>0</v>
      </c>
      <c r="AT80" s="502">
        <f>IFERROR(IF(LEFT(AT78,4)&gt;LEFT('3. Option specific inputs'!$AG$44,4),AS80,('2. General project information'!$C$68-'3. Option specific inputs'!AN$48)/'2. General project information'!$C$68),0)</f>
        <v>0</v>
      </c>
      <c r="AU80" s="502">
        <f>IFERROR(IF(LEFT(AU78,4)&gt;LEFT('3. Option specific inputs'!$AG$44,4),AT80,('2. General project information'!$C$68-'3. Option specific inputs'!AO$48)/'2. General project information'!$C$68),0)</f>
        <v>0</v>
      </c>
      <c r="AV80" s="502">
        <f>IFERROR(IF(LEFT(AV78,4)&gt;LEFT('3. Option specific inputs'!$AG$44,4),AU80,('2. General project information'!$C$68-'3. Option specific inputs'!AP$48)/'2. General project information'!$C$68),0)</f>
        <v>0</v>
      </c>
      <c r="AW80" s="502">
        <f>IFERROR(IF(LEFT(AW78,4)&gt;LEFT('3. Option specific inputs'!$AG$44,4),AV80,('2. General project information'!$C$68-'3. Option specific inputs'!AQ$48)/'2. General project information'!$C$68),0)</f>
        <v>0</v>
      </c>
      <c r="AX80" s="502">
        <f>IFERROR(IF(LEFT(AX78,4)&gt;LEFT('3. Option specific inputs'!$AG$44,4),AW80,('2. General project information'!$C$68-'3. Option specific inputs'!AR$48)/'2. General project information'!$C$68),0)</f>
        <v>0</v>
      </c>
      <c r="AY80" s="502">
        <f>IFERROR(IF(LEFT(AY78,4)&gt;LEFT('3. Option specific inputs'!$AG$44,4),AX80,('2. General project information'!$C$68-'3. Option specific inputs'!AS$48)/'2. General project information'!$C$68),0)</f>
        <v>0</v>
      </c>
      <c r="AZ80" s="502">
        <f>IFERROR(IF(LEFT(AZ78,4)&gt;LEFT('3. Option specific inputs'!$AG$44,4),AY80,('2. General project information'!$C$68-'3. Option specific inputs'!AT$48)/'2. General project information'!$C$68),0)</f>
        <v>0</v>
      </c>
      <c r="BA80" s="502">
        <f>IFERROR(IF(LEFT(BA78,4)&gt;LEFT('3. Option specific inputs'!$AG$44,4),AZ80,('2. General project information'!$C$68-'3. Option specific inputs'!AU$48)/'2. General project information'!$C$68),0)</f>
        <v>0</v>
      </c>
      <c r="BB80" s="502">
        <f>IFERROR(IF(LEFT(BB78,4)&gt;LEFT('3. Option specific inputs'!$AG$44,4),BA80,('2. General project information'!$C$68-'3. Option specific inputs'!AV$48)/'2. General project information'!$C$68),0)</f>
        <v>0</v>
      </c>
      <c r="BC80" s="502">
        <f>IFERROR(IF(LEFT(BC78,4)&gt;LEFT('3. Option specific inputs'!$AG$44,4),BB80,('2. General project information'!$C$68-'3. Option specific inputs'!AW$48)/'2. General project information'!$C$68),0)</f>
        <v>0</v>
      </c>
      <c r="BD80" s="502">
        <f>IFERROR(IF(LEFT(BD78,4)&gt;LEFT('3. Option specific inputs'!$AG$44,4),BC80,('2. General project information'!$C$68-'3. Option specific inputs'!AX$48)/'2. General project information'!$C$68),0)</f>
        <v>0</v>
      </c>
      <c r="BE80" s="502">
        <f>IFERROR(IF(LEFT(BE78,4)&gt;LEFT('3. Option specific inputs'!$AG$44,4),BD80,('2. General project information'!$C$68-'3. Option specific inputs'!AY$48)/'2. General project information'!$C$68),0)</f>
        <v>0</v>
      </c>
      <c r="BF80" s="502">
        <f>IFERROR(IF(LEFT(BF78,4)&gt;LEFT('3. Option specific inputs'!$AG$44,4),BE80,('2. General project information'!$C$68-'3. Option specific inputs'!AZ$48)/'2. General project information'!$C$68),0)</f>
        <v>0</v>
      </c>
      <c r="BG80" s="502">
        <f>IFERROR(IF(LEFT(BG78,4)&gt;LEFT('3. Option specific inputs'!$AG$44,4),BF80,('2. General project information'!$C$68-'3. Option specific inputs'!BA$48)/'2. General project information'!$C$68),0)</f>
        <v>0</v>
      </c>
      <c r="BH80" s="502">
        <f>IFERROR(IF(LEFT(BH78,4)&gt;LEFT('3. Option specific inputs'!$AG$44,4),BG80,('2. General project information'!$C$68-'3. Option specific inputs'!BB$48)/'2. General project information'!$C$68),0)</f>
        <v>0</v>
      </c>
      <c r="BI80" s="502">
        <f>IFERROR(IF(LEFT(BI78,4)&gt;LEFT('3. Option specific inputs'!$AG$44,4),BH80,('2. General project information'!$C$68-'3. Option specific inputs'!BC$48)/'2. General project information'!$C$68),0)</f>
        <v>0</v>
      </c>
      <c r="BJ80" s="502">
        <f>IFERROR(IF(LEFT(BJ78,4)&gt;LEFT('3. Option specific inputs'!$AG$44,4),BI80,('2. General project information'!$C$68-'3. Option specific inputs'!BD$48)/'2. General project information'!$C$68),0)</f>
        <v>0</v>
      </c>
      <c r="BK80" s="502">
        <f>IFERROR(IF(LEFT(BK78,4)&gt;LEFT('3. Option specific inputs'!$AG$44,4),BJ80,('2. General project information'!$C$68-'3. Option specific inputs'!BE$48)/'2. General project information'!$C$68),0)</f>
        <v>0</v>
      </c>
      <c r="BL80" s="502">
        <f>IFERROR(IF(LEFT(BL78,4)&gt;LEFT('3. Option specific inputs'!$AG$44,4),BK80,('2. General project information'!$C$68-'3. Option specific inputs'!BF$48)/'2. General project information'!$C$68),0)</f>
        <v>0</v>
      </c>
      <c r="BM80" s="502">
        <f>IFERROR(IF(LEFT(BM78,4)&gt;LEFT('3. Option specific inputs'!$AG$44,4),BL80,('2. General project information'!$C$68-'3. Option specific inputs'!BG$48)/'2. General project information'!$C$68),0)</f>
        <v>0</v>
      </c>
      <c r="BN80" s="502">
        <f>IFERROR(IF(LEFT(BN78,4)&gt;LEFT('3. Option specific inputs'!$AG$44,4),BM80,('2. General project information'!$C$68-'3. Option specific inputs'!BH$48)/'2. General project information'!$C$68),0)</f>
        <v>0</v>
      </c>
      <c r="BO80" s="502">
        <f>IFERROR(IF(LEFT(BO78,4)&gt;LEFT('3. Option specific inputs'!$AG$44,4),BN80,('2. General project information'!$C$68-'3. Option specific inputs'!BI$48)/'2. General project information'!$C$68),0)</f>
        <v>0</v>
      </c>
      <c r="BP80" s="502">
        <f>IFERROR(IF(LEFT(BP78,4)&gt;LEFT('3. Option specific inputs'!$AG$44,4),BO80,('2. General project information'!$C$68-'3. Option specific inputs'!BJ$48)/'2. General project information'!$C$68),0)</f>
        <v>0</v>
      </c>
      <c r="BQ80" s="503">
        <f>IFERROR(IF(LEFT(BQ78,4)&gt;LEFT('3. Option specific inputs'!$AG$44,4),BP80,('2. General project information'!$C$68-'3. Option specific inputs'!BK$48)/'2. General project information'!$C$68),0)</f>
        <v>0</v>
      </c>
    </row>
    <row r="81" spans="1:70" s="82" customFormat="1" ht="13" outlineLevel="1" x14ac:dyDescent="0.3">
      <c r="B81" s="161" t="str">
        <f>D49</f>
        <v>0-0.5 miles</v>
      </c>
      <c r="C81" s="228" t="e">
        <f>'2. General project information'!C58</f>
        <v>#N/A</v>
      </c>
      <c r="D81" s="401">
        <f>MAX(0,D51*$C$27+D52*$C$28+D53*$C$29+IF('2. General project information'!$C$85="Local authority",$E$45,IF('2. General project information'!C85="4 mile radius",$E$44,IF('2. General project information'!C85="2 mile radius",$E$43))))</f>
        <v>0</v>
      </c>
      <c r="E81" s="401" t="e">
        <f>C81*D81/MoneyScalar</f>
        <v>#N/A</v>
      </c>
      <c r="F81" s="401" t="e">
        <f>E81-PV(0.035,9,E81)</f>
        <v>#N/A</v>
      </c>
      <c r="G81" s="401" t="e">
        <f>F81/DF_Appraisal_Period</f>
        <v>#N/A</v>
      </c>
      <c r="H81" s="445" t="e">
        <f>SUM(J81:BQ81)</f>
        <v>#N/A</v>
      </c>
      <c r="I81" s="523"/>
      <c r="J81" s="445" t="e">
        <f>$G81*J$80*J$79</f>
        <v>#N/A</v>
      </c>
      <c r="K81" s="240" t="e">
        <f t="shared" ref="K81:Z83" si="7">$G81*K$80*K$79</f>
        <v>#N/A</v>
      </c>
      <c r="L81" s="240" t="e">
        <f t="shared" si="7"/>
        <v>#N/A</v>
      </c>
      <c r="M81" s="240" t="e">
        <f t="shared" si="7"/>
        <v>#N/A</v>
      </c>
      <c r="N81" s="240" t="e">
        <f t="shared" si="7"/>
        <v>#N/A</v>
      </c>
      <c r="O81" s="240" t="e">
        <f t="shared" si="7"/>
        <v>#N/A</v>
      </c>
      <c r="P81" s="240" t="e">
        <f t="shared" si="7"/>
        <v>#N/A</v>
      </c>
      <c r="Q81" s="240" t="e">
        <f t="shared" si="7"/>
        <v>#N/A</v>
      </c>
      <c r="R81" s="240" t="e">
        <f t="shared" si="7"/>
        <v>#N/A</v>
      </c>
      <c r="S81" s="240" t="e">
        <f t="shared" si="7"/>
        <v>#N/A</v>
      </c>
      <c r="T81" s="240" t="e">
        <f t="shared" si="7"/>
        <v>#N/A</v>
      </c>
      <c r="U81" s="240" t="e">
        <f t="shared" si="7"/>
        <v>#N/A</v>
      </c>
      <c r="V81" s="240" t="e">
        <f t="shared" si="7"/>
        <v>#N/A</v>
      </c>
      <c r="W81" s="240" t="e">
        <f t="shared" si="7"/>
        <v>#N/A</v>
      </c>
      <c r="X81" s="240" t="e">
        <f t="shared" si="7"/>
        <v>#N/A</v>
      </c>
      <c r="Y81" s="240" t="e">
        <f t="shared" si="7"/>
        <v>#N/A</v>
      </c>
      <c r="Z81" s="240" t="e">
        <f t="shared" si="7"/>
        <v>#N/A</v>
      </c>
      <c r="AA81" s="240" t="e">
        <f t="shared" ref="AA81:AP83" si="8">$G81*AA$80*AA$79</f>
        <v>#N/A</v>
      </c>
      <c r="AB81" s="240" t="e">
        <f t="shared" si="8"/>
        <v>#N/A</v>
      </c>
      <c r="AC81" s="240" t="e">
        <f t="shared" si="8"/>
        <v>#N/A</v>
      </c>
      <c r="AD81" s="240" t="e">
        <f t="shared" si="8"/>
        <v>#N/A</v>
      </c>
      <c r="AE81" s="240" t="e">
        <f t="shared" si="8"/>
        <v>#N/A</v>
      </c>
      <c r="AF81" s="240" t="e">
        <f t="shared" si="8"/>
        <v>#N/A</v>
      </c>
      <c r="AG81" s="240" t="e">
        <f t="shared" si="8"/>
        <v>#N/A</v>
      </c>
      <c r="AH81" s="240" t="e">
        <f t="shared" si="8"/>
        <v>#N/A</v>
      </c>
      <c r="AI81" s="240" t="e">
        <f t="shared" si="8"/>
        <v>#N/A</v>
      </c>
      <c r="AJ81" s="240" t="e">
        <f t="shared" si="8"/>
        <v>#N/A</v>
      </c>
      <c r="AK81" s="240" t="e">
        <f t="shared" si="8"/>
        <v>#N/A</v>
      </c>
      <c r="AL81" s="240" t="e">
        <f t="shared" si="8"/>
        <v>#N/A</v>
      </c>
      <c r="AM81" s="240" t="e">
        <f t="shared" si="8"/>
        <v>#N/A</v>
      </c>
      <c r="AN81" s="240" t="e">
        <f t="shared" si="8"/>
        <v>#N/A</v>
      </c>
      <c r="AO81" s="240" t="e">
        <f t="shared" si="8"/>
        <v>#N/A</v>
      </c>
      <c r="AP81" s="240" t="e">
        <f t="shared" si="8"/>
        <v>#N/A</v>
      </c>
      <c r="AQ81" s="240" t="e">
        <f t="shared" ref="AQ81:BF83" si="9">$G81*AQ$80*AQ$79</f>
        <v>#N/A</v>
      </c>
      <c r="AR81" s="240" t="e">
        <f t="shared" si="9"/>
        <v>#N/A</v>
      </c>
      <c r="AS81" s="240" t="e">
        <f t="shared" si="9"/>
        <v>#N/A</v>
      </c>
      <c r="AT81" s="240" t="e">
        <f t="shared" si="9"/>
        <v>#N/A</v>
      </c>
      <c r="AU81" s="240" t="e">
        <f t="shared" si="9"/>
        <v>#N/A</v>
      </c>
      <c r="AV81" s="240" t="e">
        <f t="shared" si="9"/>
        <v>#N/A</v>
      </c>
      <c r="AW81" s="240" t="e">
        <f t="shared" si="9"/>
        <v>#N/A</v>
      </c>
      <c r="AX81" s="240" t="e">
        <f t="shared" si="9"/>
        <v>#N/A</v>
      </c>
      <c r="AY81" s="240" t="e">
        <f t="shared" si="9"/>
        <v>#N/A</v>
      </c>
      <c r="AZ81" s="240" t="e">
        <f t="shared" si="9"/>
        <v>#N/A</v>
      </c>
      <c r="BA81" s="240" t="e">
        <f t="shared" si="9"/>
        <v>#N/A</v>
      </c>
      <c r="BB81" s="240" t="e">
        <f t="shared" si="9"/>
        <v>#N/A</v>
      </c>
      <c r="BC81" s="240" t="e">
        <f t="shared" si="9"/>
        <v>#N/A</v>
      </c>
      <c r="BD81" s="240" t="e">
        <f t="shared" si="9"/>
        <v>#N/A</v>
      </c>
      <c r="BE81" s="240" t="e">
        <f t="shared" si="9"/>
        <v>#N/A</v>
      </c>
      <c r="BF81" s="240" t="e">
        <f t="shared" si="9"/>
        <v>#N/A</v>
      </c>
      <c r="BG81" s="240" t="e">
        <f t="shared" ref="BG81:BQ83" si="10">$G81*BG$80*BG$79</f>
        <v>#N/A</v>
      </c>
      <c r="BH81" s="240" t="e">
        <f t="shared" si="10"/>
        <v>#N/A</v>
      </c>
      <c r="BI81" s="240" t="e">
        <f t="shared" si="10"/>
        <v>#N/A</v>
      </c>
      <c r="BJ81" s="240" t="e">
        <f t="shared" si="10"/>
        <v>#N/A</v>
      </c>
      <c r="BK81" s="240" t="e">
        <f t="shared" si="10"/>
        <v>#N/A</v>
      </c>
      <c r="BL81" s="240" t="e">
        <f t="shared" si="10"/>
        <v>#N/A</v>
      </c>
      <c r="BM81" s="240" t="e">
        <f t="shared" si="10"/>
        <v>#N/A</v>
      </c>
      <c r="BN81" s="240" t="e">
        <f t="shared" si="10"/>
        <v>#N/A</v>
      </c>
      <c r="BO81" s="240" t="e">
        <f t="shared" si="10"/>
        <v>#N/A</v>
      </c>
      <c r="BP81" s="240" t="e">
        <f t="shared" si="10"/>
        <v>#N/A</v>
      </c>
      <c r="BQ81" s="492" t="e">
        <f t="shared" si="10"/>
        <v>#N/A</v>
      </c>
      <c r="BR81" s="89"/>
    </row>
    <row r="82" spans="1:70" s="82" customFormat="1" ht="13" outlineLevel="1" x14ac:dyDescent="0.3">
      <c r="B82" s="164" t="str">
        <f>E49</f>
        <v>0.5-1 miles</v>
      </c>
      <c r="C82" s="231" t="e">
        <f>'2. General project information'!D58</f>
        <v>#N/A</v>
      </c>
      <c r="D82" s="403">
        <f>MAX(0,E51*$C$27+E52*$C$28+E53*$C$29+IF('2. General project information'!$C$85="Local authority",$E$45,IF('2. General project information'!C85="4 mile radius",$E$44,IF('2. General project information'!C85="2 mile radius",$E$43))))</f>
        <v>0</v>
      </c>
      <c r="E82" s="403" t="e">
        <f>C82*D82/MoneyScalar</f>
        <v>#N/A</v>
      </c>
      <c r="F82" s="403" t="e">
        <f>E82-PV(0.035,9,E82)</f>
        <v>#N/A</v>
      </c>
      <c r="G82" s="403" t="e">
        <f>F82/DF_Appraisal_Period</f>
        <v>#N/A</v>
      </c>
      <c r="H82" s="446" t="e">
        <f t="shared" ref="H82:H83" si="11">SUM(J82:BQ82)</f>
        <v>#N/A</v>
      </c>
      <c r="I82" s="524"/>
      <c r="J82" s="446" t="e">
        <f t="shared" ref="J82:J83" si="12">$G82*J$80*J$79</f>
        <v>#N/A</v>
      </c>
      <c r="K82" s="89" t="e">
        <f t="shared" si="7"/>
        <v>#N/A</v>
      </c>
      <c r="L82" s="89" t="e">
        <f t="shared" si="7"/>
        <v>#N/A</v>
      </c>
      <c r="M82" s="89" t="e">
        <f t="shared" si="7"/>
        <v>#N/A</v>
      </c>
      <c r="N82" s="89" t="e">
        <f t="shared" si="7"/>
        <v>#N/A</v>
      </c>
      <c r="O82" s="89" t="e">
        <f t="shared" si="7"/>
        <v>#N/A</v>
      </c>
      <c r="P82" s="89" t="e">
        <f t="shared" si="7"/>
        <v>#N/A</v>
      </c>
      <c r="Q82" s="89" t="e">
        <f t="shared" si="7"/>
        <v>#N/A</v>
      </c>
      <c r="R82" s="89" t="e">
        <f t="shared" si="7"/>
        <v>#N/A</v>
      </c>
      <c r="S82" s="89" t="e">
        <f t="shared" si="7"/>
        <v>#N/A</v>
      </c>
      <c r="T82" s="89" t="e">
        <f t="shared" si="7"/>
        <v>#N/A</v>
      </c>
      <c r="U82" s="89" t="e">
        <f t="shared" si="7"/>
        <v>#N/A</v>
      </c>
      <c r="V82" s="89" t="e">
        <f t="shared" si="7"/>
        <v>#N/A</v>
      </c>
      <c r="W82" s="89" t="e">
        <f t="shared" si="7"/>
        <v>#N/A</v>
      </c>
      <c r="X82" s="89" t="e">
        <f t="shared" si="7"/>
        <v>#N/A</v>
      </c>
      <c r="Y82" s="89" t="e">
        <f t="shared" si="7"/>
        <v>#N/A</v>
      </c>
      <c r="Z82" s="89" t="e">
        <f t="shared" si="7"/>
        <v>#N/A</v>
      </c>
      <c r="AA82" s="89" t="e">
        <f t="shared" si="8"/>
        <v>#N/A</v>
      </c>
      <c r="AB82" s="89" t="e">
        <f t="shared" si="8"/>
        <v>#N/A</v>
      </c>
      <c r="AC82" s="89" t="e">
        <f t="shared" si="8"/>
        <v>#N/A</v>
      </c>
      <c r="AD82" s="89" t="e">
        <f t="shared" si="8"/>
        <v>#N/A</v>
      </c>
      <c r="AE82" s="89" t="e">
        <f t="shared" si="8"/>
        <v>#N/A</v>
      </c>
      <c r="AF82" s="89" t="e">
        <f t="shared" si="8"/>
        <v>#N/A</v>
      </c>
      <c r="AG82" s="89" t="e">
        <f t="shared" si="8"/>
        <v>#N/A</v>
      </c>
      <c r="AH82" s="89" t="e">
        <f t="shared" si="8"/>
        <v>#N/A</v>
      </c>
      <c r="AI82" s="89" t="e">
        <f t="shared" si="8"/>
        <v>#N/A</v>
      </c>
      <c r="AJ82" s="89" t="e">
        <f t="shared" si="8"/>
        <v>#N/A</v>
      </c>
      <c r="AK82" s="89" t="e">
        <f t="shared" si="8"/>
        <v>#N/A</v>
      </c>
      <c r="AL82" s="89" t="e">
        <f t="shared" si="8"/>
        <v>#N/A</v>
      </c>
      <c r="AM82" s="89" t="e">
        <f t="shared" si="8"/>
        <v>#N/A</v>
      </c>
      <c r="AN82" s="89" t="e">
        <f t="shared" si="8"/>
        <v>#N/A</v>
      </c>
      <c r="AO82" s="89" t="e">
        <f t="shared" si="8"/>
        <v>#N/A</v>
      </c>
      <c r="AP82" s="89" t="e">
        <f t="shared" si="8"/>
        <v>#N/A</v>
      </c>
      <c r="AQ82" s="89" t="e">
        <f t="shared" si="9"/>
        <v>#N/A</v>
      </c>
      <c r="AR82" s="89" t="e">
        <f t="shared" si="9"/>
        <v>#N/A</v>
      </c>
      <c r="AS82" s="89" t="e">
        <f t="shared" si="9"/>
        <v>#N/A</v>
      </c>
      <c r="AT82" s="89" t="e">
        <f t="shared" si="9"/>
        <v>#N/A</v>
      </c>
      <c r="AU82" s="89" t="e">
        <f t="shared" si="9"/>
        <v>#N/A</v>
      </c>
      <c r="AV82" s="89" t="e">
        <f t="shared" si="9"/>
        <v>#N/A</v>
      </c>
      <c r="AW82" s="89" t="e">
        <f t="shared" si="9"/>
        <v>#N/A</v>
      </c>
      <c r="AX82" s="89" t="e">
        <f t="shared" si="9"/>
        <v>#N/A</v>
      </c>
      <c r="AY82" s="89" t="e">
        <f t="shared" si="9"/>
        <v>#N/A</v>
      </c>
      <c r="AZ82" s="89" t="e">
        <f t="shared" si="9"/>
        <v>#N/A</v>
      </c>
      <c r="BA82" s="89" t="e">
        <f t="shared" si="9"/>
        <v>#N/A</v>
      </c>
      <c r="BB82" s="89" t="e">
        <f t="shared" si="9"/>
        <v>#N/A</v>
      </c>
      <c r="BC82" s="89" t="e">
        <f t="shared" si="9"/>
        <v>#N/A</v>
      </c>
      <c r="BD82" s="89" t="e">
        <f t="shared" si="9"/>
        <v>#N/A</v>
      </c>
      <c r="BE82" s="89" t="e">
        <f t="shared" si="9"/>
        <v>#N/A</v>
      </c>
      <c r="BF82" s="89" t="e">
        <f t="shared" si="9"/>
        <v>#N/A</v>
      </c>
      <c r="BG82" s="89" t="e">
        <f t="shared" si="10"/>
        <v>#N/A</v>
      </c>
      <c r="BH82" s="89" t="e">
        <f t="shared" si="10"/>
        <v>#N/A</v>
      </c>
      <c r="BI82" s="89" t="e">
        <f t="shared" si="10"/>
        <v>#N/A</v>
      </c>
      <c r="BJ82" s="89" t="e">
        <f t="shared" si="10"/>
        <v>#N/A</v>
      </c>
      <c r="BK82" s="89" t="e">
        <f t="shared" si="10"/>
        <v>#N/A</v>
      </c>
      <c r="BL82" s="89" t="e">
        <f t="shared" si="10"/>
        <v>#N/A</v>
      </c>
      <c r="BM82" s="89" t="e">
        <f t="shared" si="10"/>
        <v>#N/A</v>
      </c>
      <c r="BN82" s="89" t="e">
        <f t="shared" si="10"/>
        <v>#N/A</v>
      </c>
      <c r="BO82" s="89" t="e">
        <f t="shared" si="10"/>
        <v>#N/A</v>
      </c>
      <c r="BP82" s="89" t="e">
        <f t="shared" si="10"/>
        <v>#N/A</v>
      </c>
      <c r="BQ82" s="606" t="e">
        <f t="shared" si="10"/>
        <v>#N/A</v>
      </c>
      <c r="BR82" s="89"/>
    </row>
    <row r="83" spans="1:70" s="82" customFormat="1" ht="13.5" outlineLevel="1" thickBot="1" x14ac:dyDescent="0.35">
      <c r="B83" s="232" t="str">
        <f>F49</f>
        <v>1-2 miles</v>
      </c>
      <c r="C83" s="233" t="e">
        <f>'2. General project information'!E58</f>
        <v>#N/A</v>
      </c>
      <c r="D83" s="404">
        <f>MAX(0,F51*$C$27+F52*$C$28+F53*$C$29+IF('2. General project information'!$C$85="Local authority",$E$45,IF('2. General project information'!C85="4 mile radius",$E$44,IF('2. General project information'!C85="2 mile radius",$E$43))))</f>
        <v>0</v>
      </c>
      <c r="E83" s="404" t="e">
        <f>C83*D83/MoneyScalar</f>
        <v>#N/A</v>
      </c>
      <c r="F83" s="404" t="e">
        <f>E83-PV(0.035,9,E83)</f>
        <v>#N/A</v>
      </c>
      <c r="G83" s="404" t="e">
        <f>F83/DF_Appraisal_Period</f>
        <v>#N/A</v>
      </c>
      <c r="H83" s="447" t="e">
        <f t="shared" si="11"/>
        <v>#N/A</v>
      </c>
      <c r="I83" s="524"/>
      <c r="J83" s="447" t="e">
        <f t="shared" si="12"/>
        <v>#N/A</v>
      </c>
      <c r="K83" s="241" t="e">
        <f t="shared" si="7"/>
        <v>#N/A</v>
      </c>
      <c r="L83" s="241" t="e">
        <f t="shared" si="7"/>
        <v>#N/A</v>
      </c>
      <c r="M83" s="241" t="e">
        <f t="shared" si="7"/>
        <v>#N/A</v>
      </c>
      <c r="N83" s="241" t="e">
        <f t="shared" si="7"/>
        <v>#N/A</v>
      </c>
      <c r="O83" s="241" t="e">
        <f t="shared" si="7"/>
        <v>#N/A</v>
      </c>
      <c r="P83" s="241" t="e">
        <f t="shared" si="7"/>
        <v>#N/A</v>
      </c>
      <c r="Q83" s="241" t="e">
        <f t="shared" si="7"/>
        <v>#N/A</v>
      </c>
      <c r="R83" s="241" t="e">
        <f t="shared" si="7"/>
        <v>#N/A</v>
      </c>
      <c r="S83" s="241" t="e">
        <f t="shared" si="7"/>
        <v>#N/A</v>
      </c>
      <c r="T83" s="241" t="e">
        <f t="shared" si="7"/>
        <v>#N/A</v>
      </c>
      <c r="U83" s="241" t="e">
        <f t="shared" si="7"/>
        <v>#N/A</v>
      </c>
      <c r="V83" s="241" t="e">
        <f t="shared" si="7"/>
        <v>#N/A</v>
      </c>
      <c r="W83" s="241" t="e">
        <f t="shared" si="7"/>
        <v>#N/A</v>
      </c>
      <c r="X83" s="241" t="e">
        <f t="shared" si="7"/>
        <v>#N/A</v>
      </c>
      <c r="Y83" s="241" t="e">
        <f t="shared" si="7"/>
        <v>#N/A</v>
      </c>
      <c r="Z83" s="241" t="e">
        <f t="shared" si="7"/>
        <v>#N/A</v>
      </c>
      <c r="AA83" s="241" t="e">
        <f t="shared" si="8"/>
        <v>#N/A</v>
      </c>
      <c r="AB83" s="241" t="e">
        <f t="shared" si="8"/>
        <v>#N/A</v>
      </c>
      <c r="AC83" s="241" t="e">
        <f t="shared" si="8"/>
        <v>#N/A</v>
      </c>
      <c r="AD83" s="241" t="e">
        <f t="shared" si="8"/>
        <v>#N/A</v>
      </c>
      <c r="AE83" s="241" t="e">
        <f t="shared" si="8"/>
        <v>#N/A</v>
      </c>
      <c r="AF83" s="241" t="e">
        <f t="shared" si="8"/>
        <v>#N/A</v>
      </c>
      <c r="AG83" s="241" t="e">
        <f t="shared" si="8"/>
        <v>#N/A</v>
      </c>
      <c r="AH83" s="241" t="e">
        <f t="shared" si="8"/>
        <v>#N/A</v>
      </c>
      <c r="AI83" s="241" t="e">
        <f t="shared" si="8"/>
        <v>#N/A</v>
      </c>
      <c r="AJ83" s="241" t="e">
        <f t="shared" si="8"/>
        <v>#N/A</v>
      </c>
      <c r="AK83" s="241" t="e">
        <f t="shared" si="8"/>
        <v>#N/A</v>
      </c>
      <c r="AL83" s="241" t="e">
        <f t="shared" si="8"/>
        <v>#N/A</v>
      </c>
      <c r="AM83" s="241" t="e">
        <f t="shared" si="8"/>
        <v>#N/A</v>
      </c>
      <c r="AN83" s="241" t="e">
        <f t="shared" si="8"/>
        <v>#N/A</v>
      </c>
      <c r="AO83" s="241" t="e">
        <f t="shared" si="8"/>
        <v>#N/A</v>
      </c>
      <c r="AP83" s="241" t="e">
        <f t="shared" si="8"/>
        <v>#N/A</v>
      </c>
      <c r="AQ83" s="241" t="e">
        <f t="shared" si="9"/>
        <v>#N/A</v>
      </c>
      <c r="AR83" s="241" t="e">
        <f t="shared" si="9"/>
        <v>#N/A</v>
      </c>
      <c r="AS83" s="241" t="e">
        <f t="shared" si="9"/>
        <v>#N/A</v>
      </c>
      <c r="AT83" s="241" t="e">
        <f t="shared" si="9"/>
        <v>#N/A</v>
      </c>
      <c r="AU83" s="241" t="e">
        <f t="shared" si="9"/>
        <v>#N/A</v>
      </c>
      <c r="AV83" s="241" t="e">
        <f t="shared" si="9"/>
        <v>#N/A</v>
      </c>
      <c r="AW83" s="241" t="e">
        <f t="shared" si="9"/>
        <v>#N/A</v>
      </c>
      <c r="AX83" s="241" t="e">
        <f t="shared" si="9"/>
        <v>#N/A</v>
      </c>
      <c r="AY83" s="241" t="e">
        <f t="shared" si="9"/>
        <v>#N/A</v>
      </c>
      <c r="AZ83" s="241" t="e">
        <f t="shared" si="9"/>
        <v>#N/A</v>
      </c>
      <c r="BA83" s="241" t="e">
        <f t="shared" si="9"/>
        <v>#N/A</v>
      </c>
      <c r="BB83" s="241" t="e">
        <f t="shared" si="9"/>
        <v>#N/A</v>
      </c>
      <c r="BC83" s="241" t="e">
        <f t="shared" si="9"/>
        <v>#N/A</v>
      </c>
      <c r="BD83" s="241" t="e">
        <f t="shared" si="9"/>
        <v>#N/A</v>
      </c>
      <c r="BE83" s="241" t="e">
        <f t="shared" si="9"/>
        <v>#N/A</v>
      </c>
      <c r="BF83" s="241" t="e">
        <f t="shared" si="9"/>
        <v>#N/A</v>
      </c>
      <c r="BG83" s="241" t="e">
        <f t="shared" si="10"/>
        <v>#N/A</v>
      </c>
      <c r="BH83" s="241" t="e">
        <f t="shared" si="10"/>
        <v>#N/A</v>
      </c>
      <c r="BI83" s="241" t="e">
        <f t="shared" si="10"/>
        <v>#N/A</v>
      </c>
      <c r="BJ83" s="241" t="e">
        <f t="shared" si="10"/>
        <v>#N/A</v>
      </c>
      <c r="BK83" s="241" t="e">
        <f t="shared" si="10"/>
        <v>#N/A</v>
      </c>
      <c r="BL83" s="241" t="e">
        <f t="shared" si="10"/>
        <v>#N/A</v>
      </c>
      <c r="BM83" s="241" t="e">
        <f t="shared" si="10"/>
        <v>#N/A</v>
      </c>
      <c r="BN83" s="241" t="e">
        <f t="shared" si="10"/>
        <v>#N/A</v>
      </c>
      <c r="BO83" s="241" t="e">
        <f t="shared" si="10"/>
        <v>#N/A</v>
      </c>
      <c r="BP83" s="241" t="e">
        <f t="shared" si="10"/>
        <v>#N/A</v>
      </c>
      <c r="BQ83" s="493" t="e">
        <f t="shared" si="10"/>
        <v>#N/A</v>
      </c>
      <c r="BR83" s="89"/>
    </row>
    <row r="84" spans="1:70" s="82" customFormat="1" ht="13.5" outlineLevel="1" thickBot="1" x14ac:dyDescent="0.35">
      <c r="B84" s="117" t="str" cm="1">
        <f t="array" ref="B84">NDT</f>
        <v>Non-discounted total (£, )</v>
      </c>
      <c r="C84" s="156" t="e">
        <f>SUM(C81:C83)</f>
        <v>#N/A</v>
      </c>
      <c r="D84" s="234" t="e">
        <f>SUMPRODUCT(C81:C83,D81:D83)/C84</f>
        <v>#N/A</v>
      </c>
      <c r="E84" s="234" t="e">
        <f>SUM(E81:E83)</f>
        <v>#N/A</v>
      </c>
      <c r="F84" s="234" t="e">
        <f>SUM(F81:F83)</f>
        <v>#N/A</v>
      </c>
      <c r="G84" s="234" t="e">
        <f>SUM(G81:G83)</f>
        <v>#N/A</v>
      </c>
      <c r="H84" s="235" t="e">
        <f>SUM(J84:BQ84)</f>
        <v>#N/A</v>
      </c>
      <c r="I84" s="524"/>
      <c r="J84" s="236" t="e">
        <f>SUM(J81:J83)</f>
        <v>#N/A</v>
      </c>
      <c r="K84" s="237" t="e">
        <f t="shared" ref="K84:BQ84" si="13">SUM(K81:K83)</f>
        <v>#N/A</v>
      </c>
      <c r="L84" s="237" t="e">
        <f t="shared" si="13"/>
        <v>#N/A</v>
      </c>
      <c r="M84" s="237" t="e">
        <f t="shared" si="13"/>
        <v>#N/A</v>
      </c>
      <c r="N84" s="237" t="e">
        <f t="shared" si="13"/>
        <v>#N/A</v>
      </c>
      <c r="O84" s="237" t="e">
        <f t="shared" si="13"/>
        <v>#N/A</v>
      </c>
      <c r="P84" s="237" t="e">
        <f t="shared" si="13"/>
        <v>#N/A</v>
      </c>
      <c r="Q84" s="237" t="e">
        <f t="shared" si="13"/>
        <v>#N/A</v>
      </c>
      <c r="R84" s="237" t="e">
        <f t="shared" si="13"/>
        <v>#N/A</v>
      </c>
      <c r="S84" s="237" t="e">
        <f t="shared" si="13"/>
        <v>#N/A</v>
      </c>
      <c r="T84" s="237" t="e">
        <f t="shared" si="13"/>
        <v>#N/A</v>
      </c>
      <c r="U84" s="237" t="e">
        <f t="shared" si="13"/>
        <v>#N/A</v>
      </c>
      <c r="V84" s="237" t="e">
        <f t="shared" si="13"/>
        <v>#N/A</v>
      </c>
      <c r="W84" s="237" t="e">
        <f t="shared" si="13"/>
        <v>#N/A</v>
      </c>
      <c r="X84" s="237" t="e">
        <f t="shared" si="13"/>
        <v>#N/A</v>
      </c>
      <c r="Y84" s="237" t="e">
        <f t="shared" si="13"/>
        <v>#N/A</v>
      </c>
      <c r="Z84" s="237" t="e">
        <f t="shared" si="13"/>
        <v>#N/A</v>
      </c>
      <c r="AA84" s="237" t="e">
        <f t="shared" si="13"/>
        <v>#N/A</v>
      </c>
      <c r="AB84" s="237" t="e">
        <f t="shared" si="13"/>
        <v>#N/A</v>
      </c>
      <c r="AC84" s="237" t="e">
        <f t="shared" si="13"/>
        <v>#N/A</v>
      </c>
      <c r="AD84" s="237" t="e">
        <f t="shared" si="13"/>
        <v>#N/A</v>
      </c>
      <c r="AE84" s="237" t="e">
        <f t="shared" si="13"/>
        <v>#N/A</v>
      </c>
      <c r="AF84" s="237" t="e">
        <f t="shared" si="13"/>
        <v>#N/A</v>
      </c>
      <c r="AG84" s="237" t="e">
        <f t="shared" si="13"/>
        <v>#N/A</v>
      </c>
      <c r="AH84" s="237" t="e">
        <f t="shared" si="13"/>
        <v>#N/A</v>
      </c>
      <c r="AI84" s="237" t="e">
        <f t="shared" si="13"/>
        <v>#N/A</v>
      </c>
      <c r="AJ84" s="237" t="e">
        <f t="shared" si="13"/>
        <v>#N/A</v>
      </c>
      <c r="AK84" s="237" t="e">
        <f t="shared" si="13"/>
        <v>#N/A</v>
      </c>
      <c r="AL84" s="237" t="e">
        <f t="shared" si="13"/>
        <v>#N/A</v>
      </c>
      <c r="AM84" s="237" t="e">
        <f t="shared" si="13"/>
        <v>#N/A</v>
      </c>
      <c r="AN84" s="237" t="e">
        <f t="shared" si="13"/>
        <v>#N/A</v>
      </c>
      <c r="AO84" s="237" t="e">
        <f t="shared" si="13"/>
        <v>#N/A</v>
      </c>
      <c r="AP84" s="237" t="e">
        <f t="shared" si="13"/>
        <v>#N/A</v>
      </c>
      <c r="AQ84" s="237" t="e">
        <f t="shared" si="13"/>
        <v>#N/A</v>
      </c>
      <c r="AR84" s="237" t="e">
        <f t="shared" si="13"/>
        <v>#N/A</v>
      </c>
      <c r="AS84" s="237" t="e">
        <f t="shared" si="13"/>
        <v>#N/A</v>
      </c>
      <c r="AT84" s="237" t="e">
        <f t="shared" si="13"/>
        <v>#N/A</v>
      </c>
      <c r="AU84" s="237" t="e">
        <f t="shared" si="13"/>
        <v>#N/A</v>
      </c>
      <c r="AV84" s="237" t="e">
        <f t="shared" si="13"/>
        <v>#N/A</v>
      </c>
      <c r="AW84" s="237" t="e">
        <f t="shared" si="13"/>
        <v>#N/A</v>
      </c>
      <c r="AX84" s="237" t="e">
        <f t="shared" si="13"/>
        <v>#N/A</v>
      </c>
      <c r="AY84" s="237" t="e">
        <f t="shared" si="13"/>
        <v>#N/A</v>
      </c>
      <c r="AZ84" s="237" t="e">
        <f t="shared" si="13"/>
        <v>#N/A</v>
      </c>
      <c r="BA84" s="237" t="e">
        <f t="shared" si="13"/>
        <v>#N/A</v>
      </c>
      <c r="BB84" s="237" t="e">
        <f t="shared" si="13"/>
        <v>#N/A</v>
      </c>
      <c r="BC84" s="237" t="e">
        <f t="shared" si="13"/>
        <v>#N/A</v>
      </c>
      <c r="BD84" s="237" t="e">
        <f t="shared" si="13"/>
        <v>#N/A</v>
      </c>
      <c r="BE84" s="237" t="e">
        <f t="shared" si="13"/>
        <v>#N/A</v>
      </c>
      <c r="BF84" s="237" t="e">
        <f t="shared" si="13"/>
        <v>#N/A</v>
      </c>
      <c r="BG84" s="237" t="e">
        <f t="shared" si="13"/>
        <v>#N/A</v>
      </c>
      <c r="BH84" s="237" t="e">
        <f t="shared" si="13"/>
        <v>#N/A</v>
      </c>
      <c r="BI84" s="237" t="e">
        <f t="shared" si="13"/>
        <v>#N/A</v>
      </c>
      <c r="BJ84" s="237" t="e">
        <f t="shared" si="13"/>
        <v>#N/A</v>
      </c>
      <c r="BK84" s="237" t="e">
        <f t="shared" si="13"/>
        <v>#N/A</v>
      </c>
      <c r="BL84" s="237" t="e">
        <f t="shared" si="13"/>
        <v>#N/A</v>
      </c>
      <c r="BM84" s="237" t="e">
        <f t="shared" si="13"/>
        <v>#N/A</v>
      </c>
      <c r="BN84" s="237" t="e">
        <f t="shared" si="13"/>
        <v>#N/A</v>
      </c>
      <c r="BO84" s="237" t="e">
        <f t="shared" si="13"/>
        <v>#N/A</v>
      </c>
      <c r="BP84" s="237" t="e">
        <f t="shared" si="13"/>
        <v>#N/A</v>
      </c>
      <c r="BQ84" s="607" t="e">
        <f t="shared" si="13"/>
        <v>#N/A</v>
      </c>
      <c r="BR84" s="89"/>
    </row>
    <row r="85" spans="1:70" s="82" customFormat="1" ht="13.5" outlineLevel="1" thickBot="1" x14ac:dyDescent="0.35">
      <c r="B85" s="117" t="str" cm="1">
        <f t="array" ref="B85">DT</f>
        <v>Discounted total (£, )</v>
      </c>
      <c r="C85" s="156" t="e">
        <f>C84</f>
        <v>#N/A</v>
      </c>
      <c r="D85" s="234" t="e">
        <f>D84</f>
        <v>#N/A</v>
      </c>
      <c r="E85" s="238" t="s">
        <v>319</v>
      </c>
      <c r="F85" s="238" t="s">
        <v>319</v>
      </c>
      <c r="G85" s="234" t="e">
        <f>G84</f>
        <v>#N/A</v>
      </c>
      <c r="H85" s="235" t="e">
        <f>SUM(J85:BQ85)</f>
        <v>#N/A</v>
      </c>
      <c r="I85" s="525"/>
      <c r="J85" s="236" t="e">
        <f t="shared" ref="J85:AO85" si="14">SUM(J81:J83)*HLOOKUP(J78,DFVector,4,FALSE)</f>
        <v>#N/A</v>
      </c>
      <c r="K85" s="237" t="e">
        <f t="shared" si="14"/>
        <v>#N/A</v>
      </c>
      <c r="L85" s="237" t="e">
        <f t="shared" si="14"/>
        <v>#N/A</v>
      </c>
      <c r="M85" s="237" t="e">
        <f t="shared" si="14"/>
        <v>#N/A</v>
      </c>
      <c r="N85" s="237" t="e">
        <f t="shared" si="14"/>
        <v>#N/A</v>
      </c>
      <c r="O85" s="237" t="e">
        <f t="shared" si="14"/>
        <v>#N/A</v>
      </c>
      <c r="P85" s="237" t="e">
        <f t="shared" si="14"/>
        <v>#N/A</v>
      </c>
      <c r="Q85" s="237" t="e">
        <f t="shared" si="14"/>
        <v>#N/A</v>
      </c>
      <c r="R85" s="237" t="e">
        <f t="shared" si="14"/>
        <v>#N/A</v>
      </c>
      <c r="S85" s="237" t="e">
        <f t="shared" si="14"/>
        <v>#N/A</v>
      </c>
      <c r="T85" s="237" t="e">
        <f t="shared" si="14"/>
        <v>#N/A</v>
      </c>
      <c r="U85" s="237" t="e">
        <f t="shared" si="14"/>
        <v>#N/A</v>
      </c>
      <c r="V85" s="237" t="e">
        <f t="shared" si="14"/>
        <v>#N/A</v>
      </c>
      <c r="W85" s="237" t="e">
        <f t="shared" si="14"/>
        <v>#N/A</v>
      </c>
      <c r="X85" s="237" t="e">
        <f t="shared" si="14"/>
        <v>#N/A</v>
      </c>
      <c r="Y85" s="237" t="e">
        <f t="shared" si="14"/>
        <v>#N/A</v>
      </c>
      <c r="Z85" s="237" t="e">
        <f t="shared" si="14"/>
        <v>#N/A</v>
      </c>
      <c r="AA85" s="237" t="e">
        <f t="shared" si="14"/>
        <v>#N/A</v>
      </c>
      <c r="AB85" s="237" t="e">
        <f t="shared" si="14"/>
        <v>#N/A</v>
      </c>
      <c r="AC85" s="237" t="e">
        <f t="shared" si="14"/>
        <v>#N/A</v>
      </c>
      <c r="AD85" s="237" t="e">
        <f t="shared" si="14"/>
        <v>#N/A</v>
      </c>
      <c r="AE85" s="237" t="e">
        <f t="shared" si="14"/>
        <v>#N/A</v>
      </c>
      <c r="AF85" s="237" t="e">
        <f t="shared" si="14"/>
        <v>#N/A</v>
      </c>
      <c r="AG85" s="237" t="e">
        <f t="shared" si="14"/>
        <v>#N/A</v>
      </c>
      <c r="AH85" s="237" t="e">
        <f t="shared" si="14"/>
        <v>#N/A</v>
      </c>
      <c r="AI85" s="237" t="e">
        <f t="shared" si="14"/>
        <v>#N/A</v>
      </c>
      <c r="AJ85" s="237" t="e">
        <f t="shared" si="14"/>
        <v>#N/A</v>
      </c>
      <c r="AK85" s="237" t="e">
        <f t="shared" si="14"/>
        <v>#N/A</v>
      </c>
      <c r="AL85" s="237" t="e">
        <f t="shared" si="14"/>
        <v>#N/A</v>
      </c>
      <c r="AM85" s="237" t="e">
        <f t="shared" si="14"/>
        <v>#N/A</v>
      </c>
      <c r="AN85" s="237" t="e">
        <f t="shared" si="14"/>
        <v>#N/A</v>
      </c>
      <c r="AO85" s="237" t="e">
        <f t="shared" si="14"/>
        <v>#N/A</v>
      </c>
      <c r="AP85" s="237" t="e">
        <f t="shared" ref="AP85:BQ85" si="15">SUM(AP81:AP83)*HLOOKUP(AP78,DFVector,4,FALSE)</f>
        <v>#N/A</v>
      </c>
      <c r="AQ85" s="237" t="e">
        <f t="shared" si="15"/>
        <v>#N/A</v>
      </c>
      <c r="AR85" s="237" t="e">
        <f t="shared" si="15"/>
        <v>#N/A</v>
      </c>
      <c r="AS85" s="237" t="e">
        <f t="shared" si="15"/>
        <v>#N/A</v>
      </c>
      <c r="AT85" s="237" t="e">
        <f t="shared" si="15"/>
        <v>#N/A</v>
      </c>
      <c r="AU85" s="237" t="e">
        <f t="shared" si="15"/>
        <v>#N/A</v>
      </c>
      <c r="AV85" s="237" t="e">
        <f t="shared" si="15"/>
        <v>#N/A</v>
      </c>
      <c r="AW85" s="237" t="e">
        <f t="shared" si="15"/>
        <v>#N/A</v>
      </c>
      <c r="AX85" s="237" t="e">
        <f t="shared" si="15"/>
        <v>#N/A</v>
      </c>
      <c r="AY85" s="237" t="e">
        <f t="shared" si="15"/>
        <v>#N/A</v>
      </c>
      <c r="AZ85" s="237" t="e">
        <f t="shared" si="15"/>
        <v>#N/A</v>
      </c>
      <c r="BA85" s="237" t="e">
        <f t="shared" si="15"/>
        <v>#N/A</v>
      </c>
      <c r="BB85" s="237" t="e">
        <f t="shared" si="15"/>
        <v>#N/A</v>
      </c>
      <c r="BC85" s="237" t="e">
        <f t="shared" si="15"/>
        <v>#N/A</v>
      </c>
      <c r="BD85" s="237" t="e">
        <f t="shared" si="15"/>
        <v>#N/A</v>
      </c>
      <c r="BE85" s="237" t="e">
        <f t="shared" si="15"/>
        <v>#N/A</v>
      </c>
      <c r="BF85" s="237" t="e">
        <f t="shared" si="15"/>
        <v>#N/A</v>
      </c>
      <c r="BG85" s="237" t="e">
        <f t="shared" si="15"/>
        <v>#N/A</v>
      </c>
      <c r="BH85" s="237" t="e">
        <f t="shared" si="15"/>
        <v>#N/A</v>
      </c>
      <c r="BI85" s="237" t="e">
        <f t="shared" si="15"/>
        <v>#N/A</v>
      </c>
      <c r="BJ85" s="237" t="e">
        <f t="shared" si="15"/>
        <v>#N/A</v>
      </c>
      <c r="BK85" s="237" t="e">
        <f t="shared" si="15"/>
        <v>#N/A</v>
      </c>
      <c r="BL85" s="237" t="e">
        <f t="shared" si="15"/>
        <v>#N/A</v>
      </c>
      <c r="BM85" s="237" t="e">
        <f t="shared" si="15"/>
        <v>#N/A</v>
      </c>
      <c r="BN85" s="237" t="e">
        <f t="shared" si="15"/>
        <v>#N/A</v>
      </c>
      <c r="BO85" s="237" t="e">
        <f t="shared" si="15"/>
        <v>#N/A</v>
      </c>
      <c r="BP85" s="237" t="e">
        <f t="shared" si="15"/>
        <v>#N/A</v>
      </c>
      <c r="BQ85" s="607" t="e">
        <f t="shared" si="15"/>
        <v>#N/A</v>
      </c>
      <c r="BR85" s="89"/>
    </row>
    <row r="86" spans="1:70" x14ac:dyDescent="0.35">
      <c r="A86" s="82"/>
      <c r="B86" s="114" t="str">
        <f>Expand</f>
        <v>Press the plus/minus to the left to expand/minimise this section</v>
      </c>
      <c r="C86" s="112"/>
      <c r="D86" s="112"/>
      <c r="E86" s="239"/>
      <c r="F86" s="239"/>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R86" s="89"/>
    </row>
    <row r="87" spans="1:70" x14ac:dyDescent="0.35">
      <c r="H87" s="170"/>
      <c r="I87" s="170"/>
    </row>
    <row r="88" spans="1:70" ht="16" thickBot="1" x14ac:dyDescent="0.4">
      <c r="A88" s="82"/>
      <c r="B88" s="138" t="s">
        <v>320</v>
      </c>
      <c r="C88" s="110"/>
      <c r="D88" s="111"/>
      <c r="E88" s="111"/>
      <c r="F88" s="111"/>
      <c r="G88" s="111"/>
      <c r="H88" s="111"/>
      <c r="I88" s="111"/>
      <c r="J88" s="111"/>
      <c r="K88" s="111"/>
      <c r="L88" s="111"/>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row>
    <row r="89" spans="1:70" s="82" customFormat="1" ht="15" customHeight="1" outlineLevel="1" thickBot="1" x14ac:dyDescent="0.35">
      <c r="C89" s="225"/>
      <c r="E89" s="121"/>
      <c r="F89" s="12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row>
    <row r="90" spans="1:70" s="82" customFormat="1" ht="15" customHeight="1" outlineLevel="1" x14ac:dyDescent="0.3">
      <c r="C90" s="225"/>
      <c r="D90" s="675" t="s">
        <v>314</v>
      </c>
      <c r="E90" s="678" t="str" cm="1">
        <f t="array" ref="E90">TAV</f>
        <v>Total annual value (£, )</v>
      </c>
      <c r="F90" s="678" t="str">
        <f>_xlfn.CONCAT("PV for 10 years (£, ",MoneyScalarName,")")</f>
        <v>PV for 10 years (£, )</v>
      </c>
      <c r="G90" s="678" t="str">
        <f>_xlfn.CONCAT("Annual value using amortised benefits (£/yr, ",MoneyScalarName,")")</f>
        <v>Annual value using amortised benefits (£/yr, )</v>
      </c>
      <c r="H90" s="681" t="str">
        <f>_xlfn.CONCAT("Total value using amortised benefits (£, ",MoneyScalarName,")")</f>
        <v>Total value using amortised benefits (£, )</v>
      </c>
      <c r="I90" s="505" t="s">
        <v>315</v>
      </c>
      <c r="J90" s="521">
        <v>0</v>
      </c>
      <c r="K90" s="521">
        <v>1</v>
      </c>
      <c r="L90" s="521">
        <v>2</v>
      </c>
      <c r="M90" s="521">
        <v>3</v>
      </c>
      <c r="N90" s="521">
        <v>4</v>
      </c>
      <c r="O90" s="521">
        <v>5</v>
      </c>
      <c r="P90" s="521">
        <v>6</v>
      </c>
      <c r="Q90" s="521">
        <v>7</v>
      </c>
      <c r="R90" s="521">
        <v>8</v>
      </c>
      <c r="S90" s="521">
        <v>9</v>
      </c>
      <c r="T90" s="521">
        <v>10</v>
      </c>
      <c r="U90" s="521">
        <v>11</v>
      </c>
      <c r="V90" s="521">
        <v>12</v>
      </c>
      <c r="W90" s="521">
        <v>13</v>
      </c>
      <c r="X90" s="521">
        <v>14</v>
      </c>
      <c r="Y90" s="521">
        <v>15</v>
      </c>
      <c r="Z90" s="521">
        <v>16</v>
      </c>
      <c r="AA90" s="521">
        <v>17</v>
      </c>
      <c r="AB90" s="521">
        <v>18</v>
      </c>
      <c r="AC90" s="521">
        <v>19</v>
      </c>
      <c r="AD90" s="521">
        <v>20</v>
      </c>
      <c r="AE90" s="521">
        <v>21</v>
      </c>
      <c r="AF90" s="521">
        <v>22</v>
      </c>
      <c r="AG90" s="521">
        <v>23</v>
      </c>
      <c r="AH90" s="521">
        <v>24</v>
      </c>
      <c r="AI90" s="521">
        <v>25</v>
      </c>
      <c r="AJ90" s="521">
        <v>26</v>
      </c>
      <c r="AK90" s="521">
        <v>27</v>
      </c>
      <c r="AL90" s="521">
        <v>28</v>
      </c>
      <c r="AM90" s="521">
        <v>29</v>
      </c>
      <c r="AN90" s="521">
        <v>30</v>
      </c>
      <c r="AO90" s="521">
        <v>31</v>
      </c>
      <c r="AP90" s="521">
        <v>32</v>
      </c>
      <c r="AQ90" s="521">
        <v>33</v>
      </c>
      <c r="AR90" s="521">
        <v>34</v>
      </c>
      <c r="AS90" s="521">
        <v>35</v>
      </c>
      <c r="AT90" s="521">
        <v>36</v>
      </c>
      <c r="AU90" s="521">
        <v>37</v>
      </c>
      <c r="AV90" s="521">
        <v>38</v>
      </c>
      <c r="AW90" s="521">
        <v>39</v>
      </c>
      <c r="AX90" s="521">
        <v>40</v>
      </c>
      <c r="AY90" s="521">
        <v>41</v>
      </c>
      <c r="AZ90" s="521">
        <v>42</v>
      </c>
      <c r="BA90" s="521">
        <v>43</v>
      </c>
      <c r="BB90" s="521">
        <v>44</v>
      </c>
      <c r="BC90" s="521">
        <v>45</v>
      </c>
      <c r="BD90" s="521">
        <v>46</v>
      </c>
      <c r="BE90" s="521">
        <v>47</v>
      </c>
      <c r="BF90" s="521">
        <v>48</v>
      </c>
      <c r="BG90" s="521">
        <v>49</v>
      </c>
      <c r="BH90" s="521">
        <v>50</v>
      </c>
      <c r="BI90" s="521">
        <v>51</v>
      </c>
      <c r="BJ90" s="521">
        <v>52</v>
      </c>
      <c r="BK90" s="521">
        <v>53</v>
      </c>
      <c r="BL90" s="521">
        <v>54</v>
      </c>
      <c r="BM90" s="521">
        <v>55</v>
      </c>
      <c r="BN90" s="521">
        <v>56</v>
      </c>
      <c r="BO90" s="521">
        <v>57</v>
      </c>
      <c r="BP90" s="521">
        <v>58</v>
      </c>
      <c r="BQ90" s="522">
        <v>59</v>
      </c>
    </row>
    <row r="91" spans="1:70" s="82" customFormat="1" ht="15" customHeight="1" outlineLevel="1" x14ac:dyDescent="0.3">
      <c r="D91" s="676"/>
      <c r="E91" s="679"/>
      <c r="F91" s="679"/>
      <c r="G91" s="679"/>
      <c r="H91" s="682"/>
      <c r="I91" s="506" t="s">
        <v>316</v>
      </c>
      <c r="J91" s="226" cm="1">
        <f t="array" ref="J91:BQ91">FinancialYearRange60</f>
        <v>0</v>
      </c>
      <c r="K91" s="226" t="e">
        <v>#N/A</v>
      </c>
      <c r="L91" s="226" t="e">
        <v>#N/A</v>
      </c>
      <c r="M91" s="226" t="e">
        <v>#N/A</v>
      </c>
      <c r="N91" s="226" t="e">
        <v>#N/A</v>
      </c>
      <c r="O91" s="226" t="e">
        <v>#N/A</v>
      </c>
      <c r="P91" s="226" t="e">
        <v>#N/A</v>
      </c>
      <c r="Q91" s="226" t="e">
        <v>#N/A</v>
      </c>
      <c r="R91" s="226" t="e">
        <v>#N/A</v>
      </c>
      <c r="S91" s="226" t="e">
        <v>#N/A</v>
      </c>
      <c r="T91" s="226" t="e">
        <v>#N/A</v>
      </c>
      <c r="U91" s="226" t="e">
        <v>#N/A</v>
      </c>
      <c r="V91" s="226" t="e">
        <v>#N/A</v>
      </c>
      <c r="W91" s="226" t="e">
        <v>#N/A</v>
      </c>
      <c r="X91" s="226" t="e">
        <v>#N/A</v>
      </c>
      <c r="Y91" s="226" t="e">
        <v>#N/A</v>
      </c>
      <c r="Z91" s="226" t="e">
        <v>#N/A</v>
      </c>
      <c r="AA91" s="226" t="e">
        <v>#N/A</v>
      </c>
      <c r="AB91" s="226" t="e">
        <v>#N/A</v>
      </c>
      <c r="AC91" s="226" t="e">
        <v>#N/A</v>
      </c>
      <c r="AD91" s="226" t="e">
        <v>#N/A</v>
      </c>
      <c r="AE91" s="226" t="e">
        <v>#N/A</v>
      </c>
      <c r="AF91" s="226" t="e">
        <v>#N/A</v>
      </c>
      <c r="AG91" s="226" t="e">
        <v>#N/A</v>
      </c>
      <c r="AH91" s="226" t="e">
        <v>#N/A</v>
      </c>
      <c r="AI91" s="226" t="e">
        <v>#N/A</v>
      </c>
      <c r="AJ91" s="226" t="e">
        <v>#N/A</v>
      </c>
      <c r="AK91" s="226" t="e">
        <v>#N/A</v>
      </c>
      <c r="AL91" s="226" t="e">
        <v>#N/A</v>
      </c>
      <c r="AM91" s="226" t="e">
        <v>#N/A</v>
      </c>
      <c r="AN91" s="226" t="e">
        <v>#N/A</v>
      </c>
      <c r="AO91" s="226" t="e">
        <v>#N/A</v>
      </c>
      <c r="AP91" s="226" t="e">
        <v>#N/A</v>
      </c>
      <c r="AQ91" s="226" t="e">
        <v>#N/A</v>
      </c>
      <c r="AR91" s="226" t="e">
        <v>#N/A</v>
      </c>
      <c r="AS91" s="226" t="e">
        <v>#N/A</v>
      </c>
      <c r="AT91" s="226" t="e">
        <v>#N/A</v>
      </c>
      <c r="AU91" s="226" t="e">
        <v>#N/A</v>
      </c>
      <c r="AV91" s="226" t="e">
        <v>#N/A</v>
      </c>
      <c r="AW91" s="226" t="e">
        <v>#N/A</v>
      </c>
      <c r="AX91" s="226" t="e">
        <v>#N/A</v>
      </c>
      <c r="AY91" s="226" t="e">
        <v>#N/A</v>
      </c>
      <c r="AZ91" s="226" t="e">
        <v>#N/A</v>
      </c>
      <c r="BA91" s="226" t="e">
        <v>#N/A</v>
      </c>
      <c r="BB91" s="226" t="e">
        <v>#N/A</v>
      </c>
      <c r="BC91" s="226" t="e">
        <v>#N/A</v>
      </c>
      <c r="BD91" s="226" t="e">
        <v>#N/A</v>
      </c>
      <c r="BE91" s="226" t="e">
        <v>#N/A</v>
      </c>
      <c r="BF91" s="226" t="e">
        <v>#N/A</v>
      </c>
      <c r="BG91" s="226" t="e">
        <v>#N/A</v>
      </c>
      <c r="BH91" s="226" t="e">
        <v>#N/A</v>
      </c>
      <c r="BI91" s="226" t="e">
        <v>#N/A</v>
      </c>
      <c r="BJ91" s="226" t="e">
        <v>#N/A</v>
      </c>
      <c r="BK91" s="226" t="e">
        <v>#N/A</v>
      </c>
      <c r="BL91" s="226" t="e">
        <v>#N/A</v>
      </c>
      <c r="BM91" s="226" t="e">
        <v>#N/A</v>
      </c>
      <c r="BN91" s="226" t="e">
        <v>#N/A</v>
      </c>
      <c r="BO91" s="226" t="e">
        <v>#N/A</v>
      </c>
      <c r="BP91" s="226" t="e">
        <v>#N/A</v>
      </c>
      <c r="BQ91" s="501" t="e">
        <v>#N/A</v>
      </c>
      <c r="BR91" s="496"/>
    </row>
    <row r="92" spans="1:70" s="82" customFormat="1" ht="15" customHeight="1" outlineLevel="1" x14ac:dyDescent="0.3">
      <c r="B92" s="81"/>
      <c r="C92" s="225"/>
      <c r="D92" s="676"/>
      <c r="E92" s="679"/>
      <c r="F92" s="679"/>
      <c r="G92" s="679"/>
      <c r="H92" s="682"/>
      <c r="I92" s="506" t="s">
        <v>317</v>
      </c>
      <c r="J92" s="504">
        <f>'6.6 - Lists and lookups'!C$78</f>
        <v>0</v>
      </c>
      <c r="K92" s="504">
        <f>'6.6 - Lists and lookups'!D$78</f>
        <v>0</v>
      </c>
      <c r="L92" s="504">
        <f>'6.6 - Lists and lookups'!E$78</f>
        <v>0</v>
      </c>
      <c r="M92" s="504">
        <f>'6.6 - Lists and lookups'!F$78</f>
        <v>0</v>
      </c>
      <c r="N92" s="504">
        <f>'6.6 - Lists and lookups'!G$78</f>
        <v>0</v>
      </c>
      <c r="O92" s="504">
        <f>'6.6 - Lists and lookups'!H$78</f>
        <v>0</v>
      </c>
      <c r="P92" s="504">
        <f>'6.6 - Lists and lookups'!I$78</f>
        <v>0</v>
      </c>
      <c r="Q92" s="504">
        <f>'6.6 - Lists and lookups'!J$78</f>
        <v>0</v>
      </c>
      <c r="R92" s="504">
        <f>'6.6 - Lists and lookups'!K$78</f>
        <v>0</v>
      </c>
      <c r="S92" s="504">
        <f>'6.6 - Lists and lookups'!L$78</f>
        <v>0</v>
      </c>
      <c r="T92" s="504">
        <f>'6.6 - Lists and lookups'!M$78</f>
        <v>0</v>
      </c>
      <c r="U92" s="504">
        <f>'6.6 - Lists and lookups'!N$78</f>
        <v>0</v>
      </c>
      <c r="V92" s="504">
        <f>'6.6 - Lists and lookups'!O$78</f>
        <v>0</v>
      </c>
      <c r="W92" s="504">
        <f>'6.6 - Lists and lookups'!P$78</f>
        <v>0</v>
      </c>
      <c r="X92" s="504">
        <f>'6.6 - Lists and lookups'!Q$78</f>
        <v>0</v>
      </c>
      <c r="Y92" s="504">
        <f>'6.6 - Lists and lookups'!R$78</f>
        <v>0</v>
      </c>
      <c r="Z92" s="504">
        <f>'6.6 - Lists and lookups'!S$78</f>
        <v>0</v>
      </c>
      <c r="AA92" s="504">
        <f>'6.6 - Lists and lookups'!T$78</f>
        <v>0</v>
      </c>
      <c r="AB92" s="504">
        <f>'6.6 - Lists and lookups'!U$78</f>
        <v>0</v>
      </c>
      <c r="AC92" s="504">
        <f>'6.6 - Lists and lookups'!V$78</f>
        <v>0</v>
      </c>
      <c r="AD92" s="504">
        <f>'6.6 - Lists and lookups'!W$78</f>
        <v>0</v>
      </c>
      <c r="AE92" s="504">
        <f>'6.6 - Lists and lookups'!X$78</f>
        <v>0</v>
      </c>
      <c r="AF92" s="504">
        <f>'6.6 - Lists and lookups'!Y$78</f>
        <v>0</v>
      </c>
      <c r="AG92" s="504">
        <f>'6.6 - Lists and lookups'!Z$78</f>
        <v>0</v>
      </c>
      <c r="AH92" s="504">
        <f>'6.6 - Lists and lookups'!AA$78</f>
        <v>0</v>
      </c>
      <c r="AI92" s="504">
        <f>'6.6 - Lists and lookups'!AB$78</f>
        <v>0</v>
      </c>
      <c r="AJ92" s="504">
        <f>'6.6 - Lists and lookups'!AC$78</f>
        <v>0</v>
      </c>
      <c r="AK92" s="504">
        <f>'6.6 - Lists and lookups'!AD$78</f>
        <v>0</v>
      </c>
      <c r="AL92" s="504">
        <f>'6.6 - Lists and lookups'!AE$78</f>
        <v>0</v>
      </c>
      <c r="AM92" s="504">
        <f>'6.6 - Lists and lookups'!AF$78</f>
        <v>0</v>
      </c>
      <c r="AN92" s="504">
        <f>'6.6 - Lists and lookups'!AG$78</f>
        <v>0</v>
      </c>
      <c r="AO92" s="504">
        <f>'6.6 - Lists and lookups'!AH$78</f>
        <v>0</v>
      </c>
      <c r="AP92" s="504">
        <f>'6.6 - Lists and lookups'!AI$78</f>
        <v>0</v>
      </c>
      <c r="AQ92" s="504">
        <f>'6.6 - Lists and lookups'!AJ$78</f>
        <v>0</v>
      </c>
      <c r="AR92" s="504">
        <f>'6.6 - Lists and lookups'!AK$78</f>
        <v>0</v>
      </c>
      <c r="AS92" s="504">
        <f>'6.6 - Lists and lookups'!AL$78</f>
        <v>0</v>
      </c>
      <c r="AT92" s="504">
        <f>'6.6 - Lists and lookups'!AM$78</f>
        <v>0</v>
      </c>
      <c r="AU92" s="504">
        <f>'6.6 - Lists and lookups'!AN$78</f>
        <v>0</v>
      </c>
      <c r="AV92" s="504">
        <f>'6.6 - Lists and lookups'!AO$78</f>
        <v>0</v>
      </c>
      <c r="AW92" s="504">
        <f>'6.6 - Lists and lookups'!AP$78</f>
        <v>0</v>
      </c>
      <c r="AX92" s="504">
        <f>'6.6 - Lists and lookups'!AQ$78</f>
        <v>0</v>
      </c>
      <c r="AY92" s="504">
        <f>'6.6 - Lists and lookups'!AR$78</f>
        <v>0</v>
      </c>
      <c r="AZ92" s="504">
        <f>'6.6 - Lists and lookups'!AS$78</f>
        <v>0</v>
      </c>
      <c r="BA92" s="504">
        <f>'6.6 - Lists and lookups'!AT$78</f>
        <v>0</v>
      </c>
      <c r="BB92" s="504">
        <f>'6.6 - Lists and lookups'!AU$78</f>
        <v>0</v>
      </c>
      <c r="BC92" s="504">
        <f>'6.6 - Lists and lookups'!AV$78</f>
        <v>0</v>
      </c>
      <c r="BD92" s="504">
        <f>'6.6 - Lists and lookups'!AW$78</f>
        <v>0</v>
      </c>
      <c r="BE92" s="504">
        <f>'6.6 - Lists and lookups'!AX$78</f>
        <v>0</v>
      </c>
      <c r="BF92" s="504">
        <f>'6.6 - Lists and lookups'!AY$78</f>
        <v>0</v>
      </c>
      <c r="BG92" s="504">
        <f>'6.6 - Lists and lookups'!AZ$78</f>
        <v>0</v>
      </c>
      <c r="BH92" s="504">
        <f>'6.6 - Lists and lookups'!BA$78</f>
        <v>0</v>
      </c>
      <c r="BI92" s="504">
        <f>'6.6 - Lists and lookups'!BB$78</f>
        <v>0</v>
      </c>
      <c r="BJ92" s="504">
        <f>'6.6 - Lists and lookups'!BC$78</f>
        <v>0</v>
      </c>
      <c r="BK92" s="504">
        <f>'6.6 - Lists and lookups'!BD$78</f>
        <v>0</v>
      </c>
      <c r="BL92" s="504">
        <f>'6.6 - Lists and lookups'!BE$78</f>
        <v>0</v>
      </c>
      <c r="BM92" s="504">
        <f>'6.6 - Lists and lookups'!BF$78</f>
        <v>0</v>
      </c>
      <c r="BN92" s="504">
        <f>'6.6 - Lists and lookups'!BG$78</f>
        <v>0</v>
      </c>
      <c r="BO92" s="504">
        <f>'6.6 - Lists and lookups'!BH$78</f>
        <v>0</v>
      </c>
      <c r="BP92" s="504">
        <f>'6.6 - Lists and lookups'!BI$78</f>
        <v>0</v>
      </c>
      <c r="BQ92" s="507">
        <f>'6.6 - Lists and lookups'!BJ$78</f>
        <v>0</v>
      </c>
      <c r="BR92" s="226"/>
    </row>
    <row r="93" spans="1:70" s="82" customFormat="1" ht="15" customHeight="1" outlineLevel="1" thickBot="1" x14ac:dyDescent="0.35">
      <c r="B93" s="81" t="s">
        <v>303</v>
      </c>
      <c r="C93" s="225" t="s">
        <v>101</v>
      </c>
      <c r="D93" s="677"/>
      <c r="E93" s="680"/>
      <c r="F93" s="680"/>
      <c r="G93" s="680"/>
      <c r="H93" s="683"/>
      <c r="I93" s="520" t="s">
        <v>318</v>
      </c>
      <c r="J93" s="502">
        <f>J$80</f>
        <v>0</v>
      </c>
      <c r="K93" s="502">
        <f t="shared" ref="K93:BQ93" si="16">K$80</f>
        <v>0</v>
      </c>
      <c r="L93" s="502">
        <f t="shared" si="16"/>
        <v>0</v>
      </c>
      <c r="M93" s="502">
        <f t="shared" si="16"/>
        <v>0</v>
      </c>
      <c r="N93" s="502">
        <f t="shared" si="16"/>
        <v>0</v>
      </c>
      <c r="O93" s="502">
        <f t="shared" si="16"/>
        <v>0</v>
      </c>
      <c r="P93" s="502">
        <f t="shared" si="16"/>
        <v>0</v>
      </c>
      <c r="Q93" s="502">
        <f t="shared" si="16"/>
        <v>0</v>
      </c>
      <c r="R93" s="502">
        <f t="shared" si="16"/>
        <v>0</v>
      </c>
      <c r="S93" s="502">
        <f t="shared" si="16"/>
        <v>0</v>
      </c>
      <c r="T93" s="502">
        <f t="shared" si="16"/>
        <v>0</v>
      </c>
      <c r="U93" s="502">
        <f t="shared" si="16"/>
        <v>0</v>
      </c>
      <c r="V93" s="502">
        <f t="shared" si="16"/>
        <v>0</v>
      </c>
      <c r="W93" s="502">
        <f t="shared" si="16"/>
        <v>0</v>
      </c>
      <c r="X93" s="502">
        <f t="shared" si="16"/>
        <v>0</v>
      </c>
      <c r="Y93" s="502">
        <f t="shared" si="16"/>
        <v>0</v>
      </c>
      <c r="Z93" s="502">
        <f t="shared" si="16"/>
        <v>0</v>
      </c>
      <c r="AA93" s="502">
        <f t="shared" si="16"/>
        <v>0</v>
      </c>
      <c r="AB93" s="502">
        <f t="shared" si="16"/>
        <v>0</v>
      </c>
      <c r="AC93" s="502">
        <f t="shared" si="16"/>
        <v>0</v>
      </c>
      <c r="AD93" s="502">
        <f t="shared" si="16"/>
        <v>0</v>
      </c>
      <c r="AE93" s="502">
        <f t="shared" si="16"/>
        <v>0</v>
      </c>
      <c r="AF93" s="502">
        <f t="shared" si="16"/>
        <v>0</v>
      </c>
      <c r="AG93" s="502">
        <f t="shared" si="16"/>
        <v>0</v>
      </c>
      <c r="AH93" s="502">
        <f t="shared" si="16"/>
        <v>0</v>
      </c>
      <c r="AI93" s="502">
        <f t="shared" si="16"/>
        <v>0</v>
      </c>
      <c r="AJ93" s="502">
        <f t="shared" si="16"/>
        <v>0</v>
      </c>
      <c r="AK93" s="502">
        <f t="shared" si="16"/>
        <v>0</v>
      </c>
      <c r="AL93" s="502">
        <f t="shared" si="16"/>
        <v>0</v>
      </c>
      <c r="AM93" s="502">
        <f t="shared" si="16"/>
        <v>0</v>
      </c>
      <c r="AN93" s="502">
        <f t="shared" si="16"/>
        <v>0</v>
      </c>
      <c r="AO93" s="502">
        <f t="shared" si="16"/>
        <v>0</v>
      </c>
      <c r="AP93" s="502">
        <f t="shared" si="16"/>
        <v>0</v>
      </c>
      <c r="AQ93" s="502">
        <f t="shared" si="16"/>
        <v>0</v>
      </c>
      <c r="AR93" s="502">
        <f t="shared" si="16"/>
        <v>0</v>
      </c>
      <c r="AS93" s="502">
        <f t="shared" si="16"/>
        <v>0</v>
      </c>
      <c r="AT93" s="502">
        <f t="shared" si="16"/>
        <v>0</v>
      </c>
      <c r="AU93" s="502">
        <f t="shared" si="16"/>
        <v>0</v>
      </c>
      <c r="AV93" s="502">
        <f t="shared" si="16"/>
        <v>0</v>
      </c>
      <c r="AW93" s="502">
        <f t="shared" si="16"/>
        <v>0</v>
      </c>
      <c r="AX93" s="502">
        <f t="shared" si="16"/>
        <v>0</v>
      </c>
      <c r="AY93" s="502">
        <f t="shared" si="16"/>
        <v>0</v>
      </c>
      <c r="AZ93" s="502">
        <f t="shared" si="16"/>
        <v>0</v>
      </c>
      <c r="BA93" s="502">
        <f t="shared" si="16"/>
        <v>0</v>
      </c>
      <c r="BB93" s="502">
        <f t="shared" si="16"/>
        <v>0</v>
      </c>
      <c r="BC93" s="502">
        <f t="shared" si="16"/>
        <v>0</v>
      </c>
      <c r="BD93" s="502">
        <f t="shared" si="16"/>
        <v>0</v>
      </c>
      <c r="BE93" s="502">
        <f t="shared" si="16"/>
        <v>0</v>
      </c>
      <c r="BF93" s="502">
        <f t="shared" si="16"/>
        <v>0</v>
      </c>
      <c r="BG93" s="502">
        <f t="shared" si="16"/>
        <v>0</v>
      </c>
      <c r="BH93" s="502">
        <f t="shared" si="16"/>
        <v>0</v>
      </c>
      <c r="BI93" s="502">
        <f t="shared" si="16"/>
        <v>0</v>
      </c>
      <c r="BJ93" s="502">
        <f t="shared" si="16"/>
        <v>0</v>
      </c>
      <c r="BK93" s="502">
        <f t="shared" si="16"/>
        <v>0</v>
      </c>
      <c r="BL93" s="502">
        <f t="shared" si="16"/>
        <v>0</v>
      </c>
      <c r="BM93" s="502">
        <f t="shared" si="16"/>
        <v>0</v>
      </c>
      <c r="BN93" s="502">
        <f t="shared" si="16"/>
        <v>0</v>
      </c>
      <c r="BO93" s="502">
        <f t="shared" si="16"/>
        <v>0</v>
      </c>
      <c r="BP93" s="502">
        <f t="shared" si="16"/>
        <v>0</v>
      </c>
      <c r="BQ93" s="503">
        <f t="shared" si="16"/>
        <v>0</v>
      </c>
      <c r="BR93" s="227"/>
    </row>
    <row r="94" spans="1:70" s="82" customFormat="1" ht="13" outlineLevel="1" x14ac:dyDescent="0.3">
      <c r="B94" s="161" t="str">
        <f>D49</f>
        <v>0-0.5 miles</v>
      </c>
      <c r="C94" s="228" t="e">
        <f>'2. General project information'!C58</f>
        <v>#N/A</v>
      </c>
      <c r="D94" s="401">
        <f>MAX(0,$D$60*$C$27+$D$61*$C$28+$D$62*$C$29+IF('2. General project information'!$C$85="Local authority",$F$45,IF('2. General project information'!$C$85="4 mile radius",$F$44,IF('2. General project information'!$C$85="2 mile radius",$F$43))))</f>
        <v>0</v>
      </c>
      <c r="E94" s="401" t="e">
        <f>C94*D94/MoneyScalar</f>
        <v>#N/A</v>
      </c>
      <c r="F94" s="401" t="e">
        <f>E94-PV(0.035,9,E94)</f>
        <v>#N/A</v>
      </c>
      <c r="G94" s="401" t="e">
        <f>F94/DF_Appraisal_Period</f>
        <v>#N/A</v>
      </c>
      <c r="H94" s="445" t="e">
        <f>SUM(J94:BQ94)</f>
        <v>#N/A</v>
      </c>
      <c r="I94" s="523"/>
      <c r="J94" s="445" t="e">
        <f>$G94*J$80*J$92</f>
        <v>#N/A</v>
      </c>
      <c r="K94" s="240" t="e">
        <f t="shared" ref="K94:Z96" si="17">$G94*K$80*K$92</f>
        <v>#N/A</v>
      </c>
      <c r="L94" s="240" t="e">
        <f t="shared" si="17"/>
        <v>#N/A</v>
      </c>
      <c r="M94" s="240" t="e">
        <f t="shared" si="17"/>
        <v>#N/A</v>
      </c>
      <c r="N94" s="240" t="e">
        <f t="shared" si="17"/>
        <v>#N/A</v>
      </c>
      <c r="O94" s="240" t="e">
        <f t="shared" si="17"/>
        <v>#N/A</v>
      </c>
      <c r="P94" s="240" t="e">
        <f t="shared" si="17"/>
        <v>#N/A</v>
      </c>
      <c r="Q94" s="240" t="e">
        <f t="shared" si="17"/>
        <v>#N/A</v>
      </c>
      <c r="R94" s="240" t="e">
        <f t="shared" si="17"/>
        <v>#N/A</v>
      </c>
      <c r="S94" s="240" t="e">
        <f t="shared" si="17"/>
        <v>#N/A</v>
      </c>
      <c r="T94" s="240" t="e">
        <f t="shared" si="17"/>
        <v>#N/A</v>
      </c>
      <c r="U94" s="240" t="e">
        <f t="shared" si="17"/>
        <v>#N/A</v>
      </c>
      <c r="V94" s="240" t="e">
        <f t="shared" si="17"/>
        <v>#N/A</v>
      </c>
      <c r="W94" s="240" t="e">
        <f t="shared" si="17"/>
        <v>#N/A</v>
      </c>
      <c r="X94" s="240" t="e">
        <f t="shared" si="17"/>
        <v>#N/A</v>
      </c>
      <c r="Y94" s="240" t="e">
        <f t="shared" si="17"/>
        <v>#N/A</v>
      </c>
      <c r="Z94" s="240" t="e">
        <f t="shared" si="17"/>
        <v>#N/A</v>
      </c>
      <c r="AA94" s="240" t="e">
        <f t="shared" ref="AA94:AP96" si="18">$G94*AA$80*AA$92</f>
        <v>#N/A</v>
      </c>
      <c r="AB94" s="240" t="e">
        <f t="shared" si="18"/>
        <v>#N/A</v>
      </c>
      <c r="AC94" s="240" t="e">
        <f t="shared" si="18"/>
        <v>#N/A</v>
      </c>
      <c r="AD94" s="240" t="e">
        <f t="shared" si="18"/>
        <v>#N/A</v>
      </c>
      <c r="AE94" s="240" t="e">
        <f t="shared" si="18"/>
        <v>#N/A</v>
      </c>
      <c r="AF94" s="240" t="e">
        <f t="shared" si="18"/>
        <v>#N/A</v>
      </c>
      <c r="AG94" s="240" t="e">
        <f t="shared" si="18"/>
        <v>#N/A</v>
      </c>
      <c r="AH94" s="240" t="e">
        <f t="shared" si="18"/>
        <v>#N/A</v>
      </c>
      <c r="AI94" s="240" t="e">
        <f t="shared" si="18"/>
        <v>#N/A</v>
      </c>
      <c r="AJ94" s="240" t="e">
        <f t="shared" si="18"/>
        <v>#N/A</v>
      </c>
      <c r="AK94" s="240" t="e">
        <f t="shared" si="18"/>
        <v>#N/A</v>
      </c>
      <c r="AL94" s="240" t="e">
        <f t="shared" si="18"/>
        <v>#N/A</v>
      </c>
      <c r="AM94" s="240" t="e">
        <f t="shared" si="18"/>
        <v>#N/A</v>
      </c>
      <c r="AN94" s="240" t="e">
        <f t="shared" si="18"/>
        <v>#N/A</v>
      </c>
      <c r="AO94" s="240" t="e">
        <f t="shared" si="18"/>
        <v>#N/A</v>
      </c>
      <c r="AP94" s="240" t="e">
        <f t="shared" si="18"/>
        <v>#N/A</v>
      </c>
      <c r="AQ94" s="240" t="e">
        <f t="shared" ref="AQ94:BF96" si="19">$G94*AQ$80*AQ$92</f>
        <v>#N/A</v>
      </c>
      <c r="AR94" s="240" t="e">
        <f t="shared" si="19"/>
        <v>#N/A</v>
      </c>
      <c r="AS94" s="240" t="e">
        <f t="shared" si="19"/>
        <v>#N/A</v>
      </c>
      <c r="AT94" s="240" t="e">
        <f t="shared" si="19"/>
        <v>#N/A</v>
      </c>
      <c r="AU94" s="240" t="e">
        <f t="shared" si="19"/>
        <v>#N/A</v>
      </c>
      <c r="AV94" s="240" t="e">
        <f t="shared" si="19"/>
        <v>#N/A</v>
      </c>
      <c r="AW94" s="240" t="e">
        <f t="shared" si="19"/>
        <v>#N/A</v>
      </c>
      <c r="AX94" s="240" t="e">
        <f t="shared" si="19"/>
        <v>#N/A</v>
      </c>
      <c r="AY94" s="240" t="e">
        <f t="shared" si="19"/>
        <v>#N/A</v>
      </c>
      <c r="AZ94" s="240" t="e">
        <f t="shared" si="19"/>
        <v>#N/A</v>
      </c>
      <c r="BA94" s="240" t="e">
        <f t="shared" si="19"/>
        <v>#N/A</v>
      </c>
      <c r="BB94" s="240" t="e">
        <f t="shared" si="19"/>
        <v>#N/A</v>
      </c>
      <c r="BC94" s="240" t="e">
        <f t="shared" si="19"/>
        <v>#N/A</v>
      </c>
      <c r="BD94" s="240" t="e">
        <f t="shared" si="19"/>
        <v>#N/A</v>
      </c>
      <c r="BE94" s="240" t="e">
        <f t="shared" si="19"/>
        <v>#N/A</v>
      </c>
      <c r="BF94" s="240" t="e">
        <f t="shared" si="19"/>
        <v>#N/A</v>
      </c>
      <c r="BG94" s="240" t="e">
        <f t="shared" ref="BG94:BQ96" si="20">$G94*BG$80*BG$92</f>
        <v>#N/A</v>
      </c>
      <c r="BH94" s="240" t="e">
        <f t="shared" si="20"/>
        <v>#N/A</v>
      </c>
      <c r="BI94" s="240" t="e">
        <f t="shared" si="20"/>
        <v>#N/A</v>
      </c>
      <c r="BJ94" s="240" t="e">
        <f t="shared" si="20"/>
        <v>#N/A</v>
      </c>
      <c r="BK94" s="240" t="e">
        <f t="shared" si="20"/>
        <v>#N/A</v>
      </c>
      <c r="BL94" s="240" t="e">
        <f t="shared" si="20"/>
        <v>#N/A</v>
      </c>
      <c r="BM94" s="240" t="e">
        <f t="shared" si="20"/>
        <v>#N/A</v>
      </c>
      <c r="BN94" s="240" t="e">
        <f t="shared" si="20"/>
        <v>#N/A</v>
      </c>
      <c r="BO94" s="240" t="e">
        <f t="shared" si="20"/>
        <v>#N/A</v>
      </c>
      <c r="BP94" s="240" t="e">
        <f t="shared" si="20"/>
        <v>#N/A</v>
      </c>
      <c r="BQ94" s="492" t="e">
        <f t="shared" si="20"/>
        <v>#N/A</v>
      </c>
      <c r="BR94" s="89"/>
    </row>
    <row r="95" spans="1:70" s="82" customFormat="1" ht="13" outlineLevel="1" x14ac:dyDescent="0.3">
      <c r="B95" s="164" t="str">
        <f>E49</f>
        <v>0.5-1 miles</v>
      </c>
      <c r="C95" s="231" t="e">
        <f>'2. General project information'!D58</f>
        <v>#N/A</v>
      </c>
      <c r="D95" s="403">
        <f>MAX(0,E60*$C$27+E61*$C$28+E62*$C$29+IF('2. General project information'!$C$85="Local authority",$F$45,IF('2. General project information'!$C$85="4 mile radius",$F$44,IF('2. General project information'!$C$85="2 mile radius",$F$43))))</f>
        <v>0</v>
      </c>
      <c r="E95" s="403" t="e">
        <f>C95*D95/MoneyScalar</f>
        <v>#N/A</v>
      </c>
      <c r="F95" s="403" t="e">
        <f>E95-PV(0.035,9,E95)</f>
        <v>#N/A</v>
      </c>
      <c r="G95" s="403" t="e">
        <f>F95/DF_Appraisal_Period</f>
        <v>#N/A</v>
      </c>
      <c r="H95" s="446" t="e">
        <f t="shared" ref="H95:H96" si="21">SUM(J95:BQ95)</f>
        <v>#N/A</v>
      </c>
      <c r="I95" s="524"/>
      <c r="J95" s="446" t="e">
        <f t="shared" ref="J95:J96" si="22">$G95*J$80*J$92</f>
        <v>#N/A</v>
      </c>
      <c r="K95" s="89" t="e">
        <f t="shared" si="17"/>
        <v>#N/A</v>
      </c>
      <c r="L95" s="89" t="e">
        <f t="shared" si="17"/>
        <v>#N/A</v>
      </c>
      <c r="M95" s="89" t="e">
        <f t="shared" si="17"/>
        <v>#N/A</v>
      </c>
      <c r="N95" s="89" t="e">
        <f t="shared" si="17"/>
        <v>#N/A</v>
      </c>
      <c r="O95" s="89" t="e">
        <f t="shared" si="17"/>
        <v>#N/A</v>
      </c>
      <c r="P95" s="89" t="e">
        <f t="shared" si="17"/>
        <v>#N/A</v>
      </c>
      <c r="Q95" s="89" t="e">
        <f t="shared" si="17"/>
        <v>#N/A</v>
      </c>
      <c r="R95" s="89" t="e">
        <f t="shared" si="17"/>
        <v>#N/A</v>
      </c>
      <c r="S95" s="89" t="e">
        <f t="shared" si="17"/>
        <v>#N/A</v>
      </c>
      <c r="T95" s="89" t="e">
        <f t="shared" si="17"/>
        <v>#N/A</v>
      </c>
      <c r="U95" s="89" t="e">
        <f t="shared" si="17"/>
        <v>#N/A</v>
      </c>
      <c r="V95" s="89" t="e">
        <f t="shared" si="17"/>
        <v>#N/A</v>
      </c>
      <c r="W95" s="89" t="e">
        <f t="shared" si="17"/>
        <v>#N/A</v>
      </c>
      <c r="X95" s="89" t="e">
        <f t="shared" si="17"/>
        <v>#N/A</v>
      </c>
      <c r="Y95" s="89" t="e">
        <f t="shared" si="17"/>
        <v>#N/A</v>
      </c>
      <c r="Z95" s="89" t="e">
        <f t="shared" si="17"/>
        <v>#N/A</v>
      </c>
      <c r="AA95" s="89" t="e">
        <f t="shared" si="18"/>
        <v>#N/A</v>
      </c>
      <c r="AB95" s="89" t="e">
        <f t="shared" si="18"/>
        <v>#N/A</v>
      </c>
      <c r="AC95" s="89" t="e">
        <f t="shared" si="18"/>
        <v>#N/A</v>
      </c>
      <c r="AD95" s="89" t="e">
        <f t="shared" si="18"/>
        <v>#N/A</v>
      </c>
      <c r="AE95" s="89" t="e">
        <f t="shared" si="18"/>
        <v>#N/A</v>
      </c>
      <c r="AF95" s="89" t="e">
        <f t="shared" si="18"/>
        <v>#N/A</v>
      </c>
      <c r="AG95" s="89" t="e">
        <f t="shared" si="18"/>
        <v>#N/A</v>
      </c>
      <c r="AH95" s="89" t="e">
        <f t="shared" si="18"/>
        <v>#N/A</v>
      </c>
      <c r="AI95" s="89" t="e">
        <f t="shared" si="18"/>
        <v>#N/A</v>
      </c>
      <c r="AJ95" s="89" t="e">
        <f t="shared" si="18"/>
        <v>#N/A</v>
      </c>
      <c r="AK95" s="89" t="e">
        <f t="shared" si="18"/>
        <v>#N/A</v>
      </c>
      <c r="AL95" s="89" t="e">
        <f t="shared" si="18"/>
        <v>#N/A</v>
      </c>
      <c r="AM95" s="89" t="e">
        <f t="shared" si="18"/>
        <v>#N/A</v>
      </c>
      <c r="AN95" s="89" t="e">
        <f t="shared" si="18"/>
        <v>#N/A</v>
      </c>
      <c r="AO95" s="89" t="e">
        <f t="shared" si="18"/>
        <v>#N/A</v>
      </c>
      <c r="AP95" s="89" t="e">
        <f t="shared" si="18"/>
        <v>#N/A</v>
      </c>
      <c r="AQ95" s="89" t="e">
        <f t="shared" si="19"/>
        <v>#N/A</v>
      </c>
      <c r="AR95" s="89" t="e">
        <f t="shared" si="19"/>
        <v>#N/A</v>
      </c>
      <c r="AS95" s="89" t="e">
        <f t="shared" si="19"/>
        <v>#N/A</v>
      </c>
      <c r="AT95" s="89" t="e">
        <f t="shared" si="19"/>
        <v>#N/A</v>
      </c>
      <c r="AU95" s="89" t="e">
        <f t="shared" si="19"/>
        <v>#N/A</v>
      </c>
      <c r="AV95" s="89" t="e">
        <f t="shared" si="19"/>
        <v>#N/A</v>
      </c>
      <c r="AW95" s="89" t="e">
        <f t="shared" si="19"/>
        <v>#N/A</v>
      </c>
      <c r="AX95" s="89" t="e">
        <f t="shared" si="19"/>
        <v>#N/A</v>
      </c>
      <c r="AY95" s="89" t="e">
        <f t="shared" si="19"/>
        <v>#N/A</v>
      </c>
      <c r="AZ95" s="89" t="e">
        <f t="shared" si="19"/>
        <v>#N/A</v>
      </c>
      <c r="BA95" s="89" t="e">
        <f t="shared" si="19"/>
        <v>#N/A</v>
      </c>
      <c r="BB95" s="89" t="e">
        <f t="shared" si="19"/>
        <v>#N/A</v>
      </c>
      <c r="BC95" s="89" t="e">
        <f t="shared" si="19"/>
        <v>#N/A</v>
      </c>
      <c r="BD95" s="89" t="e">
        <f t="shared" si="19"/>
        <v>#N/A</v>
      </c>
      <c r="BE95" s="89" t="e">
        <f t="shared" si="19"/>
        <v>#N/A</v>
      </c>
      <c r="BF95" s="89" t="e">
        <f t="shared" si="19"/>
        <v>#N/A</v>
      </c>
      <c r="BG95" s="89" t="e">
        <f t="shared" si="20"/>
        <v>#N/A</v>
      </c>
      <c r="BH95" s="89" t="e">
        <f t="shared" si="20"/>
        <v>#N/A</v>
      </c>
      <c r="BI95" s="89" t="e">
        <f t="shared" si="20"/>
        <v>#N/A</v>
      </c>
      <c r="BJ95" s="89" t="e">
        <f t="shared" si="20"/>
        <v>#N/A</v>
      </c>
      <c r="BK95" s="89" t="e">
        <f t="shared" si="20"/>
        <v>#N/A</v>
      </c>
      <c r="BL95" s="89" t="e">
        <f t="shared" si="20"/>
        <v>#N/A</v>
      </c>
      <c r="BM95" s="89" t="e">
        <f t="shared" si="20"/>
        <v>#N/A</v>
      </c>
      <c r="BN95" s="89" t="e">
        <f t="shared" si="20"/>
        <v>#N/A</v>
      </c>
      <c r="BO95" s="89" t="e">
        <f t="shared" si="20"/>
        <v>#N/A</v>
      </c>
      <c r="BP95" s="89" t="e">
        <f t="shared" si="20"/>
        <v>#N/A</v>
      </c>
      <c r="BQ95" s="606" t="e">
        <f t="shared" si="20"/>
        <v>#N/A</v>
      </c>
      <c r="BR95" s="89"/>
    </row>
    <row r="96" spans="1:70" s="82" customFormat="1" ht="13.5" outlineLevel="1" thickBot="1" x14ac:dyDescent="0.35">
      <c r="B96" s="232" t="str">
        <f>F49</f>
        <v>1-2 miles</v>
      </c>
      <c r="C96" s="233" t="e">
        <f>'2. General project information'!E58</f>
        <v>#N/A</v>
      </c>
      <c r="D96" s="404">
        <f>MAX(0,F60*$C$27+F61*$C$28+F62*$C$29+IF('2. General project information'!$C$85="Local authority",$F$45,IF('2. General project information'!$C$85="4 mile radius",$F$44,IF('2. General project information'!$C$85="2 mile radius",$F$43))))</f>
        <v>0</v>
      </c>
      <c r="E96" s="404" t="e">
        <f>C96*D96/MoneyScalar</f>
        <v>#N/A</v>
      </c>
      <c r="F96" s="404" t="e">
        <f>E96-PV(0.035,9,E96)</f>
        <v>#N/A</v>
      </c>
      <c r="G96" s="404" t="e">
        <f>F96/DF_Appraisal_Period</f>
        <v>#N/A</v>
      </c>
      <c r="H96" s="447" t="e">
        <f t="shared" si="21"/>
        <v>#N/A</v>
      </c>
      <c r="I96" s="524"/>
      <c r="J96" s="447" t="e">
        <f t="shared" si="22"/>
        <v>#N/A</v>
      </c>
      <c r="K96" s="241" t="e">
        <f>$G96*K$80*K$92</f>
        <v>#N/A</v>
      </c>
      <c r="L96" s="241" t="e">
        <f t="shared" si="17"/>
        <v>#N/A</v>
      </c>
      <c r="M96" s="241" t="e">
        <f t="shared" si="17"/>
        <v>#N/A</v>
      </c>
      <c r="N96" s="241" t="e">
        <f t="shared" si="17"/>
        <v>#N/A</v>
      </c>
      <c r="O96" s="241" t="e">
        <f t="shared" si="17"/>
        <v>#N/A</v>
      </c>
      <c r="P96" s="241" t="e">
        <f t="shared" si="17"/>
        <v>#N/A</v>
      </c>
      <c r="Q96" s="241" t="e">
        <f t="shared" si="17"/>
        <v>#N/A</v>
      </c>
      <c r="R96" s="241" t="e">
        <f t="shared" si="17"/>
        <v>#N/A</v>
      </c>
      <c r="S96" s="241" t="e">
        <f t="shared" si="17"/>
        <v>#N/A</v>
      </c>
      <c r="T96" s="241" t="e">
        <f t="shared" si="17"/>
        <v>#N/A</v>
      </c>
      <c r="U96" s="241" t="e">
        <f t="shared" si="17"/>
        <v>#N/A</v>
      </c>
      <c r="V96" s="241" t="e">
        <f t="shared" si="17"/>
        <v>#N/A</v>
      </c>
      <c r="W96" s="241" t="e">
        <f t="shared" si="17"/>
        <v>#N/A</v>
      </c>
      <c r="X96" s="241" t="e">
        <f t="shared" si="17"/>
        <v>#N/A</v>
      </c>
      <c r="Y96" s="241" t="e">
        <f t="shared" si="17"/>
        <v>#N/A</v>
      </c>
      <c r="Z96" s="241" t="e">
        <f t="shared" si="17"/>
        <v>#N/A</v>
      </c>
      <c r="AA96" s="241" t="e">
        <f t="shared" si="18"/>
        <v>#N/A</v>
      </c>
      <c r="AB96" s="241" t="e">
        <f t="shared" si="18"/>
        <v>#N/A</v>
      </c>
      <c r="AC96" s="241" t="e">
        <f t="shared" si="18"/>
        <v>#N/A</v>
      </c>
      <c r="AD96" s="241" t="e">
        <f t="shared" si="18"/>
        <v>#N/A</v>
      </c>
      <c r="AE96" s="241" t="e">
        <f t="shared" si="18"/>
        <v>#N/A</v>
      </c>
      <c r="AF96" s="241" t="e">
        <f t="shared" si="18"/>
        <v>#N/A</v>
      </c>
      <c r="AG96" s="241" t="e">
        <f t="shared" si="18"/>
        <v>#N/A</v>
      </c>
      <c r="AH96" s="241" t="e">
        <f t="shared" si="18"/>
        <v>#N/A</v>
      </c>
      <c r="AI96" s="241" t="e">
        <f t="shared" si="18"/>
        <v>#N/A</v>
      </c>
      <c r="AJ96" s="241" t="e">
        <f t="shared" si="18"/>
        <v>#N/A</v>
      </c>
      <c r="AK96" s="241" t="e">
        <f t="shared" si="18"/>
        <v>#N/A</v>
      </c>
      <c r="AL96" s="241" t="e">
        <f t="shared" si="18"/>
        <v>#N/A</v>
      </c>
      <c r="AM96" s="241" t="e">
        <f t="shared" si="18"/>
        <v>#N/A</v>
      </c>
      <c r="AN96" s="241" t="e">
        <f t="shared" si="18"/>
        <v>#N/A</v>
      </c>
      <c r="AO96" s="241" t="e">
        <f t="shared" si="18"/>
        <v>#N/A</v>
      </c>
      <c r="AP96" s="241" t="e">
        <f t="shared" si="18"/>
        <v>#N/A</v>
      </c>
      <c r="AQ96" s="241" t="e">
        <f t="shared" si="19"/>
        <v>#N/A</v>
      </c>
      <c r="AR96" s="241" t="e">
        <f t="shared" si="19"/>
        <v>#N/A</v>
      </c>
      <c r="AS96" s="241" t="e">
        <f t="shared" si="19"/>
        <v>#N/A</v>
      </c>
      <c r="AT96" s="241" t="e">
        <f t="shared" si="19"/>
        <v>#N/A</v>
      </c>
      <c r="AU96" s="241" t="e">
        <f t="shared" si="19"/>
        <v>#N/A</v>
      </c>
      <c r="AV96" s="241" t="e">
        <f t="shared" si="19"/>
        <v>#N/A</v>
      </c>
      <c r="AW96" s="241" t="e">
        <f t="shared" si="19"/>
        <v>#N/A</v>
      </c>
      <c r="AX96" s="241" t="e">
        <f t="shared" si="19"/>
        <v>#N/A</v>
      </c>
      <c r="AY96" s="241" t="e">
        <f t="shared" si="19"/>
        <v>#N/A</v>
      </c>
      <c r="AZ96" s="241" t="e">
        <f t="shared" si="19"/>
        <v>#N/A</v>
      </c>
      <c r="BA96" s="241" t="e">
        <f t="shared" si="19"/>
        <v>#N/A</v>
      </c>
      <c r="BB96" s="241" t="e">
        <f t="shared" si="19"/>
        <v>#N/A</v>
      </c>
      <c r="BC96" s="241" t="e">
        <f t="shared" si="19"/>
        <v>#N/A</v>
      </c>
      <c r="BD96" s="241" t="e">
        <f t="shared" si="19"/>
        <v>#N/A</v>
      </c>
      <c r="BE96" s="241" t="e">
        <f t="shared" si="19"/>
        <v>#N/A</v>
      </c>
      <c r="BF96" s="241" t="e">
        <f t="shared" si="19"/>
        <v>#N/A</v>
      </c>
      <c r="BG96" s="241" t="e">
        <f t="shared" si="20"/>
        <v>#N/A</v>
      </c>
      <c r="BH96" s="241" t="e">
        <f t="shared" si="20"/>
        <v>#N/A</v>
      </c>
      <c r="BI96" s="241" t="e">
        <f t="shared" si="20"/>
        <v>#N/A</v>
      </c>
      <c r="BJ96" s="241" t="e">
        <f t="shared" si="20"/>
        <v>#N/A</v>
      </c>
      <c r="BK96" s="241" t="e">
        <f t="shared" si="20"/>
        <v>#N/A</v>
      </c>
      <c r="BL96" s="241" t="e">
        <f t="shared" si="20"/>
        <v>#N/A</v>
      </c>
      <c r="BM96" s="241" t="e">
        <f t="shared" si="20"/>
        <v>#N/A</v>
      </c>
      <c r="BN96" s="241" t="e">
        <f t="shared" si="20"/>
        <v>#N/A</v>
      </c>
      <c r="BO96" s="241" t="e">
        <f t="shared" si="20"/>
        <v>#N/A</v>
      </c>
      <c r="BP96" s="241" t="e">
        <f t="shared" si="20"/>
        <v>#N/A</v>
      </c>
      <c r="BQ96" s="493" t="e">
        <f t="shared" si="20"/>
        <v>#N/A</v>
      </c>
      <c r="BR96" s="89"/>
    </row>
    <row r="97" spans="1:70" s="82" customFormat="1" ht="13.5" outlineLevel="1" thickBot="1" x14ac:dyDescent="0.35">
      <c r="B97" s="117" t="str" cm="1">
        <f t="array" ref="B97">NDT</f>
        <v>Non-discounted total (£, )</v>
      </c>
      <c r="C97" s="156" t="e">
        <f>SUM(C94:C96)</f>
        <v>#N/A</v>
      </c>
      <c r="D97" s="234" t="e">
        <f>SUMPRODUCT(C94:C96,D94:D96)/C97</f>
        <v>#N/A</v>
      </c>
      <c r="E97" s="234" t="e">
        <f>SUM(E94:E96)</f>
        <v>#N/A</v>
      </c>
      <c r="F97" s="234" t="e">
        <f>SUM(F94:F96)</f>
        <v>#N/A</v>
      </c>
      <c r="G97" s="234" t="e">
        <f>SUM(G94:G96)</f>
        <v>#N/A</v>
      </c>
      <c r="H97" s="235" t="e">
        <f>SUM(J97:BQ97)</f>
        <v>#N/A</v>
      </c>
      <c r="I97" s="524"/>
      <c r="J97" s="236" t="e">
        <f t="shared" ref="J97:AO97" si="23">SUM(J94:J96)</f>
        <v>#N/A</v>
      </c>
      <c r="K97" s="237" t="e">
        <f t="shared" si="23"/>
        <v>#N/A</v>
      </c>
      <c r="L97" s="237" t="e">
        <f t="shared" si="23"/>
        <v>#N/A</v>
      </c>
      <c r="M97" s="237" t="e">
        <f t="shared" si="23"/>
        <v>#N/A</v>
      </c>
      <c r="N97" s="237" t="e">
        <f t="shared" si="23"/>
        <v>#N/A</v>
      </c>
      <c r="O97" s="237" t="e">
        <f t="shared" si="23"/>
        <v>#N/A</v>
      </c>
      <c r="P97" s="237" t="e">
        <f t="shared" si="23"/>
        <v>#N/A</v>
      </c>
      <c r="Q97" s="237" t="e">
        <f t="shared" si="23"/>
        <v>#N/A</v>
      </c>
      <c r="R97" s="237" t="e">
        <f t="shared" si="23"/>
        <v>#N/A</v>
      </c>
      <c r="S97" s="237" t="e">
        <f t="shared" si="23"/>
        <v>#N/A</v>
      </c>
      <c r="T97" s="237" t="e">
        <f t="shared" si="23"/>
        <v>#N/A</v>
      </c>
      <c r="U97" s="237" t="e">
        <f t="shared" si="23"/>
        <v>#N/A</v>
      </c>
      <c r="V97" s="237" t="e">
        <f t="shared" si="23"/>
        <v>#N/A</v>
      </c>
      <c r="W97" s="237" t="e">
        <f t="shared" si="23"/>
        <v>#N/A</v>
      </c>
      <c r="X97" s="237" t="e">
        <f t="shared" si="23"/>
        <v>#N/A</v>
      </c>
      <c r="Y97" s="237" t="e">
        <f t="shared" si="23"/>
        <v>#N/A</v>
      </c>
      <c r="Z97" s="237" t="e">
        <f t="shared" si="23"/>
        <v>#N/A</v>
      </c>
      <c r="AA97" s="237" t="e">
        <f t="shared" si="23"/>
        <v>#N/A</v>
      </c>
      <c r="AB97" s="237" t="e">
        <f t="shared" si="23"/>
        <v>#N/A</v>
      </c>
      <c r="AC97" s="237" t="e">
        <f t="shared" si="23"/>
        <v>#N/A</v>
      </c>
      <c r="AD97" s="237" t="e">
        <f t="shared" si="23"/>
        <v>#N/A</v>
      </c>
      <c r="AE97" s="237" t="e">
        <f t="shared" si="23"/>
        <v>#N/A</v>
      </c>
      <c r="AF97" s="237" t="e">
        <f t="shared" si="23"/>
        <v>#N/A</v>
      </c>
      <c r="AG97" s="237" t="e">
        <f t="shared" si="23"/>
        <v>#N/A</v>
      </c>
      <c r="AH97" s="237" t="e">
        <f t="shared" si="23"/>
        <v>#N/A</v>
      </c>
      <c r="AI97" s="237" t="e">
        <f t="shared" si="23"/>
        <v>#N/A</v>
      </c>
      <c r="AJ97" s="237" t="e">
        <f t="shared" si="23"/>
        <v>#N/A</v>
      </c>
      <c r="AK97" s="237" t="e">
        <f t="shared" si="23"/>
        <v>#N/A</v>
      </c>
      <c r="AL97" s="237" t="e">
        <f t="shared" si="23"/>
        <v>#N/A</v>
      </c>
      <c r="AM97" s="237" t="e">
        <f t="shared" si="23"/>
        <v>#N/A</v>
      </c>
      <c r="AN97" s="237" t="e">
        <f t="shared" si="23"/>
        <v>#N/A</v>
      </c>
      <c r="AO97" s="237" t="e">
        <f t="shared" si="23"/>
        <v>#N/A</v>
      </c>
      <c r="AP97" s="237" t="e">
        <f t="shared" ref="AP97:BQ97" si="24">SUM(AP94:AP96)</f>
        <v>#N/A</v>
      </c>
      <c r="AQ97" s="237" t="e">
        <f t="shared" si="24"/>
        <v>#N/A</v>
      </c>
      <c r="AR97" s="237" t="e">
        <f t="shared" si="24"/>
        <v>#N/A</v>
      </c>
      <c r="AS97" s="237" t="e">
        <f t="shared" si="24"/>
        <v>#N/A</v>
      </c>
      <c r="AT97" s="237" t="e">
        <f t="shared" si="24"/>
        <v>#N/A</v>
      </c>
      <c r="AU97" s="237" t="e">
        <f t="shared" si="24"/>
        <v>#N/A</v>
      </c>
      <c r="AV97" s="237" t="e">
        <f t="shared" si="24"/>
        <v>#N/A</v>
      </c>
      <c r="AW97" s="237" t="e">
        <f t="shared" si="24"/>
        <v>#N/A</v>
      </c>
      <c r="AX97" s="237" t="e">
        <f t="shared" si="24"/>
        <v>#N/A</v>
      </c>
      <c r="AY97" s="237" t="e">
        <f t="shared" si="24"/>
        <v>#N/A</v>
      </c>
      <c r="AZ97" s="237" t="e">
        <f t="shared" si="24"/>
        <v>#N/A</v>
      </c>
      <c r="BA97" s="237" t="e">
        <f t="shared" si="24"/>
        <v>#N/A</v>
      </c>
      <c r="BB97" s="237" t="e">
        <f t="shared" si="24"/>
        <v>#N/A</v>
      </c>
      <c r="BC97" s="237" t="e">
        <f t="shared" si="24"/>
        <v>#N/A</v>
      </c>
      <c r="BD97" s="237" t="e">
        <f t="shared" si="24"/>
        <v>#N/A</v>
      </c>
      <c r="BE97" s="237" t="e">
        <f t="shared" si="24"/>
        <v>#N/A</v>
      </c>
      <c r="BF97" s="237" t="e">
        <f t="shared" si="24"/>
        <v>#N/A</v>
      </c>
      <c r="BG97" s="237" t="e">
        <f t="shared" si="24"/>
        <v>#N/A</v>
      </c>
      <c r="BH97" s="237" t="e">
        <f t="shared" si="24"/>
        <v>#N/A</v>
      </c>
      <c r="BI97" s="237" t="e">
        <f t="shared" si="24"/>
        <v>#N/A</v>
      </c>
      <c r="BJ97" s="237" t="e">
        <f t="shared" si="24"/>
        <v>#N/A</v>
      </c>
      <c r="BK97" s="237" t="e">
        <f t="shared" si="24"/>
        <v>#N/A</v>
      </c>
      <c r="BL97" s="237" t="e">
        <f t="shared" si="24"/>
        <v>#N/A</v>
      </c>
      <c r="BM97" s="237" t="e">
        <f t="shared" si="24"/>
        <v>#N/A</v>
      </c>
      <c r="BN97" s="237" t="e">
        <f t="shared" si="24"/>
        <v>#N/A</v>
      </c>
      <c r="BO97" s="237" t="e">
        <f t="shared" si="24"/>
        <v>#N/A</v>
      </c>
      <c r="BP97" s="237" t="e">
        <f t="shared" si="24"/>
        <v>#N/A</v>
      </c>
      <c r="BQ97" s="607" t="e">
        <f t="shared" si="24"/>
        <v>#N/A</v>
      </c>
      <c r="BR97" s="497"/>
    </row>
    <row r="98" spans="1:70" s="82" customFormat="1" ht="13.5" outlineLevel="1" thickBot="1" x14ac:dyDescent="0.35">
      <c r="B98" s="117" t="str" cm="1">
        <f t="array" ref="B98">DT</f>
        <v>Discounted total (£, )</v>
      </c>
      <c r="C98" s="156" t="e">
        <f>C97</f>
        <v>#N/A</v>
      </c>
      <c r="D98" s="234" t="e">
        <f>D97</f>
        <v>#N/A</v>
      </c>
      <c r="E98" s="238" t="s">
        <v>319</v>
      </c>
      <c r="F98" s="238" t="s">
        <v>319</v>
      </c>
      <c r="G98" s="234" t="e">
        <f>G97</f>
        <v>#N/A</v>
      </c>
      <c r="H98" s="235" t="e">
        <f>SUM(J98:BQ98)</f>
        <v>#N/A</v>
      </c>
      <c r="I98" s="525"/>
      <c r="J98" s="236" t="e">
        <f t="shared" ref="J98:AO98" si="25">SUM(J94:J96)*HLOOKUP(J91,DFVector,4,FALSE)</f>
        <v>#N/A</v>
      </c>
      <c r="K98" s="237" t="e">
        <f t="shared" si="25"/>
        <v>#N/A</v>
      </c>
      <c r="L98" s="237" t="e">
        <f t="shared" si="25"/>
        <v>#N/A</v>
      </c>
      <c r="M98" s="237" t="e">
        <f t="shared" si="25"/>
        <v>#N/A</v>
      </c>
      <c r="N98" s="237" t="e">
        <f t="shared" si="25"/>
        <v>#N/A</v>
      </c>
      <c r="O98" s="237" t="e">
        <f t="shared" si="25"/>
        <v>#N/A</v>
      </c>
      <c r="P98" s="237" t="e">
        <f t="shared" si="25"/>
        <v>#N/A</v>
      </c>
      <c r="Q98" s="237" t="e">
        <f t="shared" si="25"/>
        <v>#N/A</v>
      </c>
      <c r="R98" s="237" t="e">
        <f t="shared" si="25"/>
        <v>#N/A</v>
      </c>
      <c r="S98" s="237" t="e">
        <f t="shared" si="25"/>
        <v>#N/A</v>
      </c>
      <c r="T98" s="237" t="e">
        <f t="shared" si="25"/>
        <v>#N/A</v>
      </c>
      <c r="U98" s="237" t="e">
        <f t="shared" si="25"/>
        <v>#N/A</v>
      </c>
      <c r="V98" s="237" t="e">
        <f t="shared" si="25"/>
        <v>#N/A</v>
      </c>
      <c r="W98" s="237" t="e">
        <f t="shared" si="25"/>
        <v>#N/A</v>
      </c>
      <c r="X98" s="237" t="e">
        <f t="shared" si="25"/>
        <v>#N/A</v>
      </c>
      <c r="Y98" s="237" t="e">
        <f t="shared" si="25"/>
        <v>#N/A</v>
      </c>
      <c r="Z98" s="237" t="e">
        <f t="shared" si="25"/>
        <v>#N/A</v>
      </c>
      <c r="AA98" s="237" t="e">
        <f t="shared" si="25"/>
        <v>#N/A</v>
      </c>
      <c r="AB98" s="237" t="e">
        <f t="shared" si="25"/>
        <v>#N/A</v>
      </c>
      <c r="AC98" s="237" t="e">
        <f t="shared" si="25"/>
        <v>#N/A</v>
      </c>
      <c r="AD98" s="237" t="e">
        <f t="shared" si="25"/>
        <v>#N/A</v>
      </c>
      <c r="AE98" s="237" t="e">
        <f t="shared" si="25"/>
        <v>#N/A</v>
      </c>
      <c r="AF98" s="237" t="e">
        <f t="shared" si="25"/>
        <v>#N/A</v>
      </c>
      <c r="AG98" s="237" t="e">
        <f t="shared" si="25"/>
        <v>#N/A</v>
      </c>
      <c r="AH98" s="237" t="e">
        <f t="shared" si="25"/>
        <v>#N/A</v>
      </c>
      <c r="AI98" s="237" t="e">
        <f t="shared" si="25"/>
        <v>#N/A</v>
      </c>
      <c r="AJ98" s="237" t="e">
        <f t="shared" si="25"/>
        <v>#N/A</v>
      </c>
      <c r="AK98" s="237" t="e">
        <f t="shared" si="25"/>
        <v>#N/A</v>
      </c>
      <c r="AL98" s="237" t="e">
        <f t="shared" si="25"/>
        <v>#N/A</v>
      </c>
      <c r="AM98" s="237" t="e">
        <f t="shared" si="25"/>
        <v>#N/A</v>
      </c>
      <c r="AN98" s="237" t="e">
        <f t="shared" si="25"/>
        <v>#N/A</v>
      </c>
      <c r="AO98" s="237" t="e">
        <f t="shared" si="25"/>
        <v>#N/A</v>
      </c>
      <c r="AP98" s="237" t="e">
        <f t="shared" ref="AP98:BQ98" si="26">SUM(AP94:AP96)*HLOOKUP(AP91,DFVector,4,FALSE)</f>
        <v>#N/A</v>
      </c>
      <c r="AQ98" s="237" t="e">
        <f t="shared" si="26"/>
        <v>#N/A</v>
      </c>
      <c r="AR98" s="237" t="e">
        <f t="shared" si="26"/>
        <v>#N/A</v>
      </c>
      <c r="AS98" s="237" t="e">
        <f t="shared" si="26"/>
        <v>#N/A</v>
      </c>
      <c r="AT98" s="237" t="e">
        <f t="shared" si="26"/>
        <v>#N/A</v>
      </c>
      <c r="AU98" s="237" t="e">
        <f t="shared" si="26"/>
        <v>#N/A</v>
      </c>
      <c r="AV98" s="237" t="e">
        <f t="shared" si="26"/>
        <v>#N/A</v>
      </c>
      <c r="AW98" s="237" t="e">
        <f t="shared" si="26"/>
        <v>#N/A</v>
      </c>
      <c r="AX98" s="237" t="e">
        <f t="shared" si="26"/>
        <v>#N/A</v>
      </c>
      <c r="AY98" s="237" t="e">
        <f t="shared" si="26"/>
        <v>#N/A</v>
      </c>
      <c r="AZ98" s="237" t="e">
        <f t="shared" si="26"/>
        <v>#N/A</v>
      </c>
      <c r="BA98" s="237" t="e">
        <f t="shared" si="26"/>
        <v>#N/A</v>
      </c>
      <c r="BB98" s="237" t="e">
        <f t="shared" si="26"/>
        <v>#N/A</v>
      </c>
      <c r="BC98" s="237" t="e">
        <f t="shared" si="26"/>
        <v>#N/A</v>
      </c>
      <c r="BD98" s="237" t="e">
        <f t="shared" si="26"/>
        <v>#N/A</v>
      </c>
      <c r="BE98" s="237" t="e">
        <f t="shared" si="26"/>
        <v>#N/A</v>
      </c>
      <c r="BF98" s="237" t="e">
        <f t="shared" si="26"/>
        <v>#N/A</v>
      </c>
      <c r="BG98" s="237" t="e">
        <f t="shared" si="26"/>
        <v>#N/A</v>
      </c>
      <c r="BH98" s="237" t="e">
        <f t="shared" si="26"/>
        <v>#N/A</v>
      </c>
      <c r="BI98" s="237" t="e">
        <f t="shared" si="26"/>
        <v>#N/A</v>
      </c>
      <c r="BJ98" s="237" t="e">
        <f t="shared" si="26"/>
        <v>#N/A</v>
      </c>
      <c r="BK98" s="237" t="e">
        <f t="shared" si="26"/>
        <v>#N/A</v>
      </c>
      <c r="BL98" s="237" t="e">
        <f t="shared" si="26"/>
        <v>#N/A</v>
      </c>
      <c r="BM98" s="237" t="e">
        <f t="shared" si="26"/>
        <v>#N/A</v>
      </c>
      <c r="BN98" s="237" t="e">
        <f t="shared" si="26"/>
        <v>#N/A</v>
      </c>
      <c r="BO98" s="237" t="e">
        <f t="shared" si="26"/>
        <v>#N/A</v>
      </c>
      <c r="BP98" s="237" t="e">
        <f t="shared" si="26"/>
        <v>#N/A</v>
      </c>
      <c r="BQ98" s="607" t="e">
        <f t="shared" si="26"/>
        <v>#N/A</v>
      </c>
      <c r="BR98" s="497"/>
    </row>
    <row r="99" spans="1:70" x14ac:dyDescent="0.35">
      <c r="A99" s="82"/>
      <c r="B99" s="114" t="str">
        <f>Expand</f>
        <v>Press the plus/minus to the left to expand/minimise this section</v>
      </c>
      <c r="C99" s="112"/>
      <c r="D99" s="112"/>
      <c r="E99" s="239"/>
      <c r="F99" s="239"/>
      <c r="G99" s="187"/>
      <c r="H99" s="187"/>
      <c r="I99" s="187"/>
      <c r="J99" s="187"/>
      <c r="K99" s="187"/>
      <c r="L99" s="112"/>
    </row>
    <row r="100" spans="1:70" x14ac:dyDescent="0.35">
      <c r="A100" s="82"/>
      <c r="B100" s="114"/>
      <c r="C100" s="112"/>
      <c r="D100" s="112"/>
      <c r="E100" s="239"/>
      <c r="F100" s="239"/>
      <c r="G100" s="187"/>
      <c r="H100" s="187"/>
      <c r="I100" s="187"/>
      <c r="J100" s="187"/>
      <c r="K100" s="187"/>
      <c r="L100" s="112"/>
    </row>
    <row r="101" spans="1:70" ht="16" thickBot="1" x14ac:dyDescent="0.4">
      <c r="A101" s="82"/>
      <c r="B101" s="138" t="s">
        <v>321</v>
      </c>
      <c r="C101" s="110"/>
      <c r="D101" s="111"/>
      <c r="E101" s="111"/>
      <c r="F101" s="111"/>
      <c r="G101" s="111"/>
      <c r="H101" s="111"/>
      <c r="I101" s="111"/>
      <c r="J101" s="111"/>
      <c r="K101" s="111"/>
      <c r="L101" s="111"/>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row>
    <row r="102" spans="1:70" s="82" customFormat="1" ht="15" customHeight="1" outlineLevel="1" thickBot="1" x14ac:dyDescent="0.35">
      <c r="C102" s="225"/>
      <c r="E102" s="121"/>
      <c r="F102" s="12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row>
    <row r="103" spans="1:70" s="82" customFormat="1" ht="15" customHeight="1" outlineLevel="1" x14ac:dyDescent="0.3">
      <c r="C103" s="225"/>
      <c r="D103" s="675" t="s">
        <v>314</v>
      </c>
      <c r="E103" s="678" t="str" cm="1">
        <f t="array" ref="E103">TAV</f>
        <v>Total annual value (£, )</v>
      </c>
      <c r="F103" s="678" t="str">
        <f>_xlfn.CONCAT("PV for 10 years (£, ",MoneyScalarName,")")</f>
        <v>PV for 10 years (£, )</v>
      </c>
      <c r="G103" s="678" t="str">
        <f>_xlfn.CONCAT("Annual value using amortised benefits (£/yr, ",MoneyScalarName,")")</f>
        <v>Annual value using amortised benefits (£/yr, )</v>
      </c>
      <c r="H103" s="681" t="str">
        <f>_xlfn.CONCAT("Total value using amortised benefits (£, ",MoneyScalarName,")")</f>
        <v>Total value using amortised benefits (£, )</v>
      </c>
      <c r="I103" s="505" t="s">
        <v>315</v>
      </c>
      <c r="J103" s="521">
        <v>0</v>
      </c>
      <c r="K103" s="521">
        <v>1</v>
      </c>
      <c r="L103" s="521">
        <v>2</v>
      </c>
      <c r="M103" s="521">
        <v>3</v>
      </c>
      <c r="N103" s="521">
        <v>4</v>
      </c>
      <c r="O103" s="521">
        <v>5</v>
      </c>
      <c r="P103" s="521">
        <v>6</v>
      </c>
      <c r="Q103" s="521">
        <v>7</v>
      </c>
      <c r="R103" s="521">
        <v>8</v>
      </c>
      <c r="S103" s="521">
        <v>9</v>
      </c>
      <c r="T103" s="521">
        <v>10</v>
      </c>
      <c r="U103" s="521">
        <v>11</v>
      </c>
      <c r="V103" s="521">
        <v>12</v>
      </c>
      <c r="W103" s="521">
        <v>13</v>
      </c>
      <c r="X103" s="521">
        <v>14</v>
      </c>
      <c r="Y103" s="521">
        <v>15</v>
      </c>
      <c r="Z103" s="521">
        <v>16</v>
      </c>
      <c r="AA103" s="521">
        <v>17</v>
      </c>
      <c r="AB103" s="521">
        <v>18</v>
      </c>
      <c r="AC103" s="521">
        <v>19</v>
      </c>
      <c r="AD103" s="521">
        <v>20</v>
      </c>
      <c r="AE103" s="521">
        <v>21</v>
      </c>
      <c r="AF103" s="521">
        <v>22</v>
      </c>
      <c r="AG103" s="521">
        <v>23</v>
      </c>
      <c r="AH103" s="521">
        <v>24</v>
      </c>
      <c r="AI103" s="521">
        <v>25</v>
      </c>
      <c r="AJ103" s="521">
        <v>26</v>
      </c>
      <c r="AK103" s="521">
        <v>27</v>
      </c>
      <c r="AL103" s="521">
        <v>28</v>
      </c>
      <c r="AM103" s="521">
        <v>29</v>
      </c>
      <c r="AN103" s="521">
        <v>30</v>
      </c>
      <c r="AO103" s="521">
        <v>31</v>
      </c>
      <c r="AP103" s="521">
        <v>32</v>
      </c>
      <c r="AQ103" s="521">
        <v>33</v>
      </c>
      <c r="AR103" s="521">
        <v>34</v>
      </c>
      <c r="AS103" s="521">
        <v>35</v>
      </c>
      <c r="AT103" s="521">
        <v>36</v>
      </c>
      <c r="AU103" s="521">
        <v>37</v>
      </c>
      <c r="AV103" s="521">
        <v>38</v>
      </c>
      <c r="AW103" s="521">
        <v>39</v>
      </c>
      <c r="AX103" s="521">
        <v>40</v>
      </c>
      <c r="AY103" s="521">
        <v>41</v>
      </c>
      <c r="AZ103" s="521">
        <v>42</v>
      </c>
      <c r="BA103" s="521">
        <v>43</v>
      </c>
      <c r="BB103" s="521">
        <v>44</v>
      </c>
      <c r="BC103" s="521">
        <v>45</v>
      </c>
      <c r="BD103" s="521">
        <v>46</v>
      </c>
      <c r="BE103" s="521">
        <v>47</v>
      </c>
      <c r="BF103" s="521">
        <v>48</v>
      </c>
      <c r="BG103" s="521">
        <v>49</v>
      </c>
      <c r="BH103" s="521">
        <v>50</v>
      </c>
      <c r="BI103" s="521">
        <v>51</v>
      </c>
      <c r="BJ103" s="521">
        <v>52</v>
      </c>
      <c r="BK103" s="521">
        <v>53</v>
      </c>
      <c r="BL103" s="521">
        <v>54</v>
      </c>
      <c r="BM103" s="521">
        <v>55</v>
      </c>
      <c r="BN103" s="521">
        <v>56</v>
      </c>
      <c r="BO103" s="521">
        <v>57</v>
      </c>
      <c r="BP103" s="521">
        <v>58</v>
      </c>
      <c r="BQ103" s="522">
        <v>59</v>
      </c>
    </row>
    <row r="104" spans="1:70" s="82" customFormat="1" ht="15" customHeight="1" outlineLevel="1" x14ac:dyDescent="0.3">
      <c r="D104" s="676"/>
      <c r="E104" s="679"/>
      <c r="F104" s="679"/>
      <c r="G104" s="679"/>
      <c r="H104" s="682"/>
      <c r="I104" s="506" t="s">
        <v>316</v>
      </c>
      <c r="J104" s="226" cm="1">
        <f t="array" ref="J104:BQ104">FinancialYearRange60</f>
        <v>0</v>
      </c>
      <c r="K104" s="226" t="e">
        <v>#N/A</v>
      </c>
      <c r="L104" s="226" t="e">
        <v>#N/A</v>
      </c>
      <c r="M104" s="226" t="e">
        <v>#N/A</v>
      </c>
      <c r="N104" s="226" t="e">
        <v>#N/A</v>
      </c>
      <c r="O104" s="226" t="e">
        <v>#N/A</v>
      </c>
      <c r="P104" s="226" t="e">
        <v>#N/A</v>
      </c>
      <c r="Q104" s="226" t="e">
        <v>#N/A</v>
      </c>
      <c r="R104" s="226" t="e">
        <v>#N/A</v>
      </c>
      <c r="S104" s="226" t="e">
        <v>#N/A</v>
      </c>
      <c r="T104" s="226" t="e">
        <v>#N/A</v>
      </c>
      <c r="U104" s="226" t="e">
        <v>#N/A</v>
      </c>
      <c r="V104" s="226" t="e">
        <v>#N/A</v>
      </c>
      <c r="W104" s="226" t="e">
        <v>#N/A</v>
      </c>
      <c r="X104" s="226" t="e">
        <v>#N/A</v>
      </c>
      <c r="Y104" s="226" t="e">
        <v>#N/A</v>
      </c>
      <c r="Z104" s="226" t="e">
        <v>#N/A</v>
      </c>
      <c r="AA104" s="226" t="e">
        <v>#N/A</v>
      </c>
      <c r="AB104" s="226" t="e">
        <v>#N/A</v>
      </c>
      <c r="AC104" s="226" t="e">
        <v>#N/A</v>
      </c>
      <c r="AD104" s="226" t="e">
        <v>#N/A</v>
      </c>
      <c r="AE104" s="226" t="e">
        <v>#N/A</v>
      </c>
      <c r="AF104" s="226" t="e">
        <v>#N/A</v>
      </c>
      <c r="AG104" s="226" t="e">
        <v>#N/A</v>
      </c>
      <c r="AH104" s="226" t="e">
        <v>#N/A</v>
      </c>
      <c r="AI104" s="226" t="e">
        <v>#N/A</v>
      </c>
      <c r="AJ104" s="226" t="e">
        <v>#N/A</v>
      </c>
      <c r="AK104" s="226" t="e">
        <v>#N/A</v>
      </c>
      <c r="AL104" s="226" t="e">
        <v>#N/A</v>
      </c>
      <c r="AM104" s="226" t="e">
        <v>#N/A</v>
      </c>
      <c r="AN104" s="226" t="e">
        <v>#N/A</v>
      </c>
      <c r="AO104" s="226" t="e">
        <v>#N/A</v>
      </c>
      <c r="AP104" s="226" t="e">
        <v>#N/A</v>
      </c>
      <c r="AQ104" s="226" t="e">
        <v>#N/A</v>
      </c>
      <c r="AR104" s="226" t="e">
        <v>#N/A</v>
      </c>
      <c r="AS104" s="226" t="e">
        <v>#N/A</v>
      </c>
      <c r="AT104" s="226" t="e">
        <v>#N/A</v>
      </c>
      <c r="AU104" s="226" t="e">
        <v>#N/A</v>
      </c>
      <c r="AV104" s="226" t="e">
        <v>#N/A</v>
      </c>
      <c r="AW104" s="226" t="e">
        <v>#N/A</v>
      </c>
      <c r="AX104" s="226" t="e">
        <v>#N/A</v>
      </c>
      <c r="AY104" s="226" t="e">
        <v>#N/A</v>
      </c>
      <c r="AZ104" s="226" t="e">
        <v>#N/A</v>
      </c>
      <c r="BA104" s="226" t="e">
        <v>#N/A</v>
      </c>
      <c r="BB104" s="226" t="e">
        <v>#N/A</v>
      </c>
      <c r="BC104" s="226" t="e">
        <v>#N/A</v>
      </c>
      <c r="BD104" s="226" t="e">
        <v>#N/A</v>
      </c>
      <c r="BE104" s="226" t="e">
        <v>#N/A</v>
      </c>
      <c r="BF104" s="226" t="e">
        <v>#N/A</v>
      </c>
      <c r="BG104" s="226" t="e">
        <v>#N/A</v>
      </c>
      <c r="BH104" s="226" t="e">
        <v>#N/A</v>
      </c>
      <c r="BI104" s="226" t="e">
        <v>#N/A</v>
      </c>
      <c r="BJ104" s="226" t="e">
        <v>#N/A</v>
      </c>
      <c r="BK104" s="226" t="e">
        <v>#N/A</v>
      </c>
      <c r="BL104" s="226" t="e">
        <v>#N/A</v>
      </c>
      <c r="BM104" s="226" t="e">
        <v>#N/A</v>
      </c>
      <c r="BN104" s="226" t="e">
        <v>#N/A</v>
      </c>
      <c r="BO104" s="226" t="e">
        <v>#N/A</v>
      </c>
      <c r="BP104" s="226" t="e">
        <v>#N/A</v>
      </c>
      <c r="BQ104" s="501" t="e">
        <v>#N/A</v>
      </c>
      <c r="BR104" s="496"/>
    </row>
    <row r="105" spans="1:70" s="82" customFormat="1" ht="15" customHeight="1" outlineLevel="1" x14ac:dyDescent="0.3">
      <c r="B105" s="81"/>
      <c r="C105" s="225"/>
      <c r="D105" s="676"/>
      <c r="E105" s="679"/>
      <c r="F105" s="679"/>
      <c r="G105" s="679"/>
      <c r="H105" s="682"/>
      <c r="I105" s="506" t="s">
        <v>317</v>
      </c>
      <c r="J105" s="504">
        <f>'6.6 - Lists and lookups'!C$78</f>
        <v>0</v>
      </c>
      <c r="K105" s="504">
        <f>'6.6 - Lists and lookups'!D$78</f>
        <v>0</v>
      </c>
      <c r="L105" s="504">
        <f>'6.6 - Lists and lookups'!E$78</f>
        <v>0</v>
      </c>
      <c r="M105" s="504">
        <f>'6.6 - Lists and lookups'!F$78</f>
        <v>0</v>
      </c>
      <c r="N105" s="504">
        <f>'6.6 - Lists and lookups'!G$78</f>
        <v>0</v>
      </c>
      <c r="O105" s="504">
        <f>'6.6 - Lists and lookups'!H$78</f>
        <v>0</v>
      </c>
      <c r="P105" s="504">
        <f>'6.6 - Lists and lookups'!I$78</f>
        <v>0</v>
      </c>
      <c r="Q105" s="504">
        <f>'6.6 - Lists and lookups'!J$78</f>
        <v>0</v>
      </c>
      <c r="R105" s="504">
        <f>'6.6 - Lists and lookups'!K$78</f>
        <v>0</v>
      </c>
      <c r="S105" s="504">
        <f>'6.6 - Lists and lookups'!L$78</f>
        <v>0</v>
      </c>
      <c r="T105" s="504">
        <f>'6.6 - Lists and lookups'!M$78</f>
        <v>0</v>
      </c>
      <c r="U105" s="504">
        <f>'6.6 - Lists and lookups'!N$78</f>
        <v>0</v>
      </c>
      <c r="V105" s="504">
        <f>'6.6 - Lists and lookups'!O$78</f>
        <v>0</v>
      </c>
      <c r="W105" s="504">
        <f>'6.6 - Lists and lookups'!P$78</f>
        <v>0</v>
      </c>
      <c r="X105" s="504">
        <f>'6.6 - Lists and lookups'!Q$78</f>
        <v>0</v>
      </c>
      <c r="Y105" s="504">
        <f>'6.6 - Lists and lookups'!R$78</f>
        <v>0</v>
      </c>
      <c r="Z105" s="504">
        <f>'6.6 - Lists and lookups'!S$78</f>
        <v>0</v>
      </c>
      <c r="AA105" s="504">
        <f>'6.6 - Lists and lookups'!T$78</f>
        <v>0</v>
      </c>
      <c r="AB105" s="504">
        <f>'6.6 - Lists and lookups'!U$78</f>
        <v>0</v>
      </c>
      <c r="AC105" s="504">
        <f>'6.6 - Lists and lookups'!V$78</f>
        <v>0</v>
      </c>
      <c r="AD105" s="504">
        <f>'6.6 - Lists and lookups'!W$78</f>
        <v>0</v>
      </c>
      <c r="AE105" s="504">
        <f>'6.6 - Lists and lookups'!X$78</f>
        <v>0</v>
      </c>
      <c r="AF105" s="504">
        <f>'6.6 - Lists and lookups'!Y$78</f>
        <v>0</v>
      </c>
      <c r="AG105" s="504">
        <f>'6.6 - Lists and lookups'!Z$78</f>
        <v>0</v>
      </c>
      <c r="AH105" s="504">
        <f>'6.6 - Lists and lookups'!AA$78</f>
        <v>0</v>
      </c>
      <c r="AI105" s="504">
        <f>'6.6 - Lists and lookups'!AB$78</f>
        <v>0</v>
      </c>
      <c r="AJ105" s="504">
        <f>'6.6 - Lists and lookups'!AC$78</f>
        <v>0</v>
      </c>
      <c r="AK105" s="504">
        <f>'6.6 - Lists and lookups'!AD$78</f>
        <v>0</v>
      </c>
      <c r="AL105" s="504">
        <f>'6.6 - Lists and lookups'!AE$78</f>
        <v>0</v>
      </c>
      <c r="AM105" s="504">
        <f>'6.6 - Lists and lookups'!AF$78</f>
        <v>0</v>
      </c>
      <c r="AN105" s="504">
        <f>'6.6 - Lists and lookups'!AG$78</f>
        <v>0</v>
      </c>
      <c r="AO105" s="504">
        <f>'6.6 - Lists and lookups'!AH$78</f>
        <v>0</v>
      </c>
      <c r="AP105" s="504">
        <f>'6.6 - Lists and lookups'!AI$78</f>
        <v>0</v>
      </c>
      <c r="AQ105" s="504">
        <f>'6.6 - Lists and lookups'!AJ$78</f>
        <v>0</v>
      </c>
      <c r="AR105" s="504">
        <f>'6.6 - Lists and lookups'!AK$78</f>
        <v>0</v>
      </c>
      <c r="AS105" s="504">
        <f>'6.6 - Lists and lookups'!AL$78</f>
        <v>0</v>
      </c>
      <c r="AT105" s="504">
        <f>'6.6 - Lists and lookups'!AM$78</f>
        <v>0</v>
      </c>
      <c r="AU105" s="504">
        <f>'6.6 - Lists and lookups'!AN$78</f>
        <v>0</v>
      </c>
      <c r="AV105" s="504">
        <f>'6.6 - Lists and lookups'!AO$78</f>
        <v>0</v>
      </c>
      <c r="AW105" s="504">
        <f>'6.6 - Lists and lookups'!AP$78</f>
        <v>0</v>
      </c>
      <c r="AX105" s="504">
        <f>'6.6 - Lists and lookups'!AQ$78</f>
        <v>0</v>
      </c>
      <c r="AY105" s="504">
        <f>'6.6 - Lists and lookups'!AR$78</f>
        <v>0</v>
      </c>
      <c r="AZ105" s="504">
        <f>'6.6 - Lists and lookups'!AS$78</f>
        <v>0</v>
      </c>
      <c r="BA105" s="504">
        <f>'6.6 - Lists and lookups'!AT$78</f>
        <v>0</v>
      </c>
      <c r="BB105" s="504">
        <f>'6.6 - Lists and lookups'!AU$78</f>
        <v>0</v>
      </c>
      <c r="BC105" s="504">
        <f>'6.6 - Lists and lookups'!AV$78</f>
        <v>0</v>
      </c>
      <c r="BD105" s="504">
        <f>'6.6 - Lists and lookups'!AW$78</f>
        <v>0</v>
      </c>
      <c r="BE105" s="504">
        <f>'6.6 - Lists and lookups'!AX$78</f>
        <v>0</v>
      </c>
      <c r="BF105" s="504">
        <f>'6.6 - Lists and lookups'!AY$78</f>
        <v>0</v>
      </c>
      <c r="BG105" s="504">
        <f>'6.6 - Lists and lookups'!AZ$78</f>
        <v>0</v>
      </c>
      <c r="BH105" s="504">
        <f>'6.6 - Lists and lookups'!BA$78</f>
        <v>0</v>
      </c>
      <c r="BI105" s="504">
        <f>'6.6 - Lists and lookups'!BB$78</f>
        <v>0</v>
      </c>
      <c r="BJ105" s="504">
        <f>'6.6 - Lists and lookups'!BC$78</f>
        <v>0</v>
      </c>
      <c r="BK105" s="504">
        <f>'6.6 - Lists and lookups'!BD$78</f>
        <v>0</v>
      </c>
      <c r="BL105" s="504">
        <f>'6.6 - Lists and lookups'!BE$78</f>
        <v>0</v>
      </c>
      <c r="BM105" s="504">
        <f>'6.6 - Lists and lookups'!BF$78</f>
        <v>0</v>
      </c>
      <c r="BN105" s="504">
        <f>'6.6 - Lists and lookups'!BG$78</f>
        <v>0</v>
      </c>
      <c r="BO105" s="504">
        <f>'6.6 - Lists and lookups'!BH$78</f>
        <v>0</v>
      </c>
      <c r="BP105" s="504">
        <f>'6.6 - Lists and lookups'!BI$78</f>
        <v>0</v>
      </c>
      <c r="BQ105" s="507">
        <f>'6.6 - Lists and lookups'!BJ$78</f>
        <v>0</v>
      </c>
      <c r="BR105" s="226"/>
    </row>
    <row r="106" spans="1:70" s="82" customFormat="1" ht="15" customHeight="1" outlineLevel="1" thickBot="1" x14ac:dyDescent="0.35">
      <c r="B106" s="81" t="s">
        <v>303</v>
      </c>
      <c r="C106" s="225" t="s">
        <v>101</v>
      </c>
      <c r="D106" s="677"/>
      <c r="E106" s="680"/>
      <c r="F106" s="680"/>
      <c r="G106" s="680"/>
      <c r="H106" s="683"/>
      <c r="I106" s="477" t="s">
        <v>318</v>
      </c>
      <c r="J106" s="502">
        <f>J$80</f>
        <v>0</v>
      </c>
      <c r="K106" s="502">
        <f t="shared" ref="K106:BQ106" si="27">K$80</f>
        <v>0</v>
      </c>
      <c r="L106" s="502">
        <f t="shared" si="27"/>
        <v>0</v>
      </c>
      <c r="M106" s="502">
        <f t="shared" si="27"/>
        <v>0</v>
      </c>
      <c r="N106" s="502">
        <f t="shared" si="27"/>
        <v>0</v>
      </c>
      <c r="O106" s="502">
        <f t="shared" si="27"/>
        <v>0</v>
      </c>
      <c r="P106" s="502">
        <f t="shared" si="27"/>
        <v>0</v>
      </c>
      <c r="Q106" s="502">
        <f t="shared" si="27"/>
        <v>0</v>
      </c>
      <c r="R106" s="502">
        <f t="shared" si="27"/>
        <v>0</v>
      </c>
      <c r="S106" s="502">
        <f t="shared" si="27"/>
        <v>0</v>
      </c>
      <c r="T106" s="502">
        <f t="shared" si="27"/>
        <v>0</v>
      </c>
      <c r="U106" s="502">
        <f t="shared" si="27"/>
        <v>0</v>
      </c>
      <c r="V106" s="502">
        <f t="shared" si="27"/>
        <v>0</v>
      </c>
      <c r="W106" s="502">
        <f t="shared" si="27"/>
        <v>0</v>
      </c>
      <c r="X106" s="502">
        <f t="shared" si="27"/>
        <v>0</v>
      </c>
      <c r="Y106" s="502">
        <f t="shared" si="27"/>
        <v>0</v>
      </c>
      <c r="Z106" s="502">
        <f t="shared" si="27"/>
        <v>0</v>
      </c>
      <c r="AA106" s="502">
        <f t="shared" si="27"/>
        <v>0</v>
      </c>
      <c r="AB106" s="502">
        <f t="shared" si="27"/>
        <v>0</v>
      </c>
      <c r="AC106" s="502">
        <f t="shared" si="27"/>
        <v>0</v>
      </c>
      <c r="AD106" s="502">
        <f t="shared" si="27"/>
        <v>0</v>
      </c>
      <c r="AE106" s="502">
        <f t="shared" si="27"/>
        <v>0</v>
      </c>
      <c r="AF106" s="502">
        <f t="shared" si="27"/>
        <v>0</v>
      </c>
      <c r="AG106" s="502">
        <f t="shared" si="27"/>
        <v>0</v>
      </c>
      <c r="AH106" s="502">
        <f t="shared" si="27"/>
        <v>0</v>
      </c>
      <c r="AI106" s="502">
        <f t="shared" si="27"/>
        <v>0</v>
      </c>
      <c r="AJ106" s="502">
        <f t="shared" si="27"/>
        <v>0</v>
      </c>
      <c r="AK106" s="502">
        <f t="shared" si="27"/>
        <v>0</v>
      </c>
      <c r="AL106" s="502">
        <f t="shared" si="27"/>
        <v>0</v>
      </c>
      <c r="AM106" s="502">
        <f t="shared" si="27"/>
        <v>0</v>
      </c>
      <c r="AN106" s="502">
        <f t="shared" si="27"/>
        <v>0</v>
      </c>
      <c r="AO106" s="502">
        <f t="shared" si="27"/>
        <v>0</v>
      </c>
      <c r="AP106" s="502">
        <f t="shared" si="27"/>
        <v>0</v>
      </c>
      <c r="AQ106" s="502">
        <f t="shared" si="27"/>
        <v>0</v>
      </c>
      <c r="AR106" s="502">
        <f t="shared" si="27"/>
        <v>0</v>
      </c>
      <c r="AS106" s="502">
        <f t="shared" si="27"/>
        <v>0</v>
      </c>
      <c r="AT106" s="502">
        <f t="shared" si="27"/>
        <v>0</v>
      </c>
      <c r="AU106" s="502">
        <f t="shared" si="27"/>
        <v>0</v>
      </c>
      <c r="AV106" s="502">
        <f t="shared" si="27"/>
        <v>0</v>
      </c>
      <c r="AW106" s="502">
        <f t="shared" si="27"/>
        <v>0</v>
      </c>
      <c r="AX106" s="502">
        <f t="shared" si="27"/>
        <v>0</v>
      </c>
      <c r="AY106" s="502">
        <f t="shared" si="27"/>
        <v>0</v>
      </c>
      <c r="AZ106" s="502">
        <f t="shared" si="27"/>
        <v>0</v>
      </c>
      <c r="BA106" s="502">
        <f t="shared" si="27"/>
        <v>0</v>
      </c>
      <c r="BB106" s="502">
        <f t="shared" si="27"/>
        <v>0</v>
      </c>
      <c r="BC106" s="502">
        <f t="shared" si="27"/>
        <v>0</v>
      </c>
      <c r="BD106" s="502">
        <f t="shared" si="27"/>
        <v>0</v>
      </c>
      <c r="BE106" s="502">
        <f t="shared" si="27"/>
        <v>0</v>
      </c>
      <c r="BF106" s="502">
        <f t="shared" si="27"/>
        <v>0</v>
      </c>
      <c r="BG106" s="502">
        <f t="shared" si="27"/>
        <v>0</v>
      </c>
      <c r="BH106" s="502">
        <f t="shared" si="27"/>
        <v>0</v>
      </c>
      <c r="BI106" s="502">
        <f t="shared" si="27"/>
        <v>0</v>
      </c>
      <c r="BJ106" s="502">
        <f t="shared" si="27"/>
        <v>0</v>
      </c>
      <c r="BK106" s="502">
        <f t="shared" si="27"/>
        <v>0</v>
      </c>
      <c r="BL106" s="502">
        <f t="shared" si="27"/>
        <v>0</v>
      </c>
      <c r="BM106" s="502">
        <f t="shared" si="27"/>
        <v>0</v>
      </c>
      <c r="BN106" s="502">
        <f t="shared" si="27"/>
        <v>0</v>
      </c>
      <c r="BO106" s="502">
        <f t="shared" si="27"/>
        <v>0</v>
      </c>
      <c r="BP106" s="502">
        <f t="shared" si="27"/>
        <v>0</v>
      </c>
      <c r="BQ106" s="503">
        <f t="shared" si="27"/>
        <v>0</v>
      </c>
      <c r="BR106" s="227"/>
    </row>
    <row r="107" spans="1:70" s="82" customFormat="1" ht="13" outlineLevel="1" x14ac:dyDescent="0.3">
      <c r="B107" s="161" t="str">
        <f t="shared" ref="B107:C109" si="28">B94</f>
        <v>0-0.5 miles</v>
      </c>
      <c r="C107" s="228" t="e">
        <f t="shared" si="28"/>
        <v>#N/A</v>
      </c>
      <c r="D107" s="401">
        <f>MAX(0,$D$69*$C$27+$D$70*$C$28+$D$71*$C$29+IF('2. General project information'!$C$85="Local authority",$G$45,IF('2. General project information'!$C$85="4 mile radius",$G$44,IF('2. General project information'!$C$85="2 mile radius",$G$43))))</f>
        <v>0</v>
      </c>
      <c r="E107" s="401" t="e">
        <f>C107*D107/MoneyScalar</f>
        <v>#N/A</v>
      </c>
      <c r="F107" s="401" t="e">
        <f>E107-PV(0.035,9,E107)</f>
        <v>#N/A</v>
      </c>
      <c r="G107" s="401" t="e">
        <f>F107/DF_Appraisal_Period</f>
        <v>#N/A</v>
      </c>
      <c r="H107" s="445" t="e">
        <f>SUM(J107:BQ107)</f>
        <v>#N/A</v>
      </c>
      <c r="I107" s="523"/>
      <c r="J107" s="445" t="e">
        <f>$G107*J$80*J$105</f>
        <v>#N/A</v>
      </c>
      <c r="K107" s="240" t="e">
        <f t="shared" ref="K107:Z109" si="29">$G107*K$80*K$105</f>
        <v>#N/A</v>
      </c>
      <c r="L107" s="240" t="e">
        <f t="shared" si="29"/>
        <v>#N/A</v>
      </c>
      <c r="M107" s="240" t="e">
        <f t="shared" si="29"/>
        <v>#N/A</v>
      </c>
      <c r="N107" s="240" t="e">
        <f t="shared" si="29"/>
        <v>#N/A</v>
      </c>
      <c r="O107" s="240" t="e">
        <f t="shared" si="29"/>
        <v>#N/A</v>
      </c>
      <c r="P107" s="240" t="e">
        <f t="shared" si="29"/>
        <v>#N/A</v>
      </c>
      <c r="Q107" s="240" t="e">
        <f t="shared" si="29"/>
        <v>#N/A</v>
      </c>
      <c r="R107" s="240" t="e">
        <f t="shared" si="29"/>
        <v>#N/A</v>
      </c>
      <c r="S107" s="240" t="e">
        <f t="shared" si="29"/>
        <v>#N/A</v>
      </c>
      <c r="T107" s="240" t="e">
        <f t="shared" si="29"/>
        <v>#N/A</v>
      </c>
      <c r="U107" s="240" t="e">
        <f t="shared" si="29"/>
        <v>#N/A</v>
      </c>
      <c r="V107" s="240" t="e">
        <f t="shared" si="29"/>
        <v>#N/A</v>
      </c>
      <c r="W107" s="240" t="e">
        <f t="shared" si="29"/>
        <v>#N/A</v>
      </c>
      <c r="X107" s="240" t="e">
        <f t="shared" si="29"/>
        <v>#N/A</v>
      </c>
      <c r="Y107" s="240" t="e">
        <f t="shared" si="29"/>
        <v>#N/A</v>
      </c>
      <c r="Z107" s="240" t="e">
        <f t="shared" si="29"/>
        <v>#N/A</v>
      </c>
      <c r="AA107" s="240" t="e">
        <f t="shared" ref="AA107:AP109" si="30">$G107*AA$80*AA$105</f>
        <v>#N/A</v>
      </c>
      <c r="AB107" s="240" t="e">
        <f t="shared" si="30"/>
        <v>#N/A</v>
      </c>
      <c r="AC107" s="240" t="e">
        <f t="shared" si="30"/>
        <v>#N/A</v>
      </c>
      <c r="AD107" s="240" t="e">
        <f t="shared" si="30"/>
        <v>#N/A</v>
      </c>
      <c r="AE107" s="240" t="e">
        <f t="shared" si="30"/>
        <v>#N/A</v>
      </c>
      <c r="AF107" s="240" t="e">
        <f t="shared" si="30"/>
        <v>#N/A</v>
      </c>
      <c r="AG107" s="240" t="e">
        <f t="shared" si="30"/>
        <v>#N/A</v>
      </c>
      <c r="AH107" s="240" t="e">
        <f t="shared" si="30"/>
        <v>#N/A</v>
      </c>
      <c r="AI107" s="240" t="e">
        <f t="shared" si="30"/>
        <v>#N/A</v>
      </c>
      <c r="AJ107" s="240" t="e">
        <f t="shared" si="30"/>
        <v>#N/A</v>
      </c>
      <c r="AK107" s="240" t="e">
        <f t="shared" si="30"/>
        <v>#N/A</v>
      </c>
      <c r="AL107" s="240" t="e">
        <f t="shared" si="30"/>
        <v>#N/A</v>
      </c>
      <c r="AM107" s="240" t="e">
        <f t="shared" si="30"/>
        <v>#N/A</v>
      </c>
      <c r="AN107" s="240" t="e">
        <f t="shared" si="30"/>
        <v>#N/A</v>
      </c>
      <c r="AO107" s="240" t="e">
        <f t="shared" si="30"/>
        <v>#N/A</v>
      </c>
      <c r="AP107" s="240" t="e">
        <f t="shared" si="30"/>
        <v>#N/A</v>
      </c>
      <c r="AQ107" s="240" t="e">
        <f t="shared" ref="AQ107:BF109" si="31">$G107*AQ$80*AQ$105</f>
        <v>#N/A</v>
      </c>
      <c r="AR107" s="240" t="e">
        <f t="shared" si="31"/>
        <v>#N/A</v>
      </c>
      <c r="AS107" s="240" t="e">
        <f t="shared" si="31"/>
        <v>#N/A</v>
      </c>
      <c r="AT107" s="240" t="e">
        <f t="shared" si="31"/>
        <v>#N/A</v>
      </c>
      <c r="AU107" s="240" t="e">
        <f t="shared" si="31"/>
        <v>#N/A</v>
      </c>
      <c r="AV107" s="240" t="e">
        <f t="shared" si="31"/>
        <v>#N/A</v>
      </c>
      <c r="AW107" s="240" t="e">
        <f t="shared" si="31"/>
        <v>#N/A</v>
      </c>
      <c r="AX107" s="240" t="e">
        <f t="shared" si="31"/>
        <v>#N/A</v>
      </c>
      <c r="AY107" s="240" t="e">
        <f t="shared" si="31"/>
        <v>#N/A</v>
      </c>
      <c r="AZ107" s="240" t="e">
        <f t="shared" si="31"/>
        <v>#N/A</v>
      </c>
      <c r="BA107" s="240" t="e">
        <f t="shared" si="31"/>
        <v>#N/A</v>
      </c>
      <c r="BB107" s="240" t="e">
        <f t="shared" si="31"/>
        <v>#N/A</v>
      </c>
      <c r="BC107" s="240" t="e">
        <f t="shared" si="31"/>
        <v>#N/A</v>
      </c>
      <c r="BD107" s="240" t="e">
        <f t="shared" si="31"/>
        <v>#N/A</v>
      </c>
      <c r="BE107" s="240" t="e">
        <f t="shared" si="31"/>
        <v>#N/A</v>
      </c>
      <c r="BF107" s="240" t="e">
        <f t="shared" si="31"/>
        <v>#N/A</v>
      </c>
      <c r="BG107" s="240" t="e">
        <f t="shared" ref="BG107:BQ109" si="32">$G107*BG$80*BG$105</f>
        <v>#N/A</v>
      </c>
      <c r="BH107" s="240" t="e">
        <f t="shared" si="32"/>
        <v>#N/A</v>
      </c>
      <c r="BI107" s="240" t="e">
        <f t="shared" si="32"/>
        <v>#N/A</v>
      </c>
      <c r="BJ107" s="240" t="e">
        <f t="shared" si="32"/>
        <v>#N/A</v>
      </c>
      <c r="BK107" s="240" t="e">
        <f t="shared" si="32"/>
        <v>#N/A</v>
      </c>
      <c r="BL107" s="240" t="e">
        <f t="shared" si="32"/>
        <v>#N/A</v>
      </c>
      <c r="BM107" s="240" t="e">
        <f t="shared" si="32"/>
        <v>#N/A</v>
      </c>
      <c r="BN107" s="240" t="e">
        <f t="shared" si="32"/>
        <v>#N/A</v>
      </c>
      <c r="BO107" s="240" t="e">
        <f t="shared" si="32"/>
        <v>#N/A</v>
      </c>
      <c r="BP107" s="240" t="e">
        <f t="shared" si="32"/>
        <v>#N/A</v>
      </c>
      <c r="BQ107" s="492" t="e">
        <f t="shared" si="32"/>
        <v>#N/A</v>
      </c>
      <c r="BR107" s="89"/>
    </row>
    <row r="108" spans="1:70" s="82" customFormat="1" ht="13" outlineLevel="1" x14ac:dyDescent="0.3">
      <c r="B108" s="164" t="str">
        <f t="shared" si="28"/>
        <v>0.5-1 miles</v>
      </c>
      <c r="C108" s="231" t="e">
        <f t="shared" si="28"/>
        <v>#N/A</v>
      </c>
      <c r="D108" s="403">
        <f>MAX(0,E69*$C$27+E70*$C$28+E71*$C$29+IF('2. General project information'!$C$85="Local authority",$G$45,IF('2. General project information'!$C$85="4 mile radius",$G$44,IF('2. General project information'!$C$85="2 mile radius",$G$43))))</f>
        <v>0</v>
      </c>
      <c r="E108" s="403" t="e">
        <f>C108*D108/MoneyScalar</f>
        <v>#N/A</v>
      </c>
      <c r="F108" s="403" t="e">
        <f>E108-PV(0.035,9,E108)</f>
        <v>#N/A</v>
      </c>
      <c r="G108" s="403" t="e">
        <f>F108/DF_Appraisal_Period</f>
        <v>#N/A</v>
      </c>
      <c r="H108" s="446" t="e">
        <f t="shared" ref="H108:H109" si="33">SUM(J108:BQ108)</f>
        <v>#N/A</v>
      </c>
      <c r="I108" s="524"/>
      <c r="J108" s="446" t="e">
        <f t="shared" ref="J108:J109" si="34">$G108*J$80*J$105</f>
        <v>#N/A</v>
      </c>
      <c r="K108" s="89" t="e">
        <f t="shared" si="29"/>
        <v>#N/A</v>
      </c>
      <c r="L108" s="89" t="e">
        <f t="shared" si="29"/>
        <v>#N/A</v>
      </c>
      <c r="M108" s="89" t="e">
        <f t="shared" si="29"/>
        <v>#N/A</v>
      </c>
      <c r="N108" s="89" t="e">
        <f t="shared" si="29"/>
        <v>#N/A</v>
      </c>
      <c r="O108" s="89" t="e">
        <f t="shared" si="29"/>
        <v>#N/A</v>
      </c>
      <c r="P108" s="89" t="e">
        <f t="shared" si="29"/>
        <v>#N/A</v>
      </c>
      <c r="Q108" s="89" t="e">
        <f t="shared" si="29"/>
        <v>#N/A</v>
      </c>
      <c r="R108" s="89" t="e">
        <f t="shared" si="29"/>
        <v>#N/A</v>
      </c>
      <c r="S108" s="89" t="e">
        <f t="shared" si="29"/>
        <v>#N/A</v>
      </c>
      <c r="T108" s="89" t="e">
        <f t="shared" si="29"/>
        <v>#N/A</v>
      </c>
      <c r="U108" s="89" t="e">
        <f t="shared" si="29"/>
        <v>#N/A</v>
      </c>
      <c r="V108" s="89" t="e">
        <f t="shared" si="29"/>
        <v>#N/A</v>
      </c>
      <c r="W108" s="89" t="e">
        <f t="shared" si="29"/>
        <v>#N/A</v>
      </c>
      <c r="X108" s="89" t="e">
        <f t="shared" si="29"/>
        <v>#N/A</v>
      </c>
      <c r="Y108" s="89" t="e">
        <f t="shared" si="29"/>
        <v>#N/A</v>
      </c>
      <c r="Z108" s="89" t="e">
        <f t="shared" si="29"/>
        <v>#N/A</v>
      </c>
      <c r="AA108" s="89" t="e">
        <f t="shared" si="30"/>
        <v>#N/A</v>
      </c>
      <c r="AB108" s="89" t="e">
        <f t="shared" si="30"/>
        <v>#N/A</v>
      </c>
      <c r="AC108" s="89" t="e">
        <f t="shared" si="30"/>
        <v>#N/A</v>
      </c>
      <c r="AD108" s="89" t="e">
        <f t="shared" si="30"/>
        <v>#N/A</v>
      </c>
      <c r="AE108" s="89" t="e">
        <f t="shared" si="30"/>
        <v>#N/A</v>
      </c>
      <c r="AF108" s="89" t="e">
        <f t="shared" si="30"/>
        <v>#N/A</v>
      </c>
      <c r="AG108" s="89" t="e">
        <f t="shared" si="30"/>
        <v>#N/A</v>
      </c>
      <c r="AH108" s="89" t="e">
        <f t="shared" si="30"/>
        <v>#N/A</v>
      </c>
      <c r="AI108" s="89" t="e">
        <f t="shared" si="30"/>
        <v>#N/A</v>
      </c>
      <c r="AJ108" s="89" t="e">
        <f t="shared" si="30"/>
        <v>#N/A</v>
      </c>
      <c r="AK108" s="89" t="e">
        <f t="shared" si="30"/>
        <v>#N/A</v>
      </c>
      <c r="AL108" s="89" t="e">
        <f t="shared" si="30"/>
        <v>#N/A</v>
      </c>
      <c r="AM108" s="89" t="e">
        <f t="shared" si="30"/>
        <v>#N/A</v>
      </c>
      <c r="AN108" s="89" t="e">
        <f t="shared" si="30"/>
        <v>#N/A</v>
      </c>
      <c r="AO108" s="89" t="e">
        <f t="shared" si="30"/>
        <v>#N/A</v>
      </c>
      <c r="AP108" s="89" t="e">
        <f t="shared" si="30"/>
        <v>#N/A</v>
      </c>
      <c r="AQ108" s="89" t="e">
        <f t="shared" si="31"/>
        <v>#N/A</v>
      </c>
      <c r="AR108" s="89" t="e">
        <f t="shared" si="31"/>
        <v>#N/A</v>
      </c>
      <c r="AS108" s="89" t="e">
        <f t="shared" si="31"/>
        <v>#N/A</v>
      </c>
      <c r="AT108" s="89" t="e">
        <f t="shared" si="31"/>
        <v>#N/A</v>
      </c>
      <c r="AU108" s="89" t="e">
        <f t="shared" si="31"/>
        <v>#N/A</v>
      </c>
      <c r="AV108" s="89" t="e">
        <f t="shared" si="31"/>
        <v>#N/A</v>
      </c>
      <c r="AW108" s="89" t="e">
        <f t="shared" si="31"/>
        <v>#N/A</v>
      </c>
      <c r="AX108" s="89" t="e">
        <f t="shared" si="31"/>
        <v>#N/A</v>
      </c>
      <c r="AY108" s="89" t="e">
        <f t="shared" si="31"/>
        <v>#N/A</v>
      </c>
      <c r="AZ108" s="89" t="e">
        <f t="shared" si="31"/>
        <v>#N/A</v>
      </c>
      <c r="BA108" s="89" t="e">
        <f t="shared" si="31"/>
        <v>#N/A</v>
      </c>
      <c r="BB108" s="89" t="e">
        <f t="shared" si="31"/>
        <v>#N/A</v>
      </c>
      <c r="BC108" s="89" t="e">
        <f t="shared" si="31"/>
        <v>#N/A</v>
      </c>
      <c r="BD108" s="89" t="e">
        <f t="shared" si="31"/>
        <v>#N/A</v>
      </c>
      <c r="BE108" s="89" t="e">
        <f t="shared" si="31"/>
        <v>#N/A</v>
      </c>
      <c r="BF108" s="89" t="e">
        <f t="shared" si="31"/>
        <v>#N/A</v>
      </c>
      <c r="BG108" s="89" t="e">
        <f t="shared" si="32"/>
        <v>#N/A</v>
      </c>
      <c r="BH108" s="89" t="e">
        <f t="shared" si="32"/>
        <v>#N/A</v>
      </c>
      <c r="BI108" s="89" t="e">
        <f t="shared" si="32"/>
        <v>#N/A</v>
      </c>
      <c r="BJ108" s="89" t="e">
        <f t="shared" si="32"/>
        <v>#N/A</v>
      </c>
      <c r="BK108" s="89" t="e">
        <f t="shared" si="32"/>
        <v>#N/A</v>
      </c>
      <c r="BL108" s="89" t="e">
        <f t="shared" si="32"/>
        <v>#N/A</v>
      </c>
      <c r="BM108" s="89" t="e">
        <f t="shared" si="32"/>
        <v>#N/A</v>
      </c>
      <c r="BN108" s="89" t="e">
        <f t="shared" si="32"/>
        <v>#N/A</v>
      </c>
      <c r="BO108" s="89" t="e">
        <f t="shared" si="32"/>
        <v>#N/A</v>
      </c>
      <c r="BP108" s="89" t="e">
        <f t="shared" si="32"/>
        <v>#N/A</v>
      </c>
      <c r="BQ108" s="606" t="e">
        <f t="shared" si="32"/>
        <v>#N/A</v>
      </c>
      <c r="BR108" s="89"/>
    </row>
    <row r="109" spans="1:70" s="82" customFormat="1" ht="13.5" outlineLevel="1" thickBot="1" x14ac:dyDescent="0.35">
      <c r="B109" s="232" t="str">
        <f t="shared" si="28"/>
        <v>1-2 miles</v>
      </c>
      <c r="C109" s="233" t="e">
        <f t="shared" si="28"/>
        <v>#N/A</v>
      </c>
      <c r="D109" s="404">
        <f>MAX(0,F69*$C$27+F70*$C$28+F71*$C$29+IF('2. General project information'!$C$85="Local authority",$G$45,IF('2. General project information'!$C$85="4 mile radius",$G$44,IF('2. General project information'!$C$85="2 mile radius",$G$43))))</f>
        <v>0</v>
      </c>
      <c r="E109" s="404" t="e">
        <f>C109*D109/MoneyScalar</f>
        <v>#N/A</v>
      </c>
      <c r="F109" s="404" t="e">
        <f>E109-PV(0.035,9,E109)</f>
        <v>#N/A</v>
      </c>
      <c r="G109" s="404" t="e">
        <f>F109/DF_Appraisal_Period</f>
        <v>#N/A</v>
      </c>
      <c r="H109" s="447" t="e">
        <f t="shared" si="33"/>
        <v>#N/A</v>
      </c>
      <c r="I109" s="524"/>
      <c r="J109" s="447" t="e">
        <f t="shared" si="34"/>
        <v>#N/A</v>
      </c>
      <c r="K109" s="241" t="e">
        <f t="shared" si="29"/>
        <v>#N/A</v>
      </c>
      <c r="L109" s="241" t="e">
        <f t="shared" si="29"/>
        <v>#N/A</v>
      </c>
      <c r="M109" s="241" t="e">
        <f t="shared" si="29"/>
        <v>#N/A</v>
      </c>
      <c r="N109" s="241" t="e">
        <f t="shared" si="29"/>
        <v>#N/A</v>
      </c>
      <c r="O109" s="241" t="e">
        <f t="shared" si="29"/>
        <v>#N/A</v>
      </c>
      <c r="P109" s="241" t="e">
        <f t="shared" si="29"/>
        <v>#N/A</v>
      </c>
      <c r="Q109" s="241" t="e">
        <f t="shared" si="29"/>
        <v>#N/A</v>
      </c>
      <c r="R109" s="241" t="e">
        <f t="shared" si="29"/>
        <v>#N/A</v>
      </c>
      <c r="S109" s="241" t="e">
        <f t="shared" si="29"/>
        <v>#N/A</v>
      </c>
      <c r="T109" s="241" t="e">
        <f t="shared" si="29"/>
        <v>#N/A</v>
      </c>
      <c r="U109" s="241" t="e">
        <f t="shared" si="29"/>
        <v>#N/A</v>
      </c>
      <c r="V109" s="241" t="e">
        <f t="shared" si="29"/>
        <v>#N/A</v>
      </c>
      <c r="W109" s="241" t="e">
        <f t="shared" si="29"/>
        <v>#N/A</v>
      </c>
      <c r="X109" s="241" t="e">
        <f t="shared" si="29"/>
        <v>#N/A</v>
      </c>
      <c r="Y109" s="241" t="e">
        <f t="shared" si="29"/>
        <v>#N/A</v>
      </c>
      <c r="Z109" s="241" t="e">
        <f t="shared" si="29"/>
        <v>#N/A</v>
      </c>
      <c r="AA109" s="241" t="e">
        <f t="shared" si="30"/>
        <v>#N/A</v>
      </c>
      <c r="AB109" s="241" t="e">
        <f t="shared" si="30"/>
        <v>#N/A</v>
      </c>
      <c r="AC109" s="241" t="e">
        <f t="shared" si="30"/>
        <v>#N/A</v>
      </c>
      <c r="AD109" s="241" t="e">
        <f t="shared" si="30"/>
        <v>#N/A</v>
      </c>
      <c r="AE109" s="241" t="e">
        <f t="shared" si="30"/>
        <v>#N/A</v>
      </c>
      <c r="AF109" s="241" t="e">
        <f t="shared" si="30"/>
        <v>#N/A</v>
      </c>
      <c r="AG109" s="241" t="e">
        <f t="shared" si="30"/>
        <v>#N/A</v>
      </c>
      <c r="AH109" s="241" t="e">
        <f t="shared" si="30"/>
        <v>#N/A</v>
      </c>
      <c r="AI109" s="241" t="e">
        <f t="shared" si="30"/>
        <v>#N/A</v>
      </c>
      <c r="AJ109" s="241" t="e">
        <f t="shared" si="30"/>
        <v>#N/A</v>
      </c>
      <c r="AK109" s="241" t="e">
        <f t="shared" si="30"/>
        <v>#N/A</v>
      </c>
      <c r="AL109" s="241" t="e">
        <f t="shared" si="30"/>
        <v>#N/A</v>
      </c>
      <c r="AM109" s="241" t="e">
        <f t="shared" si="30"/>
        <v>#N/A</v>
      </c>
      <c r="AN109" s="241" t="e">
        <f t="shared" si="30"/>
        <v>#N/A</v>
      </c>
      <c r="AO109" s="241" t="e">
        <f t="shared" si="30"/>
        <v>#N/A</v>
      </c>
      <c r="AP109" s="241" t="e">
        <f t="shared" si="30"/>
        <v>#N/A</v>
      </c>
      <c r="AQ109" s="241" t="e">
        <f t="shared" si="31"/>
        <v>#N/A</v>
      </c>
      <c r="AR109" s="241" t="e">
        <f t="shared" si="31"/>
        <v>#N/A</v>
      </c>
      <c r="AS109" s="241" t="e">
        <f t="shared" si="31"/>
        <v>#N/A</v>
      </c>
      <c r="AT109" s="241" t="e">
        <f t="shared" si="31"/>
        <v>#N/A</v>
      </c>
      <c r="AU109" s="241" t="e">
        <f t="shared" si="31"/>
        <v>#N/A</v>
      </c>
      <c r="AV109" s="241" t="e">
        <f t="shared" si="31"/>
        <v>#N/A</v>
      </c>
      <c r="AW109" s="241" t="e">
        <f t="shared" si="31"/>
        <v>#N/A</v>
      </c>
      <c r="AX109" s="241" t="e">
        <f t="shared" si="31"/>
        <v>#N/A</v>
      </c>
      <c r="AY109" s="241" t="e">
        <f t="shared" si="31"/>
        <v>#N/A</v>
      </c>
      <c r="AZ109" s="241" t="e">
        <f t="shared" si="31"/>
        <v>#N/A</v>
      </c>
      <c r="BA109" s="241" t="e">
        <f t="shared" si="31"/>
        <v>#N/A</v>
      </c>
      <c r="BB109" s="241" t="e">
        <f t="shared" si="31"/>
        <v>#N/A</v>
      </c>
      <c r="BC109" s="241" t="e">
        <f t="shared" si="31"/>
        <v>#N/A</v>
      </c>
      <c r="BD109" s="241" t="e">
        <f t="shared" si="31"/>
        <v>#N/A</v>
      </c>
      <c r="BE109" s="241" t="e">
        <f t="shared" si="31"/>
        <v>#N/A</v>
      </c>
      <c r="BF109" s="241" t="e">
        <f t="shared" si="31"/>
        <v>#N/A</v>
      </c>
      <c r="BG109" s="241" t="e">
        <f t="shared" si="32"/>
        <v>#N/A</v>
      </c>
      <c r="BH109" s="241" t="e">
        <f t="shared" si="32"/>
        <v>#N/A</v>
      </c>
      <c r="BI109" s="241" t="e">
        <f t="shared" si="32"/>
        <v>#N/A</v>
      </c>
      <c r="BJ109" s="241" t="e">
        <f t="shared" si="32"/>
        <v>#N/A</v>
      </c>
      <c r="BK109" s="241" t="e">
        <f t="shared" si="32"/>
        <v>#N/A</v>
      </c>
      <c r="BL109" s="241" t="e">
        <f t="shared" si="32"/>
        <v>#N/A</v>
      </c>
      <c r="BM109" s="241" t="e">
        <f t="shared" si="32"/>
        <v>#N/A</v>
      </c>
      <c r="BN109" s="241" t="e">
        <f t="shared" si="32"/>
        <v>#N/A</v>
      </c>
      <c r="BO109" s="241" t="e">
        <f t="shared" si="32"/>
        <v>#N/A</v>
      </c>
      <c r="BP109" s="241" t="e">
        <f t="shared" si="32"/>
        <v>#N/A</v>
      </c>
      <c r="BQ109" s="493" t="e">
        <f t="shared" si="32"/>
        <v>#N/A</v>
      </c>
      <c r="BR109" s="89"/>
    </row>
    <row r="110" spans="1:70" s="82" customFormat="1" ht="13.5" outlineLevel="1" thickBot="1" x14ac:dyDescent="0.35">
      <c r="B110" s="117" t="str" cm="1">
        <f t="array" ref="B110">NDT</f>
        <v>Non-discounted total (£, )</v>
      </c>
      <c r="C110" s="156" t="e">
        <f>SUM(C107:C109)</f>
        <v>#N/A</v>
      </c>
      <c r="D110" s="234" t="e">
        <f>SUMPRODUCT(C107:C109,D107:D109)/C110</f>
        <v>#N/A</v>
      </c>
      <c r="E110" s="234" t="e">
        <f>SUM(E107:E109)</f>
        <v>#N/A</v>
      </c>
      <c r="F110" s="234" t="e">
        <f>SUM(F107:F109)</f>
        <v>#N/A</v>
      </c>
      <c r="G110" s="234" t="e">
        <f>SUM(G107:G109)</f>
        <v>#N/A</v>
      </c>
      <c r="H110" s="235" t="e">
        <f>SUM(J110:BQ110)</f>
        <v>#N/A</v>
      </c>
      <c r="I110" s="524"/>
      <c r="J110" s="236" t="e">
        <f t="shared" ref="J110:BQ110" si="35">SUM(J107:J109)</f>
        <v>#N/A</v>
      </c>
      <c r="K110" s="237" t="e">
        <f t="shared" si="35"/>
        <v>#N/A</v>
      </c>
      <c r="L110" s="237" t="e">
        <f t="shared" si="35"/>
        <v>#N/A</v>
      </c>
      <c r="M110" s="237" t="e">
        <f t="shared" si="35"/>
        <v>#N/A</v>
      </c>
      <c r="N110" s="237" t="e">
        <f t="shared" si="35"/>
        <v>#N/A</v>
      </c>
      <c r="O110" s="237" t="e">
        <f t="shared" si="35"/>
        <v>#N/A</v>
      </c>
      <c r="P110" s="237" t="e">
        <f t="shared" si="35"/>
        <v>#N/A</v>
      </c>
      <c r="Q110" s="237" t="e">
        <f t="shared" si="35"/>
        <v>#N/A</v>
      </c>
      <c r="R110" s="237" t="e">
        <f t="shared" si="35"/>
        <v>#N/A</v>
      </c>
      <c r="S110" s="237" t="e">
        <f t="shared" si="35"/>
        <v>#N/A</v>
      </c>
      <c r="T110" s="237" t="e">
        <f t="shared" si="35"/>
        <v>#N/A</v>
      </c>
      <c r="U110" s="237" t="e">
        <f t="shared" si="35"/>
        <v>#N/A</v>
      </c>
      <c r="V110" s="237" t="e">
        <f t="shared" si="35"/>
        <v>#N/A</v>
      </c>
      <c r="W110" s="237" t="e">
        <f t="shared" si="35"/>
        <v>#N/A</v>
      </c>
      <c r="X110" s="237" t="e">
        <f t="shared" si="35"/>
        <v>#N/A</v>
      </c>
      <c r="Y110" s="237" t="e">
        <f t="shared" si="35"/>
        <v>#N/A</v>
      </c>
      <c r="Z110" s="237" t="e">
        <f t="shared" si="35"/>
        <v>#N/A</v>
      </c>
      <c r="AA110" s="237" t="e">
        <f t="shared" si="35"/>
        <v>#N/A</v>
      </c>
      <c r="AB110" s="237" t="e">
        <f t="shared" si="35"/>
        <v>#N/A</v>
      </c>
      <c r="AC110" s="237" t="e">
        <f t="shared" si="35"/>
        <v>#N/A</v>
      </c>
      <c r="AD110" s="237" t="e">
        <f t="shared" si="35"/>
        <v>#N/A</v>
      </c>
      <c r="AE110" s="237" t="e">
        <f t="shared" si="35"/>
        <v>#N/A</v>
      </c>
      <c r="AF110" s="237" t="e">
        <f t="shared" si="35"/>
        <v>#N/A</v>
      </c>
      <c r="AG110" s="237" t="e">
        <f t="shared" si="35"/>
        <v>#N/A</v>
      </c>
      <c r="AH110" s="237" t="e">
        <f t="shared" si="35"/>
        <v>#N/A</v>
      </c>
      <c r="AI110" s="237" t="e">
        <f t="shared" si="35"/>
        <v>#N/A</v>
      </c>
      <c r="AJ110" s="237" t="e">
        <f t="shared" si="35"/>
        <v>#N/A</v>
      </c>
      <c r="AK110" s="237" t="e">
        <f t="shared" si="35"/>
        <v>#N/A</v>
      </c>
      <c r="AL110" s="237" t="e">
        <f t="shared" si="35"/>
        <v>#N/A</v>
      </c>
      <c r="AM110" s="237" t="e">
        <f t="shared" si="35"/>
        <v>#N/A</v>
      </c>
      <c r="AN110" s="237" t="e">
        <f t="shared" si="35"/>
        <v>#N/A</v>
      </c>
      <c r="AO110" s="237" t="e">
        <f t="shared" si="35"/>
        <v>#N/A</v>
      </c>
      <c r="AP110" s="237" t="e">
        <f t="shared" si="35"/>
        <v>#N/A</v>
      </c>
      <c r="AQ110" s="237" t="e">
        <f t="shared" si="35"/>
        <v>#N/A</v>
      </c>
      <c r="AR110" s="237" t="e">
        <f t="shared" si="35"/>
        <v>#N/A</v>
      </c>
      <c r="AS110" s="237" t="e">
        <f t="shared" si="35"/>
        <v>#N/A</v>
      </c>
      <c r="AT110" s="237" t="e">
        <f t="shared" si="35"/>
        <v>#N/A</v>
      </c>
      <c r="AU110" s="237" t="e">
        <f t="shared" si="35"/>
        <v>#N/A</v>
      </c>
      <c r="AV110" s="237" t="e">
        <f t="shared" si="35"/>
        <v>#N/A</v>
      </c>
      <c r="AW110" s="237" t="e">
        <f t="shared" si="35"/>
        <v>#N/A</v>
      </c>
      <c r="AX110" s="237" t="e">
        <f t="shared" si="35"/>
        <v>#N/A</v>
      </c>
      <c r="AY110" s="237" t="e">
        <f t="shared" si="35"/>
        <v>#N/A</v>
      </c>
      <c r="AZ110" s="237" t="e">
        <f t="shared" si="35"/>
        <v>#N/A</v>
      </c>
      <c r="BA110" s="237" t="e">
        <f t="shared" si="35"/>
        <v>#N/A</v>
      </c>
      <c r="BB110" s="237" t="e">
        <f t="shared" si="35"/>
        <v>#N/A</v>
      </c>
      <c r="BC110" s="237" t="e">
        <f t="shared" si="35"/>
        <v>#N/A</v>
      </c>
      <c r="BD110" s="237" t="e">
        <f t="shared" si="35"/>
        <v>#N/A</v>
      </c>
      <c r="BE110" s="237" t="e">
        <f t="shared" si="35"/>
        <v>#N/A</v>
      </c>
      <c r="BF110" s="237" t="e">
        <f t="shared" si="35"/>
        <v>#N/A</v>
      </c>
      <c r="BG110" s="237" t="e">
        <f t="shared" si="35"/>
        <v>#N/A</v>
      </c>
      <c r="BH110" s="237" t="e">
        <f t="shared" si="35"/>
        <v>#N/A</v>
      </c>
      <c r="BI110" s="237" t="e">
        <f t="shared" si="35"/>
        <v>#N/A</v>
      </c>
      <c r="BJ110" s="237" t="e">
        <f t="shared" si="35"/>
        <v>#N/A</v>
      </c>
      <c r="BK110" s="237" t="e">
        <f t="shared" si="35"/>
        <v>#N/A</v>
      </c>
      <c r="BL110" s="237" t="e">
        <f t="shared" si="35"/>
        <v>#N/A</v>
      </c>
      <c r="BM110" s="237" t="e">
        <f t="shared" si="35"/>
        <v>#N/A</v>
      </c>
      <c r="BN110" s="237" t="e">
        <f t="shared" si="35"/>
        <v>#N/A</v>
      </c>
      <c r="BO110" s="237" t="e">
        <f t="shared" si="35"/>
        <v>#N/A</v>
      </c>
      <c r="BP110" s="237" t="e">
        <f t="shared" si="35"/>
        <v>#N/A</v>
      </c>
      <c r="BQ110" s="607" t="e">
        <f t="shared" si="35"/>
        <v>#N/A</v>
      </c>
      <c r="BR110" s="497"/>
    </row>
    <row r="111" spans="1:70" s="82" customFormat="1" ht="13.5" outlineLevel="1" thickBot="1" x14ac:dyDescent="0.35">
      <c r="B111" s="117" t="str" cm="1">
        <f t="array" ref="B111">DT</f>
        <v>Discounted total (£, )</v>
      </c>
      <c r="C111" s="156" t="e">
        <f>C110</f>
        <v>#N/A</v>
      </c>
      <c r="D111" s="234" t="e">
        <f>D110</f>
        <v>#N/A</v>
      </c>
      <c r="E111" s="238" t="s">
        <v>319</v>
      </c>
      <c r="F111" s="238" t="s">
        <v>319</v>
      </c>
      <c r="G111" s="234" t="e">
        <f>G110</f>
        <v>#N/A</v>
      </c>
      <c r="H111" s="235" t="e">
        <f>SUM(J111:BQ111)</f>
        <v>#N/A</v>
      </c>
      <c r="I111" s="525"/>
      <c r="J111" s="236" t="e">
        <f t="shared" ref="J111:AO111" si="36">SUM(J107:J109)*HLOOKUP(J104,DFVector,4,FALSE)</f>
        <v>#N/A</v>
      </c>
      <c r="K111" s="237" t="e">
        <f t="shared" si="36"/>
        <v>#N/A</v>
      </c>
      <c r="L111" s="237" t="e">
        <f t="shared" si="36"/>
        <v>#N/A</v>
      </c>
      <c r="M111" s="237" t="e">
        <f t="shared" si="36"/>
        <v>#N/A</v>
      </c>
      <c r="N111" s="237" t="e">
        <f t="shared" si="36"/>
        <v>#N/A</v>
      </c>
      <c r="O111" s="237" t="e">
        <f t="shared" si="36"/>
        <v>#N/A</v>
      </c>
      <c r="P111" s="237" t="e">
        <f t="shared" si="36"/>
        <v>#N/A</v>
      </c>
      <c r="Q111" s="237" t="e">
        <f t="shared" si="36"/>
        <v>#N/A</v>
      </c>
      <c r="R111" s="237" t="e">
        <f t="shared" si="36"/>
        <v>#N/A</v>
      </c>
      <c r="S111" s="237" t="e">
        <f t="shared" si="36"/>
        <v>#N/A</v>
      </c>
      <c r="T111" s="237" t="e">
        <f t="shared" si="36"/>
        <v>#N/A</v>
      </c>
      <c r="U111" s="237" t="e">
        <f t="shared" si="36"/>
        <v>#N/A</v>
      </c>
      <c r="V111" s="237" t="e">
        <f t="shared" si="36"/>
        <v>#N/A</v>
      </c>
      <c r="W111" s="237" t="e">
        <f t="shared" si="36"/>
        <v>#N/A</v>
      </c>
      <c r="X111" s="237" t="e">
        <f t="shared" si="36"/>
        <v>#N/A</v>
      </c>
      <c r="Y111" s="237" t="e">
        <f t="shared" si="36"/>
        <v>#N/A</v>
      </c>
      <c r="Z111" s="237" t="e">
        <f t="shared" si="36"/>
        <v>#N/A</v>
      </c>
      <c r="AA111" s="237" t="e">
        <f t="shared" si="36"/>
        <v>#N/A</v>
      </c>
      <c r="AB111" s="237" t="e">
        <f t="shared" si="36"/>
        <v>#N/A</v>
      </c>
      <c r="AC111" s="237" t="e">
        <f t="shared" si="36"/>
        <v>#N/A</v>
      </c>
      <c r="AD111" s="237" t="e">
        <f t="shared" si="36"/>
        <v>#N/A</v>
      </c>
      <c r="AE111" s="237" t="e">
        <f t="shared" si="36"/>
        <v>#N/A</v>
      </c>
      <c r="AF111" s="237" t="e">
        <f t="shared" si="36"/>
        <v>#N/A</v>
      </c>
      <c r="AG111" s="237" t="e">
        <f t="shared" si="36"/>
        <v>#N/A</v>
      </c>
      <c r="AH111" s="237" t="e">
        <f t="shared" si="36"/>
        <v>#N/A</v>
      </c>
      <c r="AI111" s="237" t="e">
        <f t="shared" si="36"/>
        <v>#N/A</v>
      </c>
      <c r="AJ111" s="237" t="e">
        <f t="shared" si="36"/>
        <v>#N/A</v>
      </c>
      <c r="AK111" s="237" t="e">
        <f t="shared" si="36"/>
        <v>#N/A</v>
      </c>
      <c r="AL111" s="237" t="e">
        <f t="shared" si="36"/>
        <v>#N/A</v>
      </c>
      <c r="AM111" s="237" t="e">
        <f t="shared" si="36"/>
        <v>#N/A</v>
      </c>
      <c r="AN111" s="237" t="e">
        <f t="shared" si="36"/>
        <v>#N/A</v>
      </c>
      <c r="AO111" s="237" t="e">
        <f t="shared" si="36"/>
        <v>#N/A</v>
      </c>
      <c r="AP111" s="237" t="e">
        <f t="shared" ref="AP111:BQ111" si="37">SUM(AP107:AP109)*HLOOKUP(AP104,DFVector,4,FALSE)</f>
        <v>#N/A</v>
      </c>
      <c r="AQ111" s="237" t="e">
        <f t="shared" si="37"/>
        <v>#N/A</v>
      </c>
      <c r="AR111" s="237" t="e">
        <f t="shared" si="37"/>
        <v>#N/A</v>
      </c>
      <c r="AS111" s="237" t="e">
        <f t="shared" si="37"/>
        <v>#N/A</v>
      </c>
      <c r="AT111" s="237" t="e">
        <f t="shared" si="37"/>
        <v>#N/A</v>
      </c>
      <c r="AU111" s="237" t="e">
        <f t="shared" si="37"/>
        <v>#N/A</v>
      </c>
      <c r="AV111" s="237" t="e">
        <f t="shared" si="37"/>
        <v>#N/A</v>
      </c>
      <c r="AW111" s="237" t="e">
        <f t="shared" si="37"/>
        <v>#N/A</v>
      </c>
      <c r="AX111" s="237" t="e">
        <f t="shared" si="37"/>
        <v>#N/A</v>
      </c>
      <c r="AY111" s="237" t="e">
        <f t="shared" si="37"/>
        <v>#N/A</v>
      </c>
      <c r="AZ111" s="237" t="e">
        <f t="shared" si="37"/>
        <v>#N/A</v>
      </c>
      <c r="BA111" s="237" t="e">
        <f t="shared" si="37"/>
        <v>#N/A</v>
      </c>
      <c r="BB111" s="237" t="e">
        <f t="shared" si="37"/>
        <v>#N/A</v>
      </c>
      <c r="BC111" s="237" t="e">
        <f t="shared" si="37"/>
        <v>#N/A</v>
      </c>
      <c r="BD111" s="237" t="e">
        <f t="shared" si="37"/>
        <v>#N/A</v>
      </c>
      <c r="BE111" s="237" t="e">
        <f t="shared" si="37"/>
        <v>#N/A</v>
      </c>
      <c r="BF111" s="237" t="e">
        <f t="shared" si="37"/>
        <v>#N/A</v>
      </c>
      <c r="BG111" s="237" t="e">
        <f t="shared" si="37"/>
        <v>#N/A</v>
      </c>
      <c r="BH111" s="237" t="e">
        <f t="shared" si="37"/>
        <v>#N/A</v>
      </c>
      <c r="BI111" s="237" t="e">
        <f t="shared" si="37"/>
        <v>#N/A</v>
      </c>
      <c r="BJ111" s="237" t="e">
        <f t="shared" si="37"/>
        <v>#N/A</v>
      </c>
      <c r="BK111" s="237" t="e">
        <f t="shared" si="37"/>
        <v>#N/A</v>
      </c>
      <c r="BL111" s="237" t="e">
        <f t="shared" si="37"/>
        <v>#N/A</v>
      </c>
      <c r="BM111" s="237" t="e">
        <f t="shared" si="37"/>
        <v>#N/A</v>
      </c>
      <c r="BN111" s="237" t="e">
        <f t="shared" si="37"/>
        <v>#N/A</v>
      </c>
      <c r="BO111" s="237" t="e">
        <f t="shared" si="37"/>
        <v>#N/A</v>
      </c>
      <c r="BP111" s="237" t="e">
        <f t="shared" si="37"/>
        <v>#N/A</v>
      </c>
      <c r="BQ111" s="607" t="e">
        <f t="shared" si="37"/>
        <v>#N/A</v>
      </c>
      <c r="BR111" s="497"/>
    </row>
    <row r="112" spans="1:70" x14ac:dyDescent="0.35">
      <c r="A112" s="82"/>
      <c r="B112" s="114" t="str">
        <f>Expand</f>
        <v>Press the plus/minus to the left to expand/minimise this section</v>
      </c>
      <c r="C112" s="112"/>
      <c r="D112" s="112"/>
      <c r="E112" s="239"/>
      <c r="F112" s="239"/>
      <c r="G112" s="187"/>
      <c r="H112" s="187"/>
      <c r="I112" s="187"/>
      <c r="J112" s="187"/>
      <c r="K112" s="187"/>
      <c r="L112" s="112"/>
    </row>
    <row r="113" spans="1:12" x14ac:dyDescent="0.35">
      <c r="A113" s="82"/>
      <c r="B113" s="114"/>
      <c r="C113" s="112"/>
      <c r="D113" s="112"/>
      <c r="E113" s="239"/>
      <c r="F113" s="239"/>
      <c r="G113" s="187"/>
      <c r="H113" s="187"/>
      <c r="I113" s="187"/>
      <c r="J113" s="187"/>
      <c r="K113" s="187"/>
      <c r="L113" s="112"/>
    </row>
    <row r="114" spans="1:12" ht="16" thickBot="1" x14ac:dyDescent="0.4">
      <c r="B114" s="138" t="s">
        <v>322</v>
      </c>
      <c r="C114" s="9"/>
      <c r="D114" s="9"/>
      <c r="E114" s="9"/>
      <c r="F114" s="9"/>
      <c r="G114" s="9"/>
      <c r="H114" s="9"/>
      <c r="I114" s="9"/>
      <c r="J114" s="9"/>
    </row>
    <row r="115" spans="1:12" s="82" customFormat="1" ht="13.5" thickBot="1" x14ac:dyDescent="0.35">
      <c r="B115" s="243"/>
      <c r="C115" s="243"/>
      <c r="D115" s="112"/>
      <c r="E115" s="112"/>
      <c r="F115" s="112"/>
      <c r="G115" s="112"/>
      <c r="H115" s="112"/>
      <c r="I115" s="112"/>
      <c r="J115" s="112"/>
      <c r="K115" s="112"/>
    </row>
    <row r="116" spans="1:12" s="82" customFormat="1" ht="15" outlineLevel="1" thickBot="1" x14ac:dyDescent="0.35">
      <c r="B116" s="117" t="s">
        <v>323</v>
      </c>
      <c r="C116" s="244" t="s">
        <v>324</v>
      </c>
      <c r="D116" s="245" t="s">
        <v>325</v>
      </c>
      <c r="E116" s="246" t="s">
        <v>326</v>
      </c>
      <c r="F116" s="246" t="s">
        <v>327</v>
      </c>
      <c r="G116" s="7"/>
      <c r="H116" s="7"/>
    </row>
    <row r="117" spans="1:12" s="82" customFormat="1" outlineLevel="1" x14ac:dyDescent="0.3">
      <c r="B117" s="247" t="s">
        <v>328</v>
      </c>
      <c r="C117" s="437" t="e">
        <f>'6.1 - Value look-up'!N14</f>
        <v>#N/A</v>
      </c>
      <c r="D117" s="248" t="e">
        <f>'6.1 - Value look-up'!O14</f>
        <v>#N/A</v>
      </c>
      <c r="E117" s="436" t="e">
        <f>'6.1 - Value look-up'!P14</f>
        <v>#N/A</v>
      </c>
      <c r="F117" s="438" t="str">
        <f>'6.1 - Value look-up'!Q14</f>
        <v>£ / hh / year</v>
      </c>
      <c r="G117" s="8"/>
      <c r="H117" s="8"/>
    </row>
    <row r="118" spans="1:12" s="82" customFormat="1" outlineLevel="1" x14ac:dyDescent="0.3">
      <c r="B118" s="249" t="s">
        <v>329</v>
      </c>
      <c r="C118" s="437" t="e">
        <f>'6.1 - Value look-up'!N15</f>
        <v>#N/A</v>
      </c>
      <c r="D118" s="169" t="e">
        <f>'6.1 - Value look-up'!O15</f>
        <v>#N/A</v>
      </c>
      <c r="E118" s="439" t="e">
        <f>'6.1 - Value look-up'!P15</f>
        <v>#N/A</v>
      </c>
      <c r="F118" s="440" t="str">
        <f>'6.1 - Value look-up'!Q15</f>
        <v>£ / hh / year</v>
      </c>
      <c r="G118" s="8"/>
      <c r="H118" s="8"/>
    </row>
    <row r="119" spans="1:12" s="82" customFormat="1" outlineLevel="1" x14ac:dyDescent="0.3">
      <c r="B119" s="249" t="s">
        <v>330</v>
      </c>
      <c r="C119" s="437" t="e">
        <f>'6.1 - Value look-up'!N16</f>
        <v>#N/A</v>
      </c>
      <c r="D119" s="169" t="e">
        <f>'6.1 - Value look-up'!O16</f>
        <v>#N/A</v>
      </c>
      <c r="E119" s="439" t="e">
        <f>'6.1 - Value look-up'!P16</f>
        <v>#N/A</v>
      </c>
      <c r="F119" s="440" t="str">
        <f>'6.1 - Value look-up'!Q16</f>
        <v>£ / hh / year</v>
      </c>
      <c r="G119" s="8"/>
      <c r="H119" s="8"/>
    </row>
    <row r="120" spans="1:12" s="82" customFormat="1" outlineLevel="1" x14ac:dyDescent="0.3">
      <c r="B120" s="249" t="s">
        <v>331</v>
      </c>
      <c r="C120" s="437" t="e">
        <f>'6.1 - Value look-up'!N17</f>
        <v>#N/A</v>
      </c>
      <c r="D120" s="169" t="e">
        <f>'6.1 - Value look-up'!O17</f>
        <v>#N/A</v>
      </c>
      <c r="E120" s="439" t="e">
        <f>'6.1 - Value look-up'!P17</f>
        <v>#N/A</v>
      </c>
      <c r="F120" s="440" t="str">
        <f>'6.1 - Value look-up'!Q17</f>
        <v>£ / hh / year</v>
      </c>
      <c r="G120" s="8"/>
      <c r="H120" s="8"/>
    </row>
    <row r="121" spans="1:12" s="82" customFormat="1" ht="13" outlineLevel="1" x14ac:dyDescent="0.3">
      <c r="B121" s="249" t="s">
        <v>332</v>
      </c>
      <c r="C121" s="437" t="e">
        <f>'6.1 - Value look-up'!N18</f>
        <v>#N/A</v>
      </c>
      <c r="D121" s="169" t="e">
        <f>'6.1 - Value look-up'!O18</f>
        <v>#N/A</v>
      </c>
      <c r="E121" s="439" t="e">
        <f>'6.1 - Value look-up'!P18</f>
        <v>#N/A</v>
      </c>
      <c r="F121" s="440" t="str">
        <f>'6.1 - Value look-up'!Q18</f>
        <v>£ / hh / year</v>
      </c>
    </row>
    <row r="122" spans="1:12" s="82" customFormat="1" ht="13" outlineLevel="1" x14ac:dyDescent="0.3">
      <c r="B122" s="249" t="s">
        <v>333</v>
      </c>
      <c r="C122" s="437" t="e">
        <f>'6.1 - Value look-up'!N19</f>
        <v>#N/A</v>
      </c>
      <c r="D122" s="169" t="e">
        <f>'6.1 - Value look-up'!O19</f>
        <v>#N/A</v>
      </c>
      <c r="E122" s="439" t="e">
        <f>'6.1 - Value look-up'!P19</f>
        <v>#N/A</v>
      </c>
      <c r="F122" s="440" t="str">
        <f>'6.1 - Value look-up'!Q19</f>
        <v>£ / hh / year</v>
      </c>
      <c r="G122" s="112"/>
      <c r="H122" s="112"/>
      <c r="I122" s="89"/>
      <c r="J122" s="89"/>
      <c r="K122" s="89"/>
    </row>
    <row r="123" spans="1:12" s="82" customFormat="1" outlineLevel="1" x14ac:dyDescent="0.3">
      <c r="B123" s="249" t="s">
        <v>334</v>
      </c>
      <c r="C123" s="620">
        <f>'6.1 - Value look-up'!N20</f>
        <v>-9.3052750999999994</v>
      </c>
      <c r="D123" s="621">
        <f>'6.1 - Value look-up'!P20</f>
        <v>-5.4552750999999997</v>
      </c>
      <c r="E123" s="622">
        <f>'6.1 - Value look-up'!O20</f>
        <v>-13.155275099999999</v>
      </c>
      <c r="F123" s="440" t="str">
        <f>'6.1 - Value look-up'!Q20</f>
        <v>function parameter</v>
      </c>
      <c r="G123" s="619" t="s">
        <v>335</v>
      </c>
      <c r="H123" s="8"/>
      <c r="I123" s="89"/>
      <c r="J123" s="89"/>
      <c r="K123" s="89"/>
    </row>
    <row r="124" spans="1:12" s="82" customFormat="1" ht="13" outlineLevel="1" x14ac:dyDescent="0.3">
      <c r="B124" s="249" t="s">
        <v>336</v>
      </c>
      <c r="C124" s="620">
        <f>'6.1 - Value look-up'!N21</f>
        <v>3.2896407000000001</v>
      </c>
      <c r="D124" s="621">
        <f>'6.1 - Value look-up'!O21</f>
        <v>-0.61035930000000027</v>
      </c>
      <c r="E124" s="622">
        <f>'6.1 - Value look-up'!P21</f>
        <v>7.1896407</v>
      </c>
      <c r="F124" s="440" t="str">
        <f>'6.1 - Value look-up'!Q21</f>
        <v>function parameter</v>
      </c>
      <c r="G124" s="112"/>
      <c r="H124" s="112"/>
    </row>
    <row r="125" spans="1:12" s="82" customFormat="1" ht="13" outlineLevel="1" x14ac:dyDescent="0.3">
      <c r="B125" s="249" t="s">
        <v>337</v>
      </c>
      <c r="C125" s="620">
        <f>'6.1 - Value look-up'!N22</f>
        <v>3.0118923</v>
      </c>
      <c r="D125" s="621">
        <f>'6.1 - Value look-up'!O22</f>
        <v>1.4768923</v>
      </c>
      <c r="E125" s="622">
        <f>'6.1 - Value look-up'!P22</f>
        <v>4.5468922999999997</v>
      </c>
      <c r="F125" s="440" t="str">
        <f>'6.1 - Value look-up'!Q22</f>
        <v>function parameter</v>
      </c>
    </row>
    <row r="126" spans="1:12" s="82" customFormat="1" ht="13.5" outlineLevel="1" thickBot="1" x14ac:dyDescent="0.35">
      <c r="B126" s="250" t="s">
        <v>338</v>
      </c>
      <c r="C126" s="441" t="e">
        <f>'6.1 - Value look-up'!N23</f>
        <v>#N/A</v>
      </c>
      <c r="D126" s="442" t="e">
        <f>'6.1 - Value look-up'!O23</f>
        <v>#N/A</v>
      </c>
      <c r="E126" s="443" t="e">
        <f>'6.1 - Value look-up'!P23</f>
        <v>#N/A</v>
      </c>
      <c r="F126" s="444" t="str">
        <f>'6.1 - Value look-up'!Q23</f>
        <v>£ / hh / year</v>
      </c>
      <c r="G126" s="169"/>
      <c r="H126" s="169"/>
    </row>
    <row r="127" spans="1:12" s="82" customFormat="1" ht="13" x14ac:dyDescent="0.3">
      <c r="B127" s="114" t="str">
        <f>Expand</f>
        <v>Press the plus/minus to the left to expand/minimise this section</v>
      </c>
      <c r="G127" s="112"/>
      <c r="H127" s="112"/>
      <c r="I127" s="112"/>
      <c r="J127" s="112"/>
      <c r="K127" s="112"/>
    </row>
    <row r="128" spans="1:12" x14ac:dyDescent="0.35"/>
    <row r="129" x14ac:dyDescent="0.35"/>
    <row r="130" x14ac:dyDescent="0.35"/>
  </sheetData>
  <sheetProtection algorithmName="SHA-512" hashValue="gMJImVUXKjauGrj7swfh69HmDpWO0A3RIfLuLUVPdvn21cLKwRKkIVRy216AQfxFN2sq++FIq90kAMT+xKRGsA==" saltValue="iZffnX4ZA8O0ym0IutEmDQ==" spinCount="100000" sheet="1" formatRows="0"/>
  <mergeCells count="24">
    <mergeCell ref="I2:K2"/>
    <mergeCell ref="B60:B62"/>
    <mergeCell ref="B13:K13"/>
    <mergeCell ref="D77:D80"/>
    <mergeCell ref="E77:E80"/>
    <mergeCell ref="F77:F80"/>
    <mergeCell ref="G77:G80"/>
    <mergeCell ref="H77:H80"/>
    <mergeCell ref="D48:F48"/>
    <mergeCell ref="B5:C5"/>
    <mergeCell ref="B51:B53"/>
    <mergeCell ref="B69:B71"/>
    <mergeCell ref="D66:F66"/>
    <mergeCell ref="D57:F57"/>
    <mergeCell ref="D90:D93"/>
    <mergeCell ref="E90:E93"/>
    <mergeCell ref="F90:F93"/>
    <mergeCell ref="G103:G106"/>
    <mergeCell ref="H103:H106"/>
    <mergeCell ref="G90:G93"/>
    <mergeCell ref="H90:H93"/>
    <mergeCell ref="D103:D106"/>
    <mergeCell ref="E103:E106"/>
    <mergeCell ref="F103:F106"/>
  </mergeCells>
  <phoneticPr fontId="10" type="noConversion"/>
  <dataValidations disablePrompts="1" count="1">
    <dataValidation type="decimal" errorStyle="warning" allowBlank="1" showInputMessage="1" showErrorMessage="1" errorTitle="Percentage Warning" error="An amount that does not add to 100% has been entered. Please verify your percentages." sqref="D35" xr:uid="{0A72C263-7073-411A-ADA7-5CBEC276D5B9}">
      <formula1>1</formula1>
      <formula2>1</formula2>
    </dataValidation>
  </dataValidations>
  <hyperlinks>
    <hyperlink ref="I2" location="Welcome!A1" display="CLICK to return to Welcome screen" xr:uid="{C227C1DF-55B0-4274-BA5D-EEC2BA295030}"/>
  </hyperlinks>
  <pageMargins left="0.7" right="0.7" top="0.75" bottom="0.75" header="0.3" footer="0.3"/>
  <pageSetup paperSize="9" orientation="portrait" r:id="rId1"/>
  <headerFooter>
    <oddFooter xml:space="preserve">&amp;C_x000D_&amp;1#&amp;"Calibri"&amp;12&amp;K0078D7 OFFICIAL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989C-E48C-43A3-A962-A371682E72B5}">
  <sheetPr codeName="Sheet11">
    <tabColor theme="6"/>
  </sheetPr>
  <dimension ref="A1:BR100"/>
  <sheetViews>
    <sheetView showGridLines="0" topLeftCell="A56" workbookViewId="0"/>
  </sheetViews>
  <sheetFormatPr defaultColWidth="0" defaultRowHeight="14.5" zeroHeight="1" outlineLevelRow="1" x14ac:dyDescent="0.35"/>
  <cols>
    <col min="1" max="1" width="2.81640625" customWidth="1"/>
    <col min="2" max="2" width="36.81640625" customWidth="1"/>
    <col min="3" max="3" width="22.54296875" customWidth="1"/>
    <col min="4" max="4" width="18.26953125" bestFit="1" customWidth="1"/>
    <col min="5" max="5" width="17" customWidth="1"/>
    <col min="6" max="6" width="12.453125" customWidth="1"/>
    <col min="7" max="7" width="20.1796875" customWidth="1"/>
    <col min="8" max="8" width="18.453125" customWidth="1"/>
    <col min="9" max="9" width="19.7265625" bestFit="1" customWidth="1"/>
    <col min="10" max="69" width="8.54296875" customWidth="1"/>
    <col min="70" max="70" width="8.81640625" customWidth="1"/>
    <col min="71" max="71" width="0" hidden="1" customWidth="1"/>
  </cols>
  <sheetData>
    <row r="1" spans="1:69" ht="3.75" customHeight="1" x14ac:dyDescent="0.35">
      <c r="A1" s="75" t="s">
        <v>339</v>
      </c>
      <c r="B1" s="76"/>
      <c r="C1" s="75"/>
      <c r="D1" s="75"/>
      <c r="E1" s="75"/>
      <c r="F1" s="75"/>
      <c r="G1" s="75"/>
      <c r="H1" s="75"/>
    </row>
    <row r="2" spans="1:69" ht="18.5" x14ac:dyDescent="0.45">
      <c r="A2" s="196"/>
      <c r="B2" s="251" t="s">
        <v>340</v>
      </c>
      <c r="C2" s="198"/>
      <c r="D2" s="198"/>
      <c r="E2" s="198"/>
      <c r="F2" s="639" t="s">
        <v>59</v>
      </c>
      <c r="G2" s="639"/>
      <c r="H2" s="639"/>
      <c r="I2" s="639"/>
      <c r="J2" s="639"/>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row>
    <row r="3" spans="1:69" ht="7.5" customHeight="1" x14ac:dyDescent="0.35"/>
    <row r="4" spans="1:69" ht="15" customHeight="1" x14ac:dyDescent="0.35">
      <c r="B4" s="81" t="s">
        <v>341</v>
      </c>
    </row>
    <row r="5" spans="1:69" ht="3.75" customHeight="1" outlineLevel="1" x14ac:dyDescent="0.35">
      <c r="A5" s="153"/>
      <c r="B5" s="691"/>
      <c r="C5" s="691"/>
      <c r="D5" s="190"/>
      <c r="E5" s="190"/>
      <c r="F5" s="190"/>
      <c r="G5" s="190"/>
      <c r="H5" s="190"/>
      <c r="I5" s="190"/>
      <c r="J5" s="190"/>
      <c r="K5" s="190"/>
    </row>
    <row r="6" spans="1:69" ht="48.75" customHeight="1" outlineLevel="1" x14ac:dyDescent="0.35">
      <c r="A6" s="153"/>
      <c r="B6" s="199"/>
      <c r="C6" s="199"/>
      <c r="D6" s="190"/>
      <c r="E6" s="190"/>
      <c r="F6" s="190"/>
      <c r="G6" s="190"/>
      <c r="H6" s="190"/>
      <c r="I6" s="190"/>
      <c r="J6" s="190"/>
      <c r="K6" s="190"/>
    </row>
    <row r="7" spans="1:69" ht="15" customHeight="1" outlineLevel="1" x14ac:dyDescent="0.35">
      <c r="A7" s="153"/>
      <c r="B7" s="199"/>
      <c r="C7" s="199"/>
      <c r="D7" s="190"/>
      <c r="E7" s="190"/>
      <c r="F7" s="190"/>
      <c r="G7" s="190"/>
      <c r="H7" s="190"/>
      <c r="I7" s="190"/>
      <c r="J7" s="190"/>
      <c r="K7" s="190"/>
    </row>
    <row r="8" spans="1:69" ht="15" customHeight="1" outlineLevel="1" x14ac:dyDescent="0.35">
      <c r="A8" s="153"/>
      <c r="B8" s="199"/>
      <c r="C8" s="199"/>
      <c r="D8" s="190"/>
      <c r="E8" s="190"/>
      <c r="F8" s="190"/>
      <c r="G8" s="190"/>
      <c r="H8" s="190"/>
      <c r="I8" s="190"/>
      <c r="J8" s="190"/>
      <c r="K8" s="190"/>
    </row>
    <row r="9" spans="1:69" ht="15" customHeight="1" outlineLevel="1" x14ac:dyDescent="0.35">
      <c r="A9" s="153"/>
      <c r="B9" s="199"/>
      <c r="C9" s="199"/>
      <c r="D9" s="190"/>
      <c r="E9" s="190"/>
      <c r="F9" s="190"/>
      <c r="G9" s="190"/>
      <c r="H9" s="190"/>
      <c r="I9" s="190"/>
      <c r="J9" s="190"/>
      <c r="K9" s="190"/>
    </row>
    <row r="10" spans="1:69" ht="15" customHeight="1" outlineLevel="1" x14ac:dyDescent="0.35">
      <c r="A10" s="153"/>
      <c r="B10" s="199"/>
      <c r="C10" s="199"/>
      <c r="D10" s="190"/>
      <c r="E10" s="190"/>
      <c r="F10" s="190"/>
      <c r="G10" s="190"/>
      <c r="H10" s="190"/>
      <c r="I10" s="190"/>
      <c r="J10" s="190"/>
      <c r="K10" s="190"/>
    </row>
    <row r="11" spans="1:69" ht="60" customHeight="1" outlineLevel="1" x14ac:dyDescent="0.35">
      <c r="A11" s="153"/>
      <c r="B11" s="199"/>
      <c r="C11" s="199"/>
      <c r="D11" s="190"/>
      <c r="E11" s="190"/>
      <c r="F11" s="190"/>
      <c r="G11" s="190"/>
      <c r="H11" s="190"/>
      <c r="I11" s="190"/>
      <c r="J11" s="190"/>
      <c r="K11" s="190"/>
    </row>
    <row r="12" spans="1:69" ht="93.75" customHeight="1" outlineLevel="1" x14ac:dyDescent="0.35">
      <c r="A12" s="153"/>
      <c r="B12" s="642" t="s">
        <v>342</v>
      </c>
      <c r="C12" s="642"/>
      <c r="D12" s="642"/>
      <c r="E12" s="642"/>
      <c r="F12" s="642"/>
      <c r="G12" s="642"/>
      <c r="H12" s="642"/>
      <c r="I12" s="642"/>
      <c r="J12" s="642"/>
      <c r="K12" s="642"/>
    </row>
    <row r="13" spans="1:69" ht="15" customHeight="1" outlineLevel="1" x14ac:dyDescent="0.35">
      <c r="A13" s="153"/>
      <c r="B13" s="127" t="s">
        <v>343</v>
      </c>
      <c r="C13" s="199"/>
      <c r="D13" s="190"/>
      <c r="E13" s="190"/>
      <c r="F13" s="190"/>
      <c r="G13" s="190"/>
      <c r="H13" s="190"/>
      <c r="I13" s="190"/>
      <c r="J13" s="190"/>
      <c r="K13" s="190"/>
    </row>
    <row r="14" spans="1:69" ht="15" customHeight="1" outlineLevel="1" x14ac:dyDescent="0.35">
      <c r="A14" s="153"/>
      <c r="B14" s="127" t="s">
        <v>276</v>
      </c>
      <c r="C14" s="199"/>
      <c r="D14" s="190"/>
      <c r="E14" s="190"/>
      <c r="F14" s="190"/>
      <c r="G14" s="190"/>
      <c r="H14" s="190"/>
      <c r="I14" s="190"/>
      <c r="J14" s="190"/>
      <c r="K14" s="190"/>
    </row>
    <row r="15" spans="1:69" ht="15" customHeight="1" outlineLevel="1" x14ac:dyDescent="0.35">
      <c r="A15" s="153"/>
      <c r="B15" s="127" t="s">
        <v>344</v>
      </c>
      <c r="C15" s="199"/>
      <c r="D15" s="190"/>
      <c r="E15" s="190"/>
      <c r="F15" s="190"/>
      <c r="G15" s="190"/>
      <c r="H15" s="190"/>
      <c r="I15" s="190"/>
      <c r="J15" s="190"/>
      <c r="K15" s="190"/>
    </row>
    <row r="16" spans="1:69" s="166" customFormat="1" ht="18" customHeight="1" x14ac:dyDescent="0.3">
      <c r="B16" s="152" t="str">
        <f>Expand</f>
        <v>Press the plus/minus to the left to expand/minimise this section</v>
      </c>
      <c r="C16" s="167"/>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row>
    <row r="17" spans="1:69" ht="15" customHeight="1" x14ac:dyDescent="0.35">
      <c r="A17" s="153"/>
      <c r="B17" s="177" t="s">
        <v>345</v>
      </c>
      <c r="C17" s="199"/>
      <c r="D17" s="190"/>
      <c r="E17" s="190"/>
      <c r="F17" s="190"/>
      <c r="G17" s="190"/>
      <c r="H17" s="190"/>
      <c r="I17" s="190"/>
      <c r="J17" s="190"/>
      <c r="K17" s="190"/>
    </row>
    <row r="18" spans="1:69" ht="7.5" customHeight="1" x14ac:dyDescent="0.35">
      <c r="A18" s="153"/>
      <c r="B18" s="177"/>
      <c r="C18" s="199"/>
      <c r="D18" s="190"/>
      <c r="E18" s="190"/>
      <c r="F18" s="190"/>
      <c r="G18" s="190"/>
      <c r="H18" s="190"/>
      <c r="I18" s="190"/>
      <c r="J18" s="190"/>
      <c r="K18" s="190"/>
    </row>
    <row r="19" spans="1:69" x14ac:dyDescent="0.35">
      <c r="A19" s="200"/>
      <c r="B19" s="201" t="s">
        <v>279</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row>
    <row r="20" spans="1:69" ht="3.75" customHeight="1" x14ac:dyDescent="0.35">
      <c r="A20" s="153"/>
      <c r="B20" s="691"/>
      <c r="C20" s="691"/>
      <c r="D20" s="190"/>
      <c r="E20" s="190"/>
      <c r="F20" s="190"/>
      <c r="G20" s="190"/>
      <c r="H20" s="190"/>
    </row>
    <row r="21" spans="1:69" ht="16" thickBot="1" x14ac:dyDescent="0.4">
      <c r="A21" s="82"/>
      <c r="B21" s="138" t="s">
        <v>346</v>
      </c>
      <c r="C21" s="110"/>
      <c r="D21" s="111"/>
      <c r="E21" s="111"/>
      <c r="F21" s="111"/>
      <c r="G21" s="111"/>
      <c r="H21" s="111"/>
    </row>
    <row r="22" spans="1:69" ht="3.75" customHeight="1" x14ac:dyDescent="0.35">
      <c r="A22" s="82"/>
      <c r="B22" s="128"/>
      <c r="C22" s="128"/>
      <c r="D22" s="112"/>
      <c r="E22" s="112"/>
      <c r="F22" s="112"/>
      <c r="G22" s="112"/>
      <c r="H22" s="112"/>
    </row>
    <row r="23" spans="1:69" ht="7.5" hidden="1" customHeight="1" outlineLevel="1" thickBot="1" x14ac:dyDescent="0.4">
      <c r="A23" s="82"/>
      <c r="B23" s="128"/>
      <c r="C23" s="128"/>
      <c r="D23" s="128"/>
      <c r="E23" s="112"/>
      <c r="F23" s="112"/>
    </row>
    <row r="24" spans="1:69" ht="15" hidden="1" outlineLevel="1" thickBot="1" x14ac:dyDescent="0.4">
      <c r="A24" s="82"/>
      <c r="B24" s="692" t="s">
        <v>347</v>
      </c>
      <c r="C24" s="692"/>
      <c r="D24" s="254" t="s">
        <v>348</v>
      </c>
      <c r="E24" s="127"/>
      <c r="F24" s="127"/>
      <c r="G24" s="127"/>
      <c r="H24" s="112"/>
    </row>
    <row r="25" spans="1:69" ht="15" hidden="1" outlineLevel="1" thickBot="1" x14ac:dyDescent="0.4">
      <c r="A25" s="82"/>
      <c r="B25" s="255" t="s">
        <v>349</v>
      </c>
      <c r="C25" s="399" t="str">
        <f>'3. Option specific inputs'!C58</f>
        <v>No</v>
      </c>
      <c r="D25" s="399" t="str">
        <f>IF('3. Option specific inputs'!F58="",'3. Option specific inputs'!E58,'3. Option specific inputs'!F58)</f>
        <v/>
      </c>
      <c r="E25" s="248"/>
      <c r="F25" s="112"/>
      <c r="G25" s="112"/>
      <c r="H25" s="112"/>
    </row>
    <row r="26" spans="1:69" ht="15" hidden="1" outlineLevel="1" thickBot="1" x14ac:dyDescent="0.4">
      <c r="A26" s="82"/>
      <c r="B26" s="255" t="s">
        <v>176</v>
      </c>
      <c r="C26" s="399" t="str">
        <f>'3. Option specific inputs'!C59</f>
        <v>No</v>
      </c>
      <c r="D26" s="399" t="str">
        <f>IF('3. Option specific inputs'!F59="",'3. Option specific inputs'!E59,'3. Option specific inputs'!F59)</f>
        <v/>
      </c>
      <c r="E26" s="248"/>
      <c r="F26" s="112"/>
      <c r="G26" s="112"/>
      <c r="H26" s="112"/>
    </row>
    <row r="27" spans="1:69" ht="15" hidden="1" outlineLevel="1" thickBot="1" x14ac:dyDescent="0.4">
      <c r="A27" s="82"/>
      <c r="B27" s="255" t="s">
        <v>177</v>
      </c>
      <c r="C27" s="399" t="str">
        <f>'3. Option specific inputs'!C60</f>
        <v>No</v>
      </c>
      <c r="D27" s="399" t="str">
        <f>IF('3. Option specific inputs'!F60="",'3. Option specific inputs'!E60,'3. Option specific inputs'!F60)</f>
        <v/>
      </c>
      <c r="E27" s="248"/>
      <c r="F27" s="112"/>
      <c r="G27" s="112"/>
      <c r="H27" s="112"/>
    </row>
    <row r="28" spans="1:69" ht="15" hidden="1" outlineLevel="1" thickBot="1" x14ac:dyDescent="0.4">
      <c r="A28" s="82"/>
      <c r="B28" s="255" t="s">
        <v>178</v>
      </c>
      <c r="C28" s="399" t="str">
        <f>'3. Option specific inputs'!C61</f>
        <v>No</v>
      </c>
      <c r="D28" s="399" t="str">
        <f>IF('3. Option specific inputs'!F61="",'3. Option specific inputs'!E61,'3. Option specific inputs'!F61)</f>
        <v/>
      </c>
      <c r="E28" s="248"/>
      <c r="F28" s="112"/>
      <c r="G28" s="112"/>
      <c r="H28" s="112"/>
    </row>
    <row r="29" spans="1:69" ht="15" hidden="1" outlineLevel="1" thickBot="1" x14ac:dyDescent="0.4">
      <c r="A29" s="82"/>
      <c r="B29" s="255" t="s">
        <v>179</v>
      </c>
      <c r="C29" s="399" t="str">
        <f>'3. Option specific inputs'!C62</f>
        <v>No</v>
      </c>
      <c r="D29" s="399" t="str">
        <f>IF('3. Option specific inputs'!F62="",'3. Option specific inputs'!E62,'3. Option specific inputs'!F62)</f>
        <v/>
      </c>
      <c r="E29" s="248"/>
      <c r="F29" s="112"/>
      <c r="G29" s="112"/>
      <c r="H29" s="112"/>
    </row>
    <row r="30" spans="1:69" ht="15" hidden="1" outlineLevel="1" thickBot="1" x14ac:dyDescent="0.4">
      <c r="A30" s="82"/>
      <c r="B30" s="86" t="s">
        <v>180</v>
      </c>
      <c r="C30" s="399" t="str">
        <f>'3. Option specific inputs'!C63</f>
        <v>No</v>
      </c>
      <c r="D30" s="399" t="str">
        <f>IF('3. Option specific inputs'!F63="",'3. Option specific inputs'!E63,'3. Option specific inputs'!F63)</f>
        <v/>
      </c>
      <c r="E30" s="248"/>
      <c r="F30" s="112"/>
      <c r="G30" s="112"/>
      <c r="H30" s="112"/>
    </row>
    <row r="31" spans="1:69" ht="15" hidden="1" outlineLevel="1" thickBot="1" x14ac:dyDescent="0.4">
      <c r="A31" s="82"/>
      <c r="B31" s="84" t="s">
        <v>181</v>
      </c>
      <c r="C31" s="399" t="str">
        <f>'3. Option specific inputs'!C64</f>
        <v>No</v>
      </c>
      <c r="D31" s="399" t="str">
        <f>IF('3. Option specific inputs'!F64="",'3. Option specific inputs'!E64,'3. Option specific inputs'!F64)</f>
        <v/>
      </c>
      <c r="E31" s="248"/>
      <c r="F31" s="112"/>
      <c r="G31" s="112"/>
      <c r="H31" s="112"/>
    </row>
    <row r="32" spans="1:69" ht="15" hidden="1" outlineLevel="1" thickBot="1" x14ac:dyDescent="0.4">
      <c r="A32" s="82"/>
      <c r="B32" s="86" t="s">
        <v>182</v>
      </c>
      <c r="C32" s="399" t="str">
        <f>'3. Option specific inputs'!C65</f>
        <v>No</v>
      </c>
      <c r="D32" s="399" t="str">
        <f>IF('3. Option specific inputs'!F65="",'3. Option specific inputs'!E65,'3. Option specific inputs'!F65)</f>
        <v/>
      </c>
      <c r="E32" s="248"/>
      <c r="F32" s="112"/>
      <c r="G32" s="112"/>
      <c r="H32" s="112"/>
    </row>
    <row r="33" spans="1:8" ht="15" hidden="1" outlineLevel="1" thickBot="1" x14ac:dyDescent="0.4">
      <c r="A33" s="82"/>
      <c r="B33" s="86" t="s">
        <v>183</v>
      </c>
      <c r="C33" s="156" t="str">
        <f>'3. Option specific inputs'!C66</f>
        <v>No</v>
      </c>
      <c r="D33" s="156" t="str">
        <f>IF('3. Option specific inputs'!F66="",'3. Option specific inputs'!E66,'3. Option specific inputs'!F66)</f>
        <v/>
      </c>
      <c r="E33" s="248"/>
      <c r="F33" s="112"/>
      <c r="G33" s="112"/>
      <c r="H33" s="112"/>
    </row>
    <row r="34" spans="1:8" ht="15" customHeight="1" collapsed="1" x14ac:dyDescent="0.35">
      <c r="A34" s="82"/>
      <c r="B34" s="114" t="str">
        <f>Expand</f>
        <v>Press the plus/minus to the left to expand/minimise this section</v>
      </c>
      <c r="C34" s="128"/>
      <c r="D34" s="203"/>
      <c r="E34" s="112"/>
      <c r="F34" s="112"/>
      <c r="G34" s="112"/>
      <c r="H34" s="112"/>
    </row>
    <row r="35" spans="1:8" ht="6" customHeight="1" x14ac:dyDescent="0.35">
      <c r="A35" s="82"/>
      <c r="B35" s="114"/>
      <c r="C35" s="128"/>
      <c r="D35" s="203"/>
      <c r="E35" s="112"/>
      <c r="F35" s="112"/>
      <c r="G35" s="112"/>
      <c r="H35" s="112"/>
    </row>
    <row r="36" spans="1:8" s="82" customFormat="1" ht="16" thickBot="1" x14ac:dyDescent="0.4">
      <c r="B36" s="138" t="s">
        <v>350</v>
      </c>
      <c r="C36" s="110"/>
      <c r="D36" s="111"/>
      <c r="E36" s="111"/>
      <c r="F36" s="111"/>
      <c r="G36" s="111"/>
      <c r="H36" s="111"/>
    </row>
    <row r="37" spans="1:8" s="82" customFormat="1" ht="6.75" customHeight="1" x14ac:dyDescent="0.3"/>
    <row r="38" spans="1:8" s="82" customFormat="1" ht="30" hidden="1" customHeight="1" outlineLevel="1" thickBot="1" x14ac:dyDescent="0.35">
      <c r="B38" s="256" t="s">
        <v>351</v>
      </c>
      <c r="C38" s="257" t="s">
        <v>352</v>
      </c>
      <c r="D38" s="258" t="s">
        <v>353</v>
      </c>
      <c r="E38" s="258" t="s">
        <v>354</v>
      </c>
      <c r="F38" s="259" t="s">
        <v>355</v>
      </c>
    </row>
    <row r="39" spans="1:8" s="82" customFormat="1" ht="15" hidden="1" customHeight="1" outlineLevel="1" x14ac:dyDescent="0.3">
      <c r="B39" s="260" t="s">
        <v>349</v>
      </c>
      <c r="C39" s="261">
        <f t="shared" ref="C39:C47" si="0">IF(C25="YES",VLOOKUP($B39,$B$88:$D$96,2,FALSE),0)</f>
        <v>0</v>
      </c>
      <c r="D39" s="262">
        <f t="shared" ref="D39:D47" si="1">IF(C25="YES",VLOOKUP($B39,$B$88:$D$96,3,FALSE),0)</f>
        <v>0</v>
      </c>
      <c r="E39" s="262">
        <f t="shared" ref="E39:E47" si="2">IF(C25="YES",VLOOKUP($B39,$B$88:$E$96,4,FALSE),0)</f>
        <v>0</v>
      </c>
      <c r="F39" s="126">
        <f t="shared" ref="F39:F47" si="3">IF(C25="YES",D25,0)</f>
        <v>0</v>
      </c>
    </row>
    <row r="40" spans="1:8" s="82" customFormat="1" ht="15" hidden="1" customHeight="1" outlineLevel="1" x14ac:dyDescent="0.3">
      <c r="B40" s="263" t="s">
        <v>176</v>
      </c>
      <c r="C40" s="261">
        <f t="shared" si="0"/>
        <v>0</v>
      </c>
      <c r="D40" s="262">
        <f t="shared" si="1"/>
        <v>0</v>
      </c>
      <c r="E40" s="262">
        <f t="shared" si="2"/>
        <v>0</v>
      </c>
      <c r="F40" s="126">
        <f t="shared" si="3"/>
        <v>0</v>
      </c>
    </row>
    <row r="41" spans="1:8" s="82" customFormat="1" ht="15" hidden="1" customHeight="1" outlineLevel="1" x14ac:dyDescent="0.3">
      <c r="B41" s="263" t="s">
        <v>177</v>
      </c>
      <c r="C41" s="261">
        <f t="shared" si="0"/>
        <v>0</v>
      </c>
      <c r="D41" s="262">
        <f t="shared" si="1"/>
        <v>0</v>
      </c>
      <c r="E41" s="262">
        <f t="shared" si="2"/>
        <v>0</v>
      </c>
      <c r="F41" s="126">
        <f t="shared" si="3"/>
        <v>0</v>
      </c>
    </row>
    <row r="42" spans="1:8" s="82" customFormat="1" ht="15" hidden="1" customHeight="1" outlineLevel="1" x14ac:dyDescent="0.3">
      <c r="B42" s="263" t="s">
        <v>178</v>
      </c>
      <c r="C42" s="261">
        <f t="shared" si="0"/>
        <v>0</v>
      </c>
      <c r="D42" s="262">
        <f t="shared" si="1"/>
        <v>0</v>
      </c>
      <c r="E42" s="262">
        <f t="shared" si="2"/>
        <v>0</v>
      </c>
      <c r="F42" s="126">
        <f t="shared" si="3"/>
        <v>0</v>
      </c>
    </row>
    <row r="43" spans="1:8" s="82" customFormat="1" ht="15" hidden="1" customHeight="1" outlineLevel="1" x14ac:dyDescent="0.3">
      <c r="B43" s="263" t="s">
        <v>179</v>
      </c>
      <c r="C43" s="261">
        <f t="shared" si="0"/>
        <v>0</v>
      </c>
      <c r="D43" s="262">
        <f t="shared" si="1"/>
        <v>0</v>
      </c>
      <c r="E43" s="262">
        <f t="shared" si="2"/>
        <v>0</v>
      </c>
      <c r="F43" s="126">
        <f t="shared" si="3"/>
        <v>0</v>
      </c>
    </row>
    <row r="44" spans="1:8" s="82" customFormat="1" ht="15" hidden="1" customHeight="1" outlineLevel="1" x14ac:dyDescent="0.3">
      <c r="B44" s="264" t="s">
        <v>180</v>
      </c>
      <c r="C44" s="261">
        <f t="shared" si="0"/>
        <v>0</v>
      </c>
      <c r="D44" s="262">
        <f t="shared" si="1"/>
        <v>0</v>
      </c>
      <c r="E44" s="262">
        <f t="shared" si="2"/>
        <v>0</v>
      </c>
      <c r="F44" s="126">
        <f t="shared" si="3"/>
        <v>0</v>
      </c>
    </row>
    <row r="45" spans="1:8" s="82" customFormat="1" ht="15" hidden="1" customHeight="1" outlineLevel="1" x14ac:dyDescent="0.3">
      <c r="B45" s="265" t="s">
        <v>181</v>
      </c>
      <c r="C45" s="261">
        <f t="shared" si="0"/>
        <v>0</v>
      </c>
      <c r="D45" s="262">
        <f t="shared" si="1"/>
        <v>0</v>
      </c>
      <c r="E45" s="262">
        <f t="shared" si="2"/>
        <v>0</v>
      </c>
      <c r="F45" s="126">
        <f t="shared" si="3"/>
        <v>0</v>
      </c>
    </row>
    <row r="46" spans="1:8" s="82" customFormat="1" ht="15" hidden="1" customHeight="1" outlineLevel="1" x14ac:dyDescent="0.3">
      <c r="B46" s="264" t="s">
        <v>182</v>
      </c>
      <c r="C46" s="261">
        <f t="shared" si="0"/>
        <v>0</v>
      </c>
      <c r="D46" s="262">
        <f t="shared" si="1"/>
        <v>0</v>
      </c>
      <c r="E46" s="262">
        <f t="shared" si="2"/>
        <v>0</v>
      </c>
      <c r="F46" s="126">
        <f t="shared" si="3"/>
        <v>0</v>
      </c>
    </row>
    <row r="47" spans="1:8" s="82" customFormat="1" ht="15" hidden="1" customHeight="1" outlineLevel="1" x14ac:dyDescent="0.3">
      <c r="B47" s="264" t="s">
        <v>183</v>
      </c>
      <c r="C47" s="261">
        <f t="shared" si="0"/>
        <v>0</v>
      </c>
      <c r="D47" s="262">
        <f t="shared" si="1"/>
        <v>0</v>
      </c>
      <c r="E47" s="262">
        <f t="shared" si="2"/>
        <v>0</v>
      </c>
      <c r="F47" s="126">
        <f t="shared" si="3"/>
        <v>0</v>
      </c>
    </row>
    <row r="48" spans="1:8" s="82" customFormat="1" ht="15" hidden="1" customHeight="1" outlineLevel="1" thickBot="1" x14ac:dyDescent="0.35">
      <c r="B48" s="232"/>
      <c r="C48" s="266"/>
      <c r="D48" s="92"/>
      <c r="E48" s="92" t="s">
        <v>356</v>
      </c>
      <c r="F48" s="151">
        <f>VLOOKUP(MAX(C39:C47),C39:F47,4,FALSE)</f>
        <v>0</v>
      </c>
    </row>
    <row r="49" spans="1:70" s="82" customFormat="1" ht="13" collapsed="1" x14ac:dyDescent="0.3">
      <c r="B49" s="114" t="str">
        <f>Expand</f>
        <v>Press the plus/minus to the left to expand/minimise this section</v>
      </c>
      <c r="C49" s="128"/>
    </row>
    <row r="50" spans="1:70" s="82" customFormat="1" ht="7.5" customHeight="1" x14ac:dyDescent="0.3">
      <c r="B50" s="114"/>
      <c r="C50" s="128"/>
    </row>
    <row r="51" spans="1:70" ht="16" thickBot="1" x14ac:dyDescent="0.4">
      <c r="A51" s="82"/>
      <c r="B51" s="138" t="s">
        <v>357</v>
      </c>
      <c r="C51" s="110"/>
      <c r="D51" s="111"/>
      <c r="E51" s="111"/>
      <c r="F51" s="111"/>
      <c r="G51" s="111"/>
      <c r="H51" s="111"/>
      <c r="I51" s="111"/>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70" s="82" customFormat="1" ht="6.75" customHeight="1" outlineLevel="1" thickBot="1" x14ac:dyDescent="0.35">
      <c r="C52" s="225"/>
      <c r="E52" s="121"/>
    </row>
    <row r="53" spans="1:70" s="82" customFormat="1" ht="15.75" customHeight="1" outlineLevel="1" x14ac:dyDescent="0.3">
      <c r="B53" s="81"/>
      <c r="C53" s="225"/>
      <c r="D53" s="693" t="s">
        <v>358</v>
      </c>
      <c r="E53" s="678" t="str" cm="1">
        <f t="array" ref="E53">TAV</f>
        <v>Total annual value (£, )</v>
      </c>
      <c r="F53" s="678" t="str">
        <f>_xlfn.CONCAT("PV for 10 years (£, ",MoneyScalarName,")")</f>
        <v>PV for 10 years (£, )</v>
      </c>
      <c r="G53" s="678" t="str">
        <f>_xlfn.CONCAT("Annual value using amortised benefits (£/yr, ",MoneyScalarName,")")</f>
        <v>Annual value using amortised benefits (£/yr, )</v>
      </c>
      <c r="H53" s="681" t="str">
        <f>_xlfn.CONCAT("Total value using amortised benefits (£, ",MoneyScalarName,")")</f>
        <v>Total value using amortised benefits (£, )</v>
      </c>
      <c r="I53" s="505" t="s">
        <v>315</v>
      </c>
      <c r="J53" s="521">
        <v>0</v>
      </c>
      <c r="K53" s="521">
        <v>1</v>
      </c>
      <c r="L53" s="521">
        <v>2</v>
      </c>
      <c r="M53" s="521">
        <v>3</v>
      </c>
      <c r="N53" s="521">
        <v>4</v>
      </c>
      <c r="O53" s="521">
        <v>5</v>
      </c>
      <c r="P53" s="521">
        <v>6</v>
      </c>
      <c r="Q53" s="521">
        <v>7</v>
      </c>
      <c r="R53" s="521">
        <v>8</v>
      </c>
      <c r="S53" s="521">
        <v>9</v>
      </c>
      <c r="T53" s="521">
        <v>10</v>
      </c>
      <c r="U53" s="521">
        <v>11</v>
      </c>
      <c r="V53" s="521">
        <v>12</v>
      </c>
      <c r="W53" s="521">
        <v>13</v>
      </c>
      <c r="X53" s="521">
        <v>14</v>
      </c>
      <c r="Y53" s="521">
        <v>15</v>
      </c>
      <c r="Z53" s="521">
        <v>16</v>
      </c>
      <c r="AA53" s="521">
        <v>17</v>
      </c>
      <c r="AB53" s="521">
        <v>18</v>
      </c>
      <c r="AC53" s="521">
        <v>19</v>
      </c>
      <c r="AD53" s="521">
        <v>20</v>
      </c>
      <c r="AE53" s="521">
        <v>21</v>
      </c>
      <c r="AF53" s="521">
        <v>22</v>
      </c>
      <c r="AG53" s="521">
        <v>23</v>
      </c>
      <c r="AH53" s="521">
        <v>24</v>
      </c>
      <c r="AI53" s="521">
        <v>25</v>
      </c>
      <c r="AJ53" s="521">
        <v>26</v>
      </c>
      <c r="AK53" s="521">
        <v>27</v>
      </c>
      <c r="AL53" s="521">
        <v>28</v>
      </c>
      <c r="AM53" s="521">
        <v>29</v>
      </c>
      <c r="AN53" s="521">
        <v>30</v>
      </c>
      <c r="AO53" s="521">
        <v>31</v>
      </c>
      <c r="AP53" s="521">
        <v>32</v>
      </c>
      <c r="AQ53" s="521">
        <v>33</v>
      </c>
      <c r="AR53" s="521">
        <v>34</v>
      </c>
      <c r="AS53" s="521">
        <v>35</v>
      </c>
      <c r="AT53" s="521">
        <v>36</v>
      </c>
      <c r="AU53" s="521">
        <v>37</v>
      </c>
      <c r="AV53" s="521">
        <v>38</v>
      </c>
      <c r="AW53" s="521">
        <v>39</v>
      </c>
      <c r="AX53" s="521">
        <v>40</v>
      </c>
      <c r="AY53" s="521">
        <v>41</v>
      </c>
      <c r="AZ53" s="521">
        <v>42</v>
      </c>
      <c r="BA53" s="521">
        <v>43</v>
      </c>
      <c r="BB53" s="521">
        <v>44</v>
      </c>
      <c r="BC53" s="521">
        <v>45</v>
      </c>
      <c r="BD53" s="521">
        <v>46</v>
      </c>
      <c r="BE53" s="521">
        <v>47</v>
      </c>
      <c r="BF53" s="521">
        <v>48</v>
      </c>
      <c r="BG53" s="521">
        <v>49</v>
      </c>
      <c r="BH53" s="521">
        <v>50</v>
      </c>
      <c r="BI53" s="521">
        <v>51</v>
      </c>
      <c r="BJ53" s="521">
        <v>52</v>
      </c>
      <c r="BK53" s="521">
        <v>53</v>
      </c>
      <c r="BL53" s="521">
        <v>54</v>
      </c>
      <c r="BM53" s="521">
        <v>55</v>
      </c>
      <c r="BN53" s="521">
        <v>56</v>
      </c>
      <c r="BO53" s="521">
        <v>57</v>
      </c>
      <c r="BP53" s="521">
        <v>58</v>
      </c>
      <c r="BQ53" s="522">
        <v>59</v>
      </c>
    </row>
    <row r="54" spans="1:70" s="82" customFormat="1" ht="15.75" customHeight="1" outlineLevel="1" x14ac:dyDescent="0.3">
      <c r="B54" s="81"/>
      <c r="C54" s="225"/>
      <c r="D54" s="694"/>
      <c r="E54" s="679"/>
      <c r="F54" s="679"/>
      <c r="G54" s="679"/>
      <c r="H54" s="682"/>
      <c r="I54" s="506" t="s">
        <v>316</v>
      </c>
      <c r="J54" s="226" cm="1">
        <f t="array" ref="J54:BQ54">FinancialYearRange60</f>
        <v>0</v>
      </c>
      <c r="K54" s="226" t="e">
        <v>#N/A</v>
      </c>
      <c r="L54" s="226" t="e">
        <v>#N/A</v>
      </c>
      <c r="M54" s="226" t="e">
        <v>#N/A</v>
      </c>
      <c r="N54" s="226" t="e">
        <v>#N/A</v>
      </c>
      <c r="O54" s="226" t="e">
        <v>#N/A</v>
      </c>
      <c r="P54" s="226" t="e">
        <v>#N/A</v>
      </c>
      <c r="Q54" s="226" t="e">
        <v>#N/A</v>
      </c>
      <c r="R54" s="226" t="e">
        <v>#N/A</v>
      </c>
      <c r="S54" s="226" t="e">
        <v>#N/A</v>
      </c>
      <c r="T54" s="226" t="e">
        <v>#N/A</v>
      </c>
      <c r="U54" s="226" t="e">
        <v>#N/A</v>
      </c>
      <c r="V54" s="226" t="e">
        <v>#N/A</v>
      </c>
      <c r="W54" s="226" t="e">
        <v>#N/A</v>
      </c>
      <c r="X54" s="226" t="e">
        <v>#N/A</v>
      </c>
      <c r="Y54" s="226" t="e">
        <v>#N/A</v>
      </c>
      <c r="Z54" s="226" t="e">
        <v>#N/A</v>
      </c>
      <c r="AA54" s="226" t="e">
        <v>#N/A</v>
      </c>
      <c r="AB54" s="226" t="e">
        <v>#N/A</v>
      </c>
      <c r="AC54" s="226" t="e">
        <v>#N/A</v>
      </c>
      <c r="AD54" s="226" t="e">
        <v>#N/A</v>
      </c>
      <c r="AE54" s="226" t="e">
        <v>#N/A</v>
      </c>
      <c r="AF54" s="226" t="e">
        <v>#N/A</v>
      </c>
      <c r="AG54" s="226" t="e">
        <v>#N/A</v>
      </c>
      <c r="AH54" s="226" t="e">
        <v>#N/A</v>
      </c>
      <c r="AI54" s="226" t="e">
        <v>#N/A</v>
      </c>
      <c r="AJ54" s="226" t="e">
        <v>#N/A</v>
      </c>
      <c r="AK54" s="226" t="e">
        <v>#N/A</v>
      </c>
      <c r="AL54" s="226" t="e">
        <v>#N/A</v>
      </c>
      <c r="AM54" s="226" t="e">
        <v>#N/A</v>
      </c>
      <c r="AN54" s="226" t="e">
        <v>#N/A</v>
      </c>
      <c r="AO54" s="226" t="e">
        <v>#N/A</v>
      </c>
      <c r="AP54" s="226" t="e">
        <v>#N/A</v>
      </c>
      <c r="AQ54" s="226" t="e">
        <v>#N/A</v>
      </c>
      <c r="AR54" s="226" t="e">
        <v>#N/A</v>
      </c>
      <c r="AS54" s="226" t="e">
        <v>#N/A</v>
      </c>
      <c r="AT54" s="226" t="e">
        <v>#N/A</v>
      </c>
      <c r="AU54" s="226" t="e">
        <v>#N/A</v>
      </c>
      <c r="AV54" s="226" t="e">
        <v>#N/A</v>
      </c>
      <c r="AW54" s="226" t="e">
        <v>#N/A</v>
      </c>
      <c r="AX54" s="226" t="e">
        <v>#N/A</v>
      </c>
      <c r="AY54" s="226" t="e">
        <v>#N/A</v>
      </c>
      <c r="AZ54" s="226" t="e">
        <v>#N/A</v>
      </c>
      <c r="BA54" s="226" t="e">
        <v>#N/A</v>
      </c>
      <c r="BB54" s="226" t="e">
        <v>#N/A</v>
      </c>
      <c r="BC54" s="226" t="e">
        <v>#N/A</v>
      </c>
      <c r="BD54" s="226" t="e">
        <v>#N/A</v>
      </c>
      <c r="BE54" s="226" t="e">
        <v>#N/A</v>
      </c>
      <c r="BF54" s="226" t="e">
        <v>#N/A</v>
      </c>
      <c r="BG54" s="226" t="e">
        <v>#N/A</v>
      </c>
      <c r="BH54" s="226" t="e">
        <v>#N/A</v>
      </c>
      <c r="BI54" s="226" t="e">
        <v>#N/A</v>
      </c>
      <c r="BJ54" s="226" t="e">
        <v>#N/A</v>
      </c>
      <c r="BK54" s="226" t="e">
        <v>#N/A</v>
      </c>
      <c r="BL54" s="226" t="e">
        <v>#N/A</v>
      </c>
      <c r="BM54" s="226" t="e">
        <v>#N/A</v>
      </c>
      <c r="BN54" s="226" t="e">
        <v>#N/A</v>
      </c>
      <c r="BO54" s="226" t="e">
        <v>#N/A</v>
      </c>
      <c r="BP54" s="226" t="e">
        <v>#N/A</v>
      </c>
      <c r="BQ54" s="501" t="e">
        <v>#N/A</v>
      </c>
    </row>
    <row r="55" spans="1:70" s="82" customFormat="1" ht="13.5" outlineLevel="1" thickBot="1" x14ac:dyDescent="0.35">
      <c r="B55" s="81" t="s">
        <v>303</v>
      </c>
      <c r="C55" s="225" t="s">
        <v>101</v>
      </c>
      <c r="D55" s="695"/>
      <c r="E55" s="680"/>
      <c r="F55" s="680"/>
      <c r="G55" s="680"/>
      <c r="H55" s="683"/>
      <c r="I55" s="506" t="s">
        <v>317</v>
      </c>
      <c r="J55" s="504">
        <f>'6.6 - Lists and lookups'!C$78</f>
        <v>0</v>
      </c>
      <c r="K55" s="504">
        <f>'6.6 - Lists and lookups'!D$78</f>
        <v>0</v>
      </c>
      <c r="L55" s="504">
        <f>'6.6 - Lists and lookups'!E$78</f>
        <v>0</v>
      </c>
      <c r="M55" s="504">
        <f>'6.6 - Lists and lookups'!F$78</f>
        <v>0</v>
      </c>
      <c r="N55" s="504">
        <f>'6.6 - Lists and lookups'!G$78</f>
        <v>0</v>
      </c>
      <c r="O55" s="504">
        <f>'6.6 - Lists and lookups'!H$78</f>
        <v>0</v>
      </c>
      <c r="P55" s="504">
        <f>'6.6 - Lists and lookups'!I$78</f>
        <v>0</v>
      </c>
      <c r="Q55" s="504">
        <f>'6.6 - Lists and lookups'!J$78</f>
        <v>0</v>
      </c>
      <c r="R55" s="504">
        <f>'6.6 - Lists and lookups'!K$78</f>
        <v>0</v>
      </c>
      <c r="S55" s="504">
        <f>'6.6 - Lists and lookups'!L$78</f>
        <v>0</v>
      </c>
      <c r="T55" s="504">
        <f>'6.6 - Lists and lookups'!M$78</f>
        <v>0</v>
      </c>
      <c r="U55" s="504">
        <f>'6.6 - Lists and lookups'!N$78</f>
        <v>0</v>
      </c>
      <c r="V55" s="504">
        <f>'6.6 - Lists and lookups'!O$78</f>
        <v>0</v>
      </c>
      <c r="W55" s="504">
        <f>'6.6 - Lists and lookups'!P$78</f>
        <v>0</v>
      </c>
      <c r="X55" s="504">
        <f>'6.6 - Lists and lookups'!Q$78</f>
        <v>0</v>
      </c>
      <c r="Y55" s="504">
        <f>'6.6 - Lists and lookups'!R$78</f>
        <v>0</v>
      </c>
      <c r="Z55" s="504">
        <f>'6.6 - Lists and lookups'!S$78</f>
        <v>0</v>
      </c>
      <c r="AA55" s="504">
        <f>'6.6 - Lists and lookups'!T$78</f>
        <v>0</v>
      </c>
      <c r="AB55" s="504">
        <f>'6.6 - Lists and lookups'!U$78</f>
        <v>0</v>
      </c>
      <c r="AC55" s="504">
        <f>'6.6 - Lists and lookups'!V$78</f>
        <v>0</v>
      </c>
      <c r="AD55" s="504">
        <f>'6.6 - Lists and lookups'!W$78</f>
        <v>0</v>
      </c>
      <c r="AE55" s="504">
        <f>'6.6 - Lists and lookups'!X$78</f>
        <v>0</v>
      </c>
      <c r="AF55" s="504">
        <f>'6.6 - Lists and lookups'!Y$78</f>
        <v>0</v>
      </c>
      <c r="AG55" s="504">
        <f>'6.6 - Lists and lookups'!Z$78</f>
        <v>0</v>
      </c>
      <c r="AH55" s="504">
        <f>'6.6 - Lists and lookups'!AA$78</f>
        <v>0</v>
      </c>
      <c r="AI55" s="504">
        <f>'6.6 - Lists and lookups'!AB$78</f>
        <v>0</v>
      </c>
      <c r="AJ55" s="504">
        <f>'6.6 - Lists and lookups'!AC$78</f>
        <v>0</v>
      </c>
      <c r="AK55" s="504">
        <f>'6.6 - Lists and lookups'!AD$78</f>
        <v>0</v>
      </c>
      <c r="AL55" s="504">
        <f>'6.6 - Lists and lookups'!AE$78</f>
        <v>0</v>
      </c>
      <c r="AM55" s="504">
        <f>'6.6 - Lists and lookups'!AF$78</f>
        <v>0</v>
      </c>
      <c r="AN55" s="504">
        <f>'6.6 - Lists and lookups'!AG$78</f>
        <v>0</v>
      </c>
      <c r="AO55" s="504">
        <f>'6.6 - Lists and lookups'!AH$78</f>
        <v>0</v>
      </c>
      <c r="AP55" s="504">
        <f>'6.6 - Lists and lookups'!AI$78</f>
        <v>0</v>
      </c>
      <c r="AQ55" s="504">
        <f>'6.6 - Lists and lookups'!AJ$78</f>
        <v>0</v>
      </c>
      <c r="AR55" s="504">
        <f>'6.6 - Lists and lookups'!AK$78</f>
        <v>0</v>
      </c>
      <c r="AS55" s="504">
        <f>'6.6 - Lists and lookups'!AL$78</f>
        <v>0</v>
      </c>
      <c r="AT55" s="504">
        <f>'6.6 - Lists and lookups'!AM$78</f>
        <v>0</v>
      </c>
      <c r="AU55" s="504">
        <f>'6.6 - Lists and lookups'!AN$78</f>
        <v>0</v>
      </c>
      <c r="AV55" s="504">
        <f>'6.6 - Lists and lookups'!AO$78</f>
        <v>0</v>
      </c>
      <c r="AW55" s="504">
        <f>'6.6 - Lists and lookups'!AP$78</f>
        <v>0</v>
      </c>
      <c r="AX55" s="504">
        <f>'6.6 - Lists and lookups'!AQ$78</f>
        <v>0</v>
      </c>
      <c r="AY55" s="504">
        <f>'6.6 - Lists and lookups'!AR$78</f>
        <v>0</v>
      </c>
      <c r="AZ55" s="504">
        <f>'6.6 - Lists and lookups'!AS$78</f>
        <v>0</v>
      </c>
      <c r="BA55" s="504">
        <f>'6.6 - Lists and lookups'!AT$78</f>
        <v>0</v>
      </c>
      <c r="BB55" s="504">
        <f>'6.6 - Lists and lookups'!AU$78</f>
        <v>0</v>
      </c>
      <c r="BC55" s="504">
        <f>'6.6 - Lists and lookups'!AV$78</f>
        <v>0</v>
      </c>
      <c r="BD55" s="504">
        <f>'6.6 - Lists and lookups'!AW$78</f>
        <v>0</v>
      </c>
      <c r="BE55" s="504">
        <f>'6.6 - Lists and lookups'!AX$78</f>
        <v>0</v>
      </c>
      <c r="BF55" s="504">
        <f>'6.6 - Lists and lookups'!AY$78</f>
        <v>0</v>
      </c>
      <c r="BG55" s="504">
        <f>'6.6 - Lists and lookups'!AZ$78</f>
        <v>0</v>
      </c>
      <c r="BH55" s="504">
        <f>'6.6 - Lists and lookups'!BA$78</f>
        <v>0</v>
      </c>
      <c r="BI55" s="504">
        <f>'6.6 - Lists and lookups'!BB$78</f>
        <v>0</v>
      </c>
      <c r="BJ55" s="504">
        <f>'6.6 - Lists and lookups'!BC$78</f>
        <v>0</v>
      </c>
      <c r="BK55" s="504">
        <f>'6.6 - Lists and lookups'!BD$78</f>
        <v>0</v>
      </c>
      <c r="BL55" s="504">
        <f>'6.6 - Lists and lookups'!BE$78</f>
        <v>0</v>
      </c>
      <c r="BM55" s="504">
        <f>'6.6 - Lists and lookups'!BF$78</f>
        <v>0</v>
      </c>
      <c r="BN55" s="504">
        <f>'6.6 - Lists and lookups'!BG$78</f>
        <v>0</v>
      </c>
      <c r="BO55" s="504">
        <f>'6.6 - Lists and lookups'!BH$78</f>
        <v>0</v>
      </c>
      <c r="BP55" s="504">
        <f>'6.6 - Lists and lookups'!BI$78</f>
        <v>0</v>
      </c>
      <c r="BQ55" s="507">
        <f>'6.6 - Lists and lookups'!BJ$78</f>
        <v>0</v>
      </c>
    </row>
    <row r="56" spans="1:70" s="82" customFormat="1" ht="13" outlineLevel="1" x14ac:dyDescent="0.3">
      <c r="B56" s="116" t="str">
        <f>'5.1 - Brownfield amenity'!B81</f>
        <v>0-0.5 miles</v>
      </c>
      <c r="C56" s="400" t="e">
        <f>'2. General project information'!C58</f>
        <v>#N/A</v>
      </c>
      <c r="D56" s="401">
        <f>MAX(C39:C47)</f>
        <v>0</v>
      </c>
      <c r="E56" s="401" t="e">
        <f>D56*C56/MoneyScalar</f>
        <v>#N/A</v>
      </c>
      <c r="F56" s="401" t="e">
        <f>E56-PV(0.035,9,E56)</f>
        <v>#N/A</v>
      </c>
      <c r="G56" s="401" t="e">
        <f>F56/DF_Appraisal_Period</f>
        <v>#N/A</v>
      </c>
      <c r="H56" s="401" t="e">
        <f>SUM(J56:BQ56)</f>
        <v>#N/A</v>
      </c>
      <c r="I56" s="526"/>
      <c r="J56" s="445" t="e">
        <f>IF(J$54&gt;=$F$48,$G56,0)*J$55</f>
        <v>#N/A</v>
      </c>
      <c r="K56" s="240" t="e">
        <f t="shared" ref="K56:Z58" si="4">IF(K$54&gt;=$F$48,$G56,0)*K$55</f>
        <v>#N/A</v>
      </c>
      <c r="L56" s="240" t="e">
        <f t="shared" si="4"/>
        <v>#N/A</v>
      </c>
      <c r="M56" s="240" t="e">
        <f t="shared" si="4"/>
        <v>#N/A</v>
      </c>
      <c r="N56" s="240" t="e">
        <f t="shared" si="4"/>
        <v>#N/A</v>
      </c>
      <c r="O56" s="240" t="e">
        <f t="shared" si="4"/>
        <v>#N/A</v>
      </c>
      <c r="P56" s="240" t="e">
        <f t="shared" si="4"/>
        <v>#N/A</v>
      </c>
      <c r="Q56" s="240" t="e">
        <f t="shared" si="4"/>
        <v>#N/A</v>
      </c>
      <c r="R56" s="240" t="e">
        <f t="shared" si="4"/>
        <v>#N/A</v>
      </c>
      <c r="S56" s="240" t="e">
        <f t="shared" si="4"/>
        <v>#N/A</v>
      </c>
      <c r="T56" s="240" t="e">
        <f t="shared" si="4"/>
        <v>#N/A</v>
      </c>
      <c r="U56" s="240" t="e">
        <f t="shared" si="4"/>
        <v>#N/A</v>
      </c>
      <c r="V56" s="240" t="e">
        <f t="shared" si="4"/>
        <v>#N/A</v>
      </c>
      <c r="W56" s="240" t="e">
        <f t="shared" si="4"/>
        <v>#N/A</v>
      </c>
      <c r="X56" s="240" t="e">
        <f t="shared" si="4"/>
        <v>#N/A</v>
      </c>
      <c r="Y56" s="240" t="e">
        <f t="shared" si="4"/>
        <v>#N/A</v>
      </c>
      <c r="Z56" s="240" t="e">
        <f t="shared" si="4"/>
        <v>#N/A</v>
      </c>
      <c r="AA56" s="240" t="e">
        <f t="shared" ref="AA56:AP58" si="5">IF(AA$54&gt;=$F$48,$G56,0)*AA$55</f>
        <v>#N/A</v>
      </c>
      <c r="AB56" s="240" t="e">
        <f t="shared" si="5"/>
        <v>#N/A</v>
      </c>
      <c r="AC56" s="240" t="e">
        <f t="shared" si="5"/>
        <v>#N/A</v>
      </c>
      <c r="AD56" s="240" t="e">
        <f t="shared" si="5"/>
        <v>#N/A</v>
      </c>
      <c r="AE56" s="240" t="e">
        <f t="shared" si="5"/>
        <v>#N/A</v>
      </c>
      <c r="AF56" s="240" t="e">
        <f t="shared" si="5"/>
        <v>#N/A</v>
      </c>
      <c r="AG56" s="240" t="e">
        <f t="shared" si="5"/>
        <v>#N/A</v>
      </c>
      <c r="AH56" s="240" t="e">
        <f t="shared" si="5"/>
        <v>#N/A</v>
      </c>
      <c r="AI56" s="240" t="e">
        <f t="shared" si="5"/>
        <v>#N/A</v>
      </c>
      <c r="AJ56" s="240" t="e">
        <f t="shared" si="5"/>
        <v>#N/A</v>
      </c>
      <c r="AK56" s="240" t="e">
        <f t="shared" si="5"/>
        <v>#N/A</v>
      </c>
      <c r="AL56" s="240" t="e">
        <f t="shared" si="5"/>
        <v>#N/A</v>
      </c>
      <c r="AM56" s="240" t="e">
        <f t="shared" si="5"/>
        <v>#N/A</v>
      </c>
      <c r="AN56" s="240" t="e">
        <f t="shared" si="5"/>
        <v>#N/A</v>
      </c>
      <c r="AO56" s="240" t="e">
        <f t="shared" si="5"/>
        <v>#N/A</v>
      </c>
      <c r="AP56" s="240" t="e">
        <f t="shared" si="5"/>
        <v>#N/A</v>
      </c>
      <c r="AQ56" s="240" t="e">
        <f t="shared" ref="AQ56:BF58" si="6">IF(AQ$54&gt;=$F$48,$G56,0)*AQ$55</f>
        <v>#N/A</v>
      </c>
      <c r="AR56" s="240" t="e">
        <f t="shared" si="6"/>
        <v>#N/A</v>
      </c>
      <c r="AS56" s="240" t="e">
        <f t="shared" si="6"/>
        <v>#N/A</v>
      </c>
      <c r="AT56" s="240" t="e">
        <f t="shared" si="6"/>
        <v>#N/A</v>
      </c>
      <c r="AU56" s="240" t="e">
        <f t="shared" si="6"/>
        <v>#N/A</v>
      </c>
      <c r="AV56" s="240" t="e">
        <f t="shared" si="6"/>
        <v>#N/A</v>
      </c>
      <c r="AW56" s="240" t="e">
        <f t="shared" si="6"/>
        <v>#N/A</v>
      </c>
      <c r="AX56" s="240" t="e">
        <f t="shared" si="6"/>
        <v>#N/A</v>
      </c>
      <c r="AY56" s="240" t="e">
        <f t="shared" si="6"/>
        <v>#N/A</v>
      </c>
      <c r="AZ56" s="240" t="e">
        <f t="shared" si="6"/>
        <v>#N/A</v>
      </c>
      <c r="BA56" s="240" t="e">
        <f t="shared" si="6"/>
        <v>#N/A</v>
      </c>
      <c r="BB56" s="240" t="e">
        <f t="shared" si="6"/>
        <v>#N/A</v>
      </c>
      <c r="BC56" s="240" t="e">
        <f t="shared" si="6"/>
        <v>#N/A</v>
      </c>
      <c r="BD56" s="240" t="e">
        <f t="shared" si="6"/>
        <v>#N/A</v>
      </c>
      <c r="BE56" s="240" t="e">
        <f t="shared" si="6"/>
        <v>#N/A</v>
      </c>
      <c r="BF56" s="240" t="e">
        <f t="shared" si="6"/>
        <v>#N/A</v>
      </c>
      <c r="BG56" s="240" t="e">
        <f t="shared" ref="BG56:BQ58" si="7">IF(BG$54&gt;=$F$48,$G56,0)*BG$55</f>
        <v>#N/A</v>
      </c>
      <c r="BH56" s="240" t="e">
        <f t="shared" si="7"/>
        <v>#N/A</v>
      </c>
      <c r="BI56" s="240" t="e">
        <f t="shared" si="7"/>
        <v>#N/A</v>
      </c>
      <c r="BJ56" s="240" t="e">
        <f t="shared" si="7"/>
        <v>#N/A</v>
      </c>
      <c r="BK56" s="240" t="e">
        <f t="shared" si="7"/>
        <v>#N/A</v>
      </c>
      <c r="BL56" s="240" t="e">
        <f t="shared" si="7"/>
        <v>#N/A</v>
      </c>
      <c r="BM56" s="240" t="e">
        <f t="shared" si="7"/>
        <v>#N/A</v>
      </c>
      <c r="BN56" s="240" t="e">
        <f t="shared" si="7"/>
        <v>#N/A</v>
      </c>
      <c r="BO56" s="240" t="e">
        <f t="shared" si="7"/>
        <v>#N/A</v>
      </c>
      <c r="BP56" s="240" t="e">
        <f t="shared" si="7"/>
        <v>#N/A</v>
      </c>
      <c r="BQ56" s="492" t="e">
        <f t="shared" si="7"/>
        <v>#N/A</v>
      </c>
    </row>
    <row r="57" spans="1:70" s="82" customFormat="1" ht="13.5" outlineLevel="1" thickBot="1" x14ac:dyDescent="0.35">
      <c r="B57" s="278" t="str">
        <f>'5.1 - Brownfield amenity'!B82</f>
        <v>0.5-1 miles</v>
      </c>
      <c r="C57" s="402" t="e">
        <f>'2. General project information'!D58</f>
        <v>#N/A</v>
      </c>
      <c r="D57" s="403">
        <f>MAX(C39:C47)</f>
        <v>0</v>
      </c>
      <c r="E57" s="403" t="e">
        <f>D57*C57/MoneyScalar</f>
        <v>#N/A</v>
      </c>
      <c r="F57" s="404" t="e">
        <f>E57-PV(0.035,9,E57)</f>
        <v>#N/A</v>
      </c>
      <c r="G57" s="404" t="e">
        <f>F57/DF_Appraisal_Period</f>
        <v>#N/A</v>
      </c>
      <c r="H57" s="404" t="e">
        <f>SUM(J57:BQ57)</f>
        <v>#N/A</v>
      </c>
      <c r="I57" s="524"/>
      <c r="J57" s="447" t="e">
        <f t="shared" ref="J57:J58" si="8">IF(J$54&gt;=$F$48,$G57,0)*J$55</f>
        <v>#N/A</v>
      </c>
      <c r="K57" s="241" t="e">
        <f t="shared" si="4"/>
        <v>#N/A</v>
      </c>
      <c r="L57" s="241" t="e">
        <f t="shared" si="4"/>
        <v>#N/A</v>
      </c>
      <c r="M57" s="241" t="e">
        <f t="shared" si="4"/>
        <v>#N/A</v>
      </c>
      <c r="N57" s="241" t="e">
        <f t="shared" si="4"/>
        <v>#N/A</v>
      </c>
      <c r="O57" s="241" t="e">
        <f t="shared" si="4"/>
        <v>#N/A</v>
      </c>
      <c r="P57" s="241" t="e">
        <f t="shared" si="4"/>
        <v>#N/A</v>
      </c>
      <c r="Q57" s="241" t="e">
        <f t="shared" si="4"/>
        <v>#N/A</v>
      </c>
      <c r="R57" s="241" t="e">
        <f t="shared" si="4"/>
        <v>#N/A</v>
      </c>
      <c r="S57" s="241" t="e">
        <f t="shared" si="4"/>
        <v>#N/A</v>
      </c>
      <c r="T57" s="241" t="e">
        <f t="shared" si="4"/>
        <v>#N/A</v>
      </c>
      <c r="U57" s="241" t="e">
        <f t="shared" si="4"/>
        <v>#N/A</v>
      </c>
      <c r="V57" s="241" t="e">
        <f t="shared" si="4"/>
        <v>#N/A</v>
      </c>
      <c r="W57" s="241" t="e">
        <f t="shared" si="4"/>
        <v>#N/A</v>
      </c>
      <c r="X57" s="241" t="e">
        <f t="shared" si="4"/>
        <v>#N/A</v>
      </c>
      <c r="Y57" s="241" t="e">
        <f t="shared" si="4"/>
        <v>#N/A</v>
      </c>
      <c r="Z57" s="241" t="e">
        <f t="shared" si="4"/>
        <v>#N/A</v>
      </c>
      <c r="AA57" s="241" t="e">
        <f t="shared" si="5"/>
        <v>#N/A</v>
      </c>
      <c r="AB57" s="241" t="e">
        <f t="shared" si="5"/>
        <v>#N/A</v>
      </c>
      <c r="AC57" s="241" t="e">
        <f t="shared" si="5"/>
        <v>#N/A</v>
      </c>
      <c r="AD57" s="241" t="e">
        <f t="shared" si="5"/>
        <v>#N/A</v>
      </c>
      <c r="AE57" s="241" t="e">
        <f t="shared" si="5"/>
        <v>#N/A</v>
      </c>
      <c r="AF57" s="241" t="e">
        <f t="shared" si="5"/>
        <v>#N/A</v>
      </c>
      <c r="AG57" s="241" t="e">
        <f t="shared" si="5"/>
        <v>#N/A</v>
      </c>
      <c r="AH57" s="241" t="e">
        <f t="shared" si="5"/>
        <v>#N/A</v>
      </c>
      <c r="AI57" s="241" t="e">
        <f t="shared" si="5"/>
        <v>#N/A</v>
      </c>
      <c r="AJ57" s="241" t="e">
        <f t="shared" si="5"/>
        <v>#N/A</v>
      </c>
      <c r="AK57" s="241" t="e">
        <f t="shared" si="5"/>
        <v>#N/A</v>
      </c>
      <c r="AL57" s="241" t="e">
        <f t="shared" si="5"/>
        <v>#N/A</v>
      </c>
      <c r="AM57" s="241" t="e">
        <f t="shared" si="5"/>
        <v>#N/A</v>
      </c>
      <c r="AN57" s="241" t="e">
        <f t="shared" si="5"/>
        <v>#N/A</v>
      </c>
      <c r="AO57" s="241" t="e">
        <f t="shared" si="5"/>
        <v>#N/A</v>
      </c>
      <c r="AP57" s="241" t="e">
        <f t="shared" si="5"/>
        <v>#N/A</v>
      </c>
      <c r="AQ57" s="241" t="e">
        <f t="shared" si="6"/>
        <v>#N/A</v>
      </c>
      <c r="AR57" s="241" t="e">
        <f t="shared" si="6"/>
        <v>#N/A</v>
      </c>
      <c r="AS57" s="241" t="e">
        <f t="shared" si="6"/>
        <v>#N/A</v>
      </c>
      <c r="AT57" s="241" t="e">
        <f t="shared" si="6"/>
        <v>#N/A</v>
      </c>
      <c r="AU57" s="241" t="e">
        <f t="shared" si="6"/>
        <v>#N/A</v>
      </c>
      <c r="AV57" s="241" t="e">
        <f t="shared" si="6"/>
        <v>#N/A</v>
      </c>
      <c r="AW57" s="241" t="e">
        <f t="shared" si="6"/>
        <v>#N/A</v>
      </c>
      <c r="AX57" s="241" t="e">
        <f t="shared" si="6"/>
        <v>#N/A</v>
      </c>
      <c r="AY57" s="241" t="e">
        <f t="shared" si="6"/>
        <v>#N/A</v>
      </c>
      <c r="AZ57" s="241" t="e">
        <f t="shared" si="6"/>
        <v>#N/A</v>
      </c>
      <c r="BA57" s="241" t="e">
        <f t="shared" si="6"/>
        <v>#N/A</v>
      </c>
      <c r="BB57" s="241" t="e">
        <f t="shared" si="6"/>
        <v>#N/A</v>
      </c>
      <c r="BC57" s="241" t="e">
        <f t="shared" si="6"/>
        <v>#N/A</v>
      </c>
      <c r="BD57" s="241" t="e">
        <f t="shared" si="6"/>
        <v>#N/A</v>
      </c>
      <c r="BE57" s="241" t="e">
        <f t="shared" si="6"/>
        <v>#N/A</v>
      </c>
      <c r="BF57" s="241" t="e">
        <f t="shared" si="6"/>
        <v>#N/A</v>
      </c>
      <c r="BG57" s="241" t="e">
        <f t="shared" si="7"/>
        <v>#N/A</v>
      </c>
      <c r="BH57" s="241" t="e">
        <f t="shared" si="7"/>
        <v>#N/A</v>
      </c>
      <c r="BI57" s="241" t="e">
        <f t="shared" si="7"/>
        <v>#N/A</v>
      </c>
      <c r="BJ57" s="241" t="e">
        <f t="shared" si="7"/>
        <v>#N/A</v>
      </c>
      <c r="BK57" s="241" t="e">
        <f t="shared" si="7"/>
        <v>#N/A</v>
      </c>
      <c r="BL57" s="241" t="e">
        <f t="shared" si="7"/>
        <v>#N/A</v>
      </c>
      <c r="BM57" s="241" t="e">
        <f t="shared" si="7"/>
        <v>#N/A</v>
      </c>
      <c r="BN57" s="241" t="e">
        <f t="shared" si="7"/>
        <v>#N/A</v>
      </c>
      <c r="BO57" s="241" t="e">
        <f t="shared" si="7"/>
        <v>#N/A</v>
      </c>
      <c r="BP57" s="241" t="e">
        <f t="shared" si="7"/>
        <v>#N/A</v>
      </c>
      <c r="BQ57" s="493" t="e">
        <f t="shared" si="7"/>
        <v>#N/A</v>
      </c>
    </row>
    <row r="58" spans="1:70" s="82" customFormat="1" ht="13.5" outlineLevel="1" thickBot="1" x14ac:dyDescent="0.35">
      <c r="B58" s="186" t="str" cm="1">
        <f t="array" ref="B58">NDT</f>
        <v>Non-discounted total (£, )</v>
      </c>
      <c r="C58" s="183" t="e">
        <f>SUM(C56:C57)</f>
        <v>#N/A</v>
      </c>
      <c r="D58" s="125" t="s">
        <v>319</v>
      </c>
      <c r="E58" s="405" t="e">
        <f>SUM(E56:E57)</f>
        <v>#N/A</v>
      </c>
      <c r="F58" s="404" t="e">
        <f>SUM(F56:F57)</f>
        <v>#N/A</v>
      </c>
      <c r="G58" s="404" t="e">
        <f>F58/DF_Appraisal_Period</f>
        <v>#N/A</v>
      </c>
      <c r="H58" s="404" t="e">
        <f>SUM(J58:BQ58)</f>
        <v>#N/A</v>
      </c>
      <c r="I58" s="524"/>
      <c r="J58" s="494" t="e">
        <f t="shared" si="8"/>
        <v>#N/A</v>
      </c>
      <c r="K58" s="242" t="e">
        <f t="shared" si="4"/>
        <v>#N/A</v>
      </c>
      <c r="L58" s="242" t="e">
        <f t="shared" si="4"/>
        <v>#N/A</v>
      </c>
      <c r="M58" s="242" t="e">
        <f t="shared" si="4"/>
        <v>#N/A</v>
      </c>
      <c r="N58" s="242" t="e">
        <f t="shared" si="4"/>
        <v>#N/A</v>
      </c>
      <c r="O58" s="242" t="e">
        <f t="shared" si="4"/>
        <v>#N/A</v>
      </c>
      <c r="P58" s="242" t="e">
        <f t="shared" si="4"/>
        <v>#N/A</v>
      </c>
      <c r="Q58" s="242" t="e">
        <f t="shared" si="4"/>
        <v>#N/A</v>
      </c>
      <c r="R58" s="242" t="e">
        <f t="shared" si="4"/>
        <v>#N/A</v>
      </c>
      <c r="S58" s="242" t="e">
        <f t="shared" si="4"/>
        <v>#N/A</v>
      </c>
      <c r="T58" s="242" t="e">
        <f t="shared" si="4"/>
        <v>#N/A</v>
      </c>
      <c r="U58" s="242" t="e">
        <f t="shared" si="4"/>
        <v>#N/A</v>
      </c>
      <c r="V58" s="242" t="e">
        <f t="shared" si="4"/>
        <v>#N/A</v>
      </c>
      <c r="W58" s="242" t="e">
        <f t="shared" si="4"/>
        <v>#N/A</v>
      </c>
      <c r="X58" s="242" t="e">
        <f t="shared" si="4"/>
        <v>#N/A</v>
      </c>
      <c r="Y58" s="242" t="e">
        <f t="shared" si="4"/>
        <v>#N/A</v>
      </c>
      <c r="Z58" s="242" t="e">
        <f t="shared" si="4"/>
        <v>#N/A</v>
      </c>
      <c r="AA58" s="242" t="e">
        <f t="shared" si="5"/>
        <v>#N/A</v>
      </c>
      <c r="AB58" s="242" t="e">
        <f t="shared" si="5"/>
        <v>#N/A</v>
      </c>
      <c r="AC58" s="242" t="e">
        <f t="shared" si="5"/>
        <v>#N/A</v>
      </c>
      <c r="AD58" s="242" t="e">
        <f t="shared" si="5"/>
        <v>#N/A</v>
      </c>
      <c r="AE58" s="242" t="e">
        <f t="shared" si="5"/>
        <v>#N/A</v>
      </c>
      <c r="AF58" s="242" t="e">
        <f t="shared" si="5"/>
        <v>#N/A</v>
      </c>
      <c r="AG58" s="242" t="e">
        <f t="shared" si="5"/>
        <v>#N/A</v>
      </c>
      <c r="AH58" s="242" t="e">
        <f t="shared" si="5"/>
        <v>#N/A</v>
      </c>
      <c r="AI58" s="242" t="e">
        <f t="shared" si="5"/>
        <v>#N/A</v>
      </c>
      <c r="AJ58" s="242" t="e">
        <f t="shared" si="5"/>
        <v>#N/A</v>
      </c>
      <c r="AK58" s="242" t="e">
        <f t="shared" si="5"/>
        <v>#N/A</v>
      </c>
      <c r="AL58" s="242" t="e">
        <f t="shared" si="5"/>
        <v>#N/A</v>
      </c>
      <c r="AM58" s="242" t="e">
        <f t="shared" si="5"/>
        <v>#N/A</v>
      </c>
      <c r="AN58" s="242" t="e">
        <f t="shared" si="5"/>
        <v>#N/A</v>
      </c>
      <c r="AO58" s="242" t="e">
        <f t="shared" si="5"/>
        <v>#N/A</v>
      </c>
      <c r="AP58" s="242" t="e">
        <f t="shared" si="5"/>
        <v>#N/A</v>
      </c>
      <c r="AQ58" s="242" t="e">
        <f t="shared" si="6"/>
        <v>#N/A</v>
      </c>
      <c r="AR58" s="242" t="e">
        <f t="shared" si="6"/>
        <v>#N/A</v>
      </c>
      <c r="AS58" s="242" t="e">
        <f t="shared" si="6"/>
        <v>#N/A</v>
      </c>
      <c r="AT58" s="242" t="e">
        <f t="shared" si="6"/>
        <v>#N/A</v>
      </c>
      <c r="AU58" s="242" t="e">
        <f t="shared" si="6"/>
        <v>#N/A</v>
      </c>
      <c r="AV58" s="242" t="e">
        <f t="shared" si="6"/>
        <v>#N/A</v>
      </c>
      <c r="AW58" s="242" t="e">
        <f t="shared" si="6"/>
        <v>#N/A</v>
      </c>
      <c r="AX58" s="242" t="e">
        <f t="shared" si="6"/>
        <v>#N/A</v>
      </c>
      <c r="AY58" s="242" t="e">
        <f t="shared" si="6"/>
        <v>#N/A</v>
      </c>
      <c r="AZ58" s="242" t="e">
        <f t="shared" si="6"/>
        <v>#N/A</v>
      </c>
      <c r="BA58" s="242" t="e">
        <f t="shared" si="6"/>
        <v>#N/A</v>
      </c>
      <c r="BB58" s="242" t="e">
        <f t="shared" si="6"/>
        <v>#N/A</v>
      </c>
      <c r="BC58" s="242" t="e">
        <f t="shared" si="6"/>
        <v>#N/A</v>
      </c>
      <c r="BD58" s="242" t="e">
        <f t="shared" si="6"/>
        <v>#N/A</v>
      </c>
      <c r="BE58" s="242" t="e">
        <f t="shared" si="6"/>
        <v>#N/A</v>
      </c>
      <c r="BF58" s="242" t="e">
        <f t="shared" si="6"/>
        <v>#N/A</v>
      </c>
      <c r="BG58" s="242" t="e">
        <f t="shared" si="7"/>
        <v>#N/A</v>
      </c>
      <c r="BH58" s="242" t="e">
        <f t="shared" si="7"/>
        <v>#N/A</v>
      </c>
      <c r="BI58" s="242" t="e">
        <f t="shared" si="7"/>
        <v>#N/A</v>
      </c>
      <c r="BJ58" s="242" t="e">
        <f t="shared" si="7"/>
        <v>#N/A</v>
      </c>
      <c r="BK58" s="242" t="e">
        <f t="shared" si="7"/>
        <v>#N/A</v>
      </c>
      <c r="BL58" s="242" t="e">
        <f t="shared" si="7"/>
        <v>#N/A</v>
      </c>
      <c r="BM58" s="242" t="e">
        <f t="shared" si="7"/>
        <v>#N/A</v>
      </c>
      <c r="BN58" s="242" t="e">
        <f t="shared" si="7"/>
        <v>#N/A</v>
      </c>
      <c r="BO58" s="242" t="e">
        <f t="shared" si="7"/>
        <v>#N/A</v>
      </c>
      <c r="BP58" s="242" t="e">
        <f t="shared" si="7"/>
        <v>#N/A</v>
      </c>
      <c r="BQ58" s="495" t="e">
        <f t="shared" si="7"/>
        <v>#N/A</v>
      </c>
    </row>
    <row r="59" spans="1:70" s="82" customFormat="1" ht="13.5" outlineLevel="1" thickBot="1" x14ac:dyDescent="0.35">
      <c r="B59" s="186" t="str" cm="1">
        <f t="array" ref="B59">DT</f>
        <v>Discounted total (£, )</v>
      </c>
      <c r="C59" s="183" t="e">
        <f>C58</f>
        <v>#N/A</v>
      </c>
      <c r="D59" s="125" t="s">
        <v>319</v>
      </c>
      <c r="E59" s="406" t="s">
        <v>319</v>
      </c>
      <c r="F59" s="406" t="s">
        <v>319</v>
      </c>
      <c r="G59" s="406" t="s">
        <v>319</v>
      </c>
      <c r="H59" s="406" t="e">
        <f>SUM(J59:BQ59)</f>
        <v>#N/A</v>
      </c>
      <c r="I59" s="525"/>
      <c r="J59" s="494" t="e">
        <f t="shared" ref="J59:AO59" si="9">J58*HLOOKUP(J54,DFVector,4,FALSE)</f>
        <v>#N/A</v>
      </c>
      <c r="K59" s="242" t="e">
        <f t="shared" si="9"/>
        <v>#N/A</v>
      </c>
      <c r="L59" s="242" t="e">
        <f t="shared" si="9"/>
        <v>#N/A</v>
      </c>
      <c r="M59" s="242" t="e">
        <f t="shared" si="9"/>
        <v>#N/A</v>
      </c>
      <c r="N59" s="242" t="e">
        <f t="shared" si="9"/>
        <v>#N/A</v>
      </c>
      <c r="O59" s="242" t="e">
        <f t="shared" si="9"/>
        <v>#N/A</v>
      </c>
      <c r="P59" s="242" t="e">
        <f t="shared" si="9"/>
        <v>#N/A</v>
      </c>
      <c r="Q59" s="242" t="e">
        <f t="shared" si="9"/>
        <v>#N/A</v>
      </c>
      <c r="R59" s="242" t="e">
        <f t="shared" si="9"/>
        <v>#N/A</v>
      </c>
      <c r="S59" s="242" t="e">
        <f t="shared" si="9"/>
        <v>#N/A</v>
      </c>
      <c r="T59" s="242" t="e">
        <f t="shared" si="9"/>
        <v>#N/A</v>
      </c>
      <c r="U59" s="242" t="e">
        <f t="shared" si="9"/>
        <v>#N/A</v>
      </c>
      <c r="V59" s="242" t="e">
        <f t="shared" si="9"/>
        <v>#N/A</v>
      </c>
      <c r="W59" s="242" t="e">
        <f t="shared" si="9"/>
        <v>#N/A</v>
      </c>
      <c r="X59" s="242" t="e">
        <f t="shared" si="9"/>
        <v>#N/A</v>
      </c>
      <c r="Y59" s="242" t="e">
        <f t="shared" si="9"/>
        <v>#N/A</v>
      </c>
      <c r="Z59" s="242" t="e">
        <f t="shared" si="9"/>
        <v>#N/A</v>
      </c>
      <c r="AA59" s="242" t="e">
        <f t="shared" si="9"/>
        <v>#N/A</v>
      </c>
      <c r="AB59" s="242" t="e">
        <f t="shared" si="9"/>
        <v>#N/A</v>
      </c>
      <c r="AC59" s="242" t="e">
        <f t="shared" si="9"/>
        <v>#N/A</v>
      </c>
      <c r="AD59" s="242" t="e">
        <f t="shared" si="9"/>
        <v>#N/A</v>
      </c>
      <c r="AE59" s="242" t="e">
        <f t="shared" si="9"/>
        <v>#N/A</v>
      </c>
      <c r="AF59" s="242" t="e">
        <f t="shared" si="9"/>
        <v>#N/A</v>
      </c>
      <c r="AG59" s="242" t="e">
        <f t="shared" si="9"/>
        <v>#N/A</v>
      </c>
      <c r="AH59" s="242" t="e">
        <f t="shared" si="9"/>
        <v>#N/A</v>
      </c>
      <c r="AI59" s="242" t="e">
        <f t="shared" si="9"/>
        <v>#N/A</v>
      </c>
      <c r="AJ59" s="242" t="e">
        <f t="shared" si="9"/>
        <v>#N/A</v>
      </c>
      <c r="AK59" s="242" t="e">
        <f t="shared" si="9"/>
        <v>#N/A</v>
      </c>
      <c r="AL59" s="242" t="e">
        <f t="shared" si="9"/>
        <v>#N/A</v>
      </c>
      <c r="AM59" s="242" t="e">
        <f t="shared" si="9"/>
        <v>#N/A</v>
      </c>
      <c r="AN59" s="242" t="e">
        <f t="shared" si="9"/>
        <v>#N/A</v>
      </c>
      <c r="AO59" s="242" t="e">
        <f t="shared" si="9"/>
        <v>#N/A</v>
      </c>
      <c r="AP59" s="242" t="e">
        <f t="shared" ref="AP59:BQ59" si="10">AP58*HLOOKUP(AP54,DFVector,4,FALSE)</f>
        <v>#N/A</v>
      </c>
      <c r="AQ59" s="242" t="e">
        <f t="shared" si="10"/>
        <v>#N/A</v>
      </c>
      <c r="AR59" s="242" t="e">
        <f t="shared" si="10"/>
        <v>#N/A</v>
      </c>
      <c r="AS59" s="242" t="e">
        <f t="shared" si="10"/>
        <v>#N/A</v>
      </c>
      <c r="AT59" s="242" t="e">
        <f t="shared" si="10"/>
        <v>#N/A</v>
      </c>
      <c r="AU59" s="242" t="e">
        <f t="shared" si="10"/>
        <v>#N/A</v>
      </c>
      <c r="AV59" s="242" t="e">
        <f t="shared" si="10"/>
        <v>#N/A</v>
      </c>
      <c r="AW59" s="242" t="e">
        <f t="shared" si="10"/>
        <v>#N/A</v>
      </c>
      <c r="AX59" s="242" t="e">
        <f t="shared" si="10"/>
        <v>#N/A</v>
      </c>
      <c r="AY59" s="242" t="e">
        <f t="shared" si="10"/>
        <v>#N/A</v>
      </c>
      <c r="AZ59" s="242" t="e">
        <f t="shared" si="10"/>
        <v>#N/A</v>
      </c>
      <c r="BA59" s="242" t="e">
        <f t="shared" si="10"/>
        <v>#N/A</v>
      </c>
      <c r="BB59" s="242" t="e">
        <f t="shared" si="10"/>
        <v>#N/A</v>
      </c>
      <c r="BC59" s="242" t="e">
        <f t="shared" si="10"/>
        <v>#N/A</v>
      </c>
      <c r="BD59" s="242" t="e">
        <f t="shared" si="10"/>
        <v>#N/A</v>
      </c>
      <c r="BE59" s="242" t="e">
        <f t="shared" si="10"/>
        <v>#N/A</v>
      </c>
      <c r="BF59" s="242" t="e">
        <f t="shared" si="10"/>
        <v>#N/A</v>
      </c>
      <c r="BG59" s="242" t="e">
        <f t="shared" si="10"/>
        <v>#N/A</v>
      </c>
      <c r="BH59" s="242" t="e">
        <f t="shared" si="10"/>
        <v>#N/A</v>
      </c>
      <c r="BI59" s="242" t="e">
        <f t="shared" si="10"/>
        <v>#N/A</v>
      </c>
      <c r="BJ59" s="242" t="e">
        <f t="shared" si="10"/>
        <v>#N/A</v>
      </c>
      <c r="BK59" s="242" t="e">
        <f t="shared" si="10"/>
        <v>#N/A</v>
      </c>
      <c r="BL59" s="242" t="e">
        <f t="shared" si="10"/>
        <v>#N/A</v>
      </c>
      <c r="BM59" s="242" t="e">
        <f t="shared" si="10"/>
        <v>#N/A</v>
      </c>
      <c r="BN59" s="242" t="e">
        <f t="shared" si="10"/>
        <v>#N/A</v>
      </c>
      <c r="BO59" s="242" t="e">
        <f t="shared" si="10"/>
        <v>#N/A</v>
      </c>
      <c r="BP59" s="242" t="e">
        <f t="shared" si="10"/>
        <v>#N/A</v>
      </c>
      <c r="BQ59" s="495" t="e">
        <f t="shared" si="10"/>
        <v>#N/A</v>
      </c>
    </row>
    <row r="60" spans="1:70" x14ac:dyDescent="0.35">
      <c r="A60" s="82"/>
      <c r="B60" s="114" t="str">
        <f>Expand</f>
        <v>Press the plus/minus to the left to expand/minimise this section</v>
      </c>
      <c r="C60" s="112"/>
      <c r="D60" s="112"/>
      <c r="E60" s="112"/>
      <c r="F60" s="267"/>
      <c r="G60" s="240"/>
      <c r="H60" s="240"/>
      <c r="I60" s="89"/>
      <c r="J60" s="187"/>
      <c r="K60" s="187"/>
      <c r="L60" s="187"/>
      <c r="M60" s="112"/>
      <c r="BR60" s="82"/>
    </row>
    <row r="61" spans="1:70" x14ac:dyDescent="0.35">
      <c r="BR61" s="82"/>
    </row>
    <row r="62" spans="1:70" ht="16" thickBot="1" x14ac:dyDescent="0.4">
      <c r="A62" s="82"/>
      <c r="B62" s="138" t="s">
        <v>359</v>
      </c>
      <c r="C62" s="110"/>
      <c r="D62" s="111"/>
      <c r="E62" s="111"/>
      <c r="F62" s="9"/>
      <c r="G62" s="9"/>
      <c r="H62" s="9"/>
      <c r="I62" s="9"/>
      <c r="J62" s="111"/>
      <c r="K62" s="111"/>
      <c r="L62" s="111"/>
      <c r="M62" s="268"/>
      <c r="N62" s="9"/>
      <c r="O62" s="9"/>
      <c r="P62" s="9"/>
      <c r="Q62" s="9"/>
      <c r="R62" s="9"/>
      <c r="S62" s="9"/>
      <c r="T62" s="9"/>
      <c r="U62" s="9"/>
      <c r="V62" s="9"/>
      <c r="W62" s="9"/>
      <c r="X62" s="9"/>
      <c r="Y62" s="9"/>
      <c r="Z62" s="9"/>
      <c r="AA62" s="9"/>
      <c r="AB62" s="9"/>
      <c r="AC62" s="9"/>
      <c r="AD62" s="9"/>
      <c r="AE62" s="9"/>
      <c r="AF62" s="9"/>
      <c r="AG62" s="9"/>
      <c r="AH62" s="9"/>
      <c r="AI62" s="9"/>
      <c r="AJ62" s="9"/>
      <c r="AK62" s="9"/>
      <c r="AL62" s="9"/>
      <c r="AM62" s="9"/>
      <c r="BR62" s="82"/>
    </row>
    <row r="63" spans="1:70" s="82" customFormat="1" ht="7.5" hidden="1" customHeight="1" outlineLevel="1" thickBot="1" x14ac:dyDescent="0.35">
      <c r="C63" s="225"/>
      <c r="E63" s="121"/>
    </row>
    <row r="64" spans="1:70" s="82" customFormat="1" ht="15.75" hidden="1" customHeight="1" outlineLevel="1" x14ac:dyDescent="0.3">
      <c r="B64" s="81"/>
      <c r="C64" s="225"/>
      <c r="D64" s="693" t="s">
        <v>358</v>
      </c>
      <c r="E64" s="678" t="str" cm="1">
        <f t="array" ref="E64">TAV</f>
        <v>Total annual value (£, )</v>
      </c>
      <c r="F64" s="678" t="str">
        <f>_xlfn.CONCAT("PV for 10 years (£, ",MoneyScalarName,")")</f>
        <v>PV for 10 years (£, )</v>
      </c>
      <c r="G64" s="678" t="str">
        <f>_xlfn.CONCAT("Annual value using amortised benefits (£/yr, ",MoneyScalarName,")")</f>
        <v>Annual value using amortised benefits (£/yr, )</v>
      </c>
      <c r="H64" s="681" t="str">
        <f>_xlfn.CONCAT("Total value using amortised benefits (£, ",MoneyScalarName,")")</f>
        <v>Total value using amortised benefits (£, )</v>
      </c>
      <c r="I64" s="505" t="s">
        <v>315</v>
      </c>
      <c r="J64" s="521">
        <v>0</v>
      </c>
      <c r="K64" s="521">
        <v>1</v>
      </c>
      <c r="L64" s="521">
        <v>2</v>
      </c>
      <c r="M64" s="521">
        <v>3</v>
      </c>
      <c r="N64" s="521">
        <v>4</v>
      </c>
      <c r="O64" s="521">
        <v>5</v>
      </c>
      <c r="P64" s="521">
        <v>6</v>
      </c>
      <c r="Q64" s="521">
        <v>7</v>
      </c>
      <c r="R64" s="521">
        <v>8</v>
      </c>
      <c r="S64" s="521">
        <v>9</v>
      </c>
      <c r="T64" s="521">
        <v>10</v>
      </c>
      <c r="U64" s="521">
        <v>11</v>
      </c>
      <c r="V64" s="521">
        <v>12</v>
      </c>
      <c r="W64" s="521">
        <v>13</v>
      </c>
      <c r="X64" s="521">
        <v>14</v>
      </c>
      <c r="Y64" s="521">
        <v>15</v>
      </c>
      <c r="Z64" s="521">
        <v>16</v>
      </c>
      <c r="AA64" s="521">
        <v>17</v>
      </c>
      <c r="AB64" s="521">
        <v>18</v>
      </c>
      <c r="AC64" s="521">
        <v>19</v>
      </c>
      <c r="AD64" s="521">
        <v>20</v>
      </c>
      <c r="AE64" s="521">
        <v>21</v>
      </c>
      <c r="AF64" s="521">
        <v>22</v>
      </c>
      <c r="AG64" s="521">
        <v>23</v>
      </c>
      <c r="AH64" s="521">
        <v>24</v>
      </c>
      <c r="AI64" s="521">
        <v>25</v>
      </c>
      <c r="AJ64" s="521">
        <v>26</v>
      </c>
      <c r="AK64" s="521">
        <v>27</v>
      </c>
      <c r="AL64" s="521">
        <v>28</v>
      </c>
      <c r="AM64" s="521">
        <v>29</v>
      </c>
      <c r="AN64" s="521">
        <v>30</v>
      </c>
      <c r="AO64" s="521">
        <v>31</v>
      </c>
      <c r="AP64" s="521">
        <v>32</v>
      </c>
      <c r="AQ64" s="521">
        <v>33</v>
      </c>
      <c r="AR64" s="521">
        <v>34</v>
      </c>
      <c r="AS64" s="521">
        <v>35</v>
      </c>
      <c r="AT64" s="521">
        <v>36</v>
      </c>
      <c r="AU64" s="521">
        <v>37</v>
      </c>
      <c r="AV64" s="521">
        <v>38</v>
      </c>
      <c r="AW64" s="521">
        <v>39</v>
      </c>
      <c r="AX64" s="521">
        <v>40</v>
      </c>
      <c r="AY64" s="521">
        <v>41</v>
      </c>
      <c r="AZ64" s="521">
        <v>42</v>
      </c>
      <c r="BA64" s="521">
        <v>43</v>
      </c>
      <c r="BB64" s="521">
        <v>44</v>
      </c>
      <c r="BC64" s="521">
        <v>45</v>
      </c>
      <c r="BD64" s="521">
        <v>46</v>
      </c>
      <c r="BE64" s="521">
        <v>47</v>
      </c>
      <c r="BF64" s="521">
        <v>48</v>
      </c>
      <c r="BG64" s="521">
        <v>49</v>
      </c>
      <c r="BH64" s="521">
        <v>50</v>
      </c>
      <c r="BI64" s="521">
        <v>51</v>
      </c>
      <c r="BJ64" s="521">
        <v>52</v>
      </c>
      <c r="BK64" s="521">
        <v>53</v>
      </c>
      <c r="BL64" s="521">
        <v>54</v>
      </c>
      <c r="BM64" s="521">
        <v>55</v>
      </c>
      <c r="BN64" s="521">
        <v>56</v>
      </c>
      <c r="BO64" s="521">
        <v>57</v>
      </c>
      <c r="BP64" s="521">
        <v>58</v>
      </c>
      <c r="BQ64" s="522">
        <v>59</v>
      </c>
    </row>
    <row r="65" spans="1:70" s="82" customFormat="1" ht="15.75" hidden="1" customHeight="1" outlineLevel="1" x14ac:dyDescent="0.3">
      <c r="B65" s="81"/>
      <c r="C65" s="225"/>
      <c r="D65" s="694"/>
      <c r="E65" s="679"/>
      <c r="F65" s="679"/>
      <c r="G65" s="679"/>
      <c r="H65" s="682"/>
      <c r="I65" s="506" t="s">
        <v>316</v>
      </c>
      <c r="J65" s="226" cm="1">
        <f t="array" ref="J65:BQ65">FinancialYearRange60</f>
        <v>0</v>
      </c>
      <c r="K65" s="226" t="e">
        <v>#N/A</v>
      </c>
      <c r="L65" s="226" t="e">
        <v>#N/A</v>
      </c>
      <c r="M65" s="226" t="e">
        <v>#N/A</v>
      </c>
      <c r="N65" s="226" t="e">
        <v>#N/A</v>
      </c>
      <c r="O65" s="226" t="e">
        <v>#N/A</v>
      </c>
      <c r="P65" s="226" t="e">
        <v>#N/A</v>
      </c>
      <c r="Q65" s="226" t="e">
        <v>#N/A</v>
      </c>
      <c r="R65" s="226" t="e">
        <v>#N/A</v>
      </c>
      <c r="S65" s="226" t="e">
        <v>#N/A</v>
      </c>
      <c r="T65" s="226" t="e">
        <v>#N/A</v>
      </c>
      <c r="U65" s="226" t="e">
        <v>#N/A</v>
      </c>
      <c r="V65" s="226" t="e">
        <v>#N/A</v>
      </c>
      <c r="W65" s="226" t="e">
        <v>#N/A</v>
      </c>
      <c r="X65" s="226" t="e">
        <v>#N/A</v>
      </c>
      <c r="Y65" s="226" t="e">
        <v>#N/A</v>
      </c>
      <c r="Z65" s="226" t="e">
        <v>#N/A</v>
      </c>
      <c r="AA65" s="226" t="e">
        <v>#N/A</v>
      </c>
      <c r="AB65" s="226" t="e">
        <v>#N/A</v>
      </c>
      <c r="AC65" s="226" t="e">
        <v>#N/A</v>
      </c>
      <c r="AD65" s="226" t="e">
        <v>#N/A</v>
      </c>
      <c r="AE65" s="226" t="e">
        <v>#N/A</v>
      </c>
      <c r="AF65" s="226" t="e">
        <v>#N/A</v>
      </c>
      <c r="AG65" s="226" t="e">
        <v>#N/A</v>
      </c>
      <c r="AH65" s="226" t="e">
        <v>#N/A</v>
      </c>
      <c r="AI65" s="226" t="e">
        <v>#N/A</v>
      </c>
      <c r="AJ65" s="226" t="e">
        <v>#N/A</v>
      </c>
      <c r="AK65" s="226" t="e">
        <v>#N/A</v>
      </c>
      <c r="AL65" s="226" t="e">
        <v>#N/A</v>
      </c>
      <c r="AM65" s="226" t="e">
        <v>#N/A</v>
      </c>
      <c r="AN65" s="226" t="e">
        <v>#N/A</v>
      </c>
      <c r="AO65" s="226" t="e">
        <v>#N/A</v>
      </c>
      <c r="AP65" s="226" t="e">
        <v>#N/A</v>
      </c>
      <c r="AQ65" s="226" t="e">
        <v>#N/A</v>
      </c>
      <c r="AR65" s="226" t="e">
        <v>#N/A</v>
      </c>
      <c r="AS65" s="226" t="e">
        <v>#N/A</v>
      </c>
      <c r="AT65" s="226" t="e">
        <v>#N/A</v>
      </c>
      <c r="AU65" s="226" t="e">
        <v>#N/A</v>
      </c>
      <c r="AV65" s="226" t="e">
        <v>#N/A</v>
      </c>
      <c r="AW65" s="226" t="e">
        <v>#N/A</v>
      </c>
      <c r="AX65" s="226" t="e">
        <v>#N/A</v>
      </c>
      <c r="AY65" s="226" t="e">
        <v>#N/A</v>
      </c>
      <c r="AZ65" s="226" t="e">
        <v>#N/A</v>
      </c>
      <c r="BA65" s="226" t="e">
        <v>#N/A</v>
      </c>
      <c r="BB65" s="226" t="e">
        <v>#N/A</v>
      </c>
      <c r="BC65" s="226" t="e">
        <v>#N/A</v>
      </c>
      <c r="BD65" s="226" t="e">
        <v>#N/A</v>
      </c>
      <c r="BE65" s="226" t="e">
        <v>#N/A</v>
      </c>
      <c r="BF65" s="226" t="e">
        <v>#N/A</v>
      </c>
      <c r="BG65" s="226" t="e">
        <v>#N/A</v>
      </c>
      <c r="BH65" s="226" t="e">
        <v>#N/A</v>
      </c>
      <c r="BI65" s="226" t="e">
        <v>#N/A</v>
      </c>
      <c r="BJ65" s="226" t="e">
        <v>#N/A</v>
      </c>
      <c r="BK65" s="226" t="e">
        <v>#N/A</v>
      </c>
      <c r="BL65" s="226" t="e">
        <v>#N/A</v>
      </c>
      <c r="BM65" s="226" t="e">
        <v>#N/A</v>
      </c>
      <c r="BN65" s="226" t="e">
        <v>#N/A</v>
      </c>
      <c r="BO65" s="226" t="e">
        <v>#N/A</v>
      </c>
      <c r="BP65" s="226" t="e">
        <v>#N/A</v>
      </c>
      <c r="BQ65" s="501" t="e">
        <v>#N/A</v>
      </c>
    </row>
    <row r="66" spans="1:70" s="82" customFormat="1" ht="13.5" hidden="1" outlineLevel="1" thickBot="1" x14ac:dyDescent="0.35">
      <c r="B66" s="81" t="s">
        <v>303</v>
      </c>
      <c r="C66" s="225" t="s">
        <v>101</v>
      </c>
      <c r="D66" s="695"/>
      <c r="E66" s="680"/>
      <c r="F66" s="680"/>
      <c r="G66" s="680"/>
      <c r="H66" s="683"/>
      <c r="I66" s="506" t="s">
        <v>317</v>
      </c>
      <c r="J66" s="504">
        <f>'6.6 - Lists and lookups'!C$78</f>
        <v>0</v>
      </c>
      <c r="K66" s="504">
        <f>'6.6 - Lists and lookups'!D$78</f>
        <v>0</v>
      </c>
      <c r="L66" s="504">
        <f>'6.6 - Lists and lookups'!E$78</f>
        <v>0</v>
      </c>
      <c r="M66" s="504">
        <f>'6.6 - Lists and lookups'!F$78</f>
        <v>0</v>
      </c>
      <c r="N66" s="504">
        <f>'6.6 - Lists and lookups'!G$78</f>
        <v>0</v>
      </c>
      <c r="O66" s="504">
        <f>'6.6 - Lists and lookups'!H$78</f>
        <v>0</v>
      </c>
      <c r="P66" s="504">
        <f>'6.6 - Lists and lookups'!I$78</f>
        <v>0</v>
      </c>
      <c r="Q66" s="504">
        <f>'6.6 - Lists and lookups'!J$78</f>
        <v>0</v>
      </c>
      <c r="R66" s="504">
        <f>'6.6 - Lists and lookups'!K$78</f>
        <v>0</v>
      </c>
      <c r="S66" s="504">
        <f>'6.6 - Lists and lookups'!L$78</f>
        <v>0</v>
      </c>
      <c r="T66" s="504">
        <f>'6.6 - Lists and lookups'!M$78</f>
        <v>0</v>
      </c>
      <c r="U66" s="504">
        <f>'6.6 - Lists and lookups'!N$78</f>
        <v>0</v>
      </c>
      <c r="V66" s="504">
        <f>'6.6 - Lists and lookups'!O$78</f>
        <v>0</v>
      </c>
      <c r="W66" s="504">
        <f>'6.6 - Lists and lookups'!P$78</f>
        <v>0</v>
      </c>
      <c r="X66" s="504">
        <f>'6.6 - Lists and lookups'!Q$78</f>
        <v>0</v>
      </c>
      <c r="Y66" s="504">
        <f>'6.6 - Lists and lookups'!R$78</f>
        <v>0</v>
      </c>
      <c r="Z66" s="504">
        <f>'6.6 - Lists and lookups'!S$78</f>
        <v>0</v>
      </c>
      <c r="AA66" s="504">
        <f>'6.6 - Lists and lookups'!T$78</f>
        <v>0</v>
      </c>
      <c r="AB66" s="504">
        <f>'6.6 - Lists and lookups'!U$78</f>
        <v>0</v>
      </c>
      <c r="AC66" s="504">
        <f>'6.6 - Lists and lookups'!V$78</f>
        <v>0</v>
      </c>
      <c r="AD66" s="504">
        <f>'6.6 - Lists and lookups'!W$78</f>
        <v>0</v>
      </c>
      <c r="AE66" s="504">
        <f>'6.6 - Lists and lookups'!X$78</f>
        <v>0</v>
      </c>
      <c r="AF66" s="504">
        <f>'6.6 - Lists and lookups'!Y$78</f>
        <v>0</v>
      </c>
      <c r="AG66" s="504">
        <f>'6.6 - Lists and lookups'!Z$78</f>
        <v>0</v>
      </c>
      <c r="AH66" s="504">
        <f>'6.6 - Lists and lookups'!AA$78</f>
        <v>0</v>
      </c>
      <c r="AI66" s="504">
        <f>'6.6 - Lists and lookups'!AB$78</f>
        <v>0</v>
      </c>
      <c r="AJ66" s="504">
        <f>'6.6 - Lists and lookups'!AC$78</f>
        <v>0</v>
      </c>
      <c r="AK66" s="504">
        <f>'6.6 - Lists and lookups'!AD$78</f>
        <v>0</v>
      </c>
      <c r="AL66" s="504">
        <f>'6.6 - Lists and lookups'!AE$78</f>
        <v>0</v>
      </c>
      <c r="AM66" s="504">
        <f>'6.6 - Lists and lookups'!AF$78</f>
        <v>0</v>
      </c>
      <c r="AN66" s="504">
        <f>'6.6 - Lists and lookups'!AG$78</f>
        <v>0</v>
      </c>
      <c r="AO66" s="504">
        <f>'6.6 - Lists and lookups'!AH$78</f>
        <v>0</v>
      </c>
      <c r="AP66" s="504">
        <f>'6.6 - Lists and lookups'!AI$78</f>
        <v>0</v>
      </c>
      <c r="AQ66" s="504">
        <f>'6.6 - Lists and lookups'!AJ$78</f>
        <v>0</v>
      </c>
      <c r="AR66" s="504">
        <f>'6.6 - Lists and lookups'!AK$78</f>
        <v>0</v>
      </c>
      <c r="AS66" s="504">
        <f>'6.6 - Lists and lookups'!AL$78</f>
        <v>0</v>
      </c>
      <c r="AT66" s="504">
        <f>'6.6 - Lists and lookups'!AM$78</f>
        <v>0</v>
      </c>
      <c r="AU66" s="504">
        <f>'6.6 - Lists and lookups'!AN$78</f>
        <v>0</v>
      </c>
      <c r="AV66" s="504">
        <f>'6.6 - Lists and lookups'!AO$78</f>
        <v>0</v>
      </c>
      <c r="AW66" s="504">
        <f>'6.6 - Lists and lookups'!AP$78</f>
        <v>0</v>
      </c>
      <c r="AX66" s="504">
        <f>'6.6 - Lists and lookups'!AQ$78</f>
        <v>0</v>
      </c>
      <c r="AY66" s="504">
        <f>'6.6 - Lists and lookups'!AR$78</f>
        <v>0</v>
      </c>
      <c r="AZ66" s="504">
        <f>'6.6 - Lists and lookups'!AS$78</f>
        <v>0</v>
      </c>
      <c r="BA66" s="504">
        <f>'6.6 - Lists and lookups'!AT$78</f>
        <v>0</v>
      </c>
      <c r="BB66" s="504">
        <f>'6.6 - Lists and lookups'!AU$78</f>
        <v>0</v>
      </c>
      <c r="BC66" s="504">
        <f>'6.6 - Lists and lookups'!AV$78</f>
        <v>0</v>
      </c>
      <c r="BD66" s="504">
        <f>'6.6 - Lists and lookups'!AW$78</f>
        <v>0</v>
      </c>
      <c r="BE66" s="504">
        <f>'6.6 - Lists and lookups'!AX$78</f>
        <v>0</v>
      </c>
      <c r="BF66" s="504">
        <f>'6.6 - Lists and lookups'!AY$78</f>
        <v>0</v>
      </c>
      <c r="BG66" s="504">
        <f>'6.6 - Lists and lookups'!AZ$78</f>
        <v>0</v>
      </c>
      <c r="BH66" s="504">
        <f>'6.6 - Lists and lookups'!BA$78</f>
        <v>0</v>
      </c>
      <c r="BI66" s="504">
        <f>'6.6 - Lists and lookups'!BB$78</f>
        <v>0</v>
      </c>
      <c r="BJ66" s="504">
        <f>'6.6 - Lists and lookups'!BC$78</f>
        <v>0</v>
      </c>
      <c r="BK66" s="504">
        <f>'6.6 - Lists and lookups'!BD$78</f>
        <v>0</v>
      </c>
      <c r="BL66" s="504">
        <f>'6.6 - Lists and lookups'!BE$78</f>
        <v>0</v>
      </c>
      <c r="BM66" s="504">
        <f>'6.6 - Lists and lookups'!BF$78</f>
        <v>0</v>
      </c>
      <c r="BN66" s="504">
        <f>'6.6 - Lists and lookups'!BG$78</f>
        <v>0</v>
      </c>
      <c r="BO66" s="504">
        <f>'6.6 - Lists and lookups'!BH$78</f>
        <v>0</v>
      </c>
      <c r="BP66" s="504">
        <f>'6.6 - Lists and lookups'!BI$78</f>
        <v>0</v>
      </c>
      <c r="BQ66" s="507">
        <f>'6.6 - Lists and lookups'!BJ$78</f>
        <v>0</v>
      </c>
    </row>
    <row r="67" spans="1:70" s="82" customFormat="1" ht="13" hidden="1" outlineLevel="1" x14ac:dyDescent="0.3">
      <c r="B67" s="116" t="str">
        <f>'5.1 - Brownfield amenity'!B81</f>
        <v>0-0.5 miles</v>
      </c>
      <c r="C67" s="400" t="e">
        <f>'2. General project information'!C58</f>
        <v>#N/A</v>
      </c>
      <c r="D67" s="401">
        <f>MAX(D39:D47)</f>
        <v>0</v>
      </c>
      <c r="E67" s="401" t="e">
        <f>D67*C67/MoneyScalar</f>
        <v>#N/A</v>
      </c>
      <c r="F67" s="401" t="e">
        <f>E67-PV(0.035,9,E67)</f>
        <v>#N/A</v>
      </c>
      <c r="G67" s="401" t="e">
        <f>F67/DF_Appraisal_Period</f>
        <v>#N/A</v>
      </c>
      <c r="H67" s="401" t="e">
        <f>SUM(J67:BQ67)</f>
        <v>#N/A</v>
      </c>
      <c r="I67" s="527"/>
      <c r="J67" s="445" t="e">
        <f>IF(J$54&gt;=$F$48,$G67,0)*J$66</f>
        <v>#N/A</v>
      </c>
      <c r="K67" s="240" t="e">
        <f t="shared" ref="K67:Z69" si="11">IF(K$54&gt;=$F$48,$G67,0)*K$66</f>
        <v>#N/A</v>
      </c>
      <c r="L67" s="240" t="e">
        <f t="shared" si="11"/>
        <v>#N/A</v>
      </c>
      <c r="M67" s="240" t="e">
        <f t="shared" si="11"/>
        <v>#N/A</v>
      </c>
      <c r="N67" s="240" t="e">
        <f t="shared" si="11"/>
        <v>#N/A</v>
      </c>
      <c r="O67" s="240" t="e">
        <f t="shared" si="11"/>
        <v>#N/A</v>
      </c>
      <c r="P67" s="240" t="e">
        <f t="shared" si="11"/>
        <v>#N/A</v>
      </c>
      <c r="Q67" s="240" t="e">
        <f t="shared" si="11"/>
        <v>#N/A</v>
      </c>
      <c r="R67" s="240" t="e">
        <f t="shared" si="11"/>
        <v>#N/A</v>
      </c>
      <c r="S67" s="240" t="e">
        <f t="shared" si="11"/>
        <v>#N/A</v>
      </c>
      <c r="T67" s="240" t="e">
        <f t="shared" si="11"/>
        <v>#N/A</v>
      </c>
      <c r="U67" s="240" t="e">
        <f t="shared" si="11"/>
        <v>#N/A</v>
      </c>
      <c r="V67" s="240" t="e">
        <f t="shared" si="11"/>
        <v>#N/A</v>
      </c>
      <c r="W67" s="240" t="e">
        <f t="shared" si="11"/>
        <v>#N/A</v>
      </c>
      <c r="X67" s="240" t="e">
        <f t="shared" si="11"/>
        <v>#N/A</v>
      </c>
      <c r="Y67" s="240" t="e">
        <f t="shared" si="11"/>
        <v>#N/A</v>
      </c>
      <c r="Z67" s="240" t="e">
        <f t="shared" si="11"/>
        <v>#N/A</v>
      </c>
      <c r="AA67" s="240" t="e">
        <f t="shared" ref="AA67:AP69" si="12">IF(AA$54&gt;=$F$48,$G67,0)*AA$66</f>
        <v>#N/A</v>
      </c>
      <c r="AB67" s="240" t="e">
        <f t="shared" si="12"/>
        <v>#N/A</v>
      </c>
      <c r="AC67" s="240" t="e">
        <f t="shared" si="12"/>
        <v>#N/A</v>
      </c>
      <c r="AD67" s="240" t="e">
        <f t="shared" si="12"/>
        <v>#N/A</v>
      </c>
      <c r="AE67" s="240" t="e">
        <f t="shared" si="12"/>
        <v>#N/A</v>
      </c>
      <c r="AF67" s="240" t="e">
        <f t="shared" si="12"/>
        <v>#N/A</v>
      </c>
      <c r="AG67" s="240" t="e">
        <f t="shared" si="12"/>
        <v>#N/A</v>
      </c>
      <c r="AH67" s="240" t="e">
        <f t="shared" si="12"/>
        <v>#N/A</v>
      </c>
      <c r="AI67" s="240" t="e">
        <f t="shared" si="12"/>
        <v>#N/A</v>
      </c>
      <c r="AJ67" s="240" t="e">
        <f t="shared" si="12"/>
        <v>#N/A</v>
      </c>
      <c r="AK67" s="240" t="e">
        <f t="shared" si="12"/>
        <v>#N/A</v>
      </c>
      <c r="AL67" s="240" t="e">
        <f t="shared" si="12"/>
        <v>#N/A</v>
      </c>
      <c r="AM67" s="240" t="e">
        <f t="shared" si="12"/>
        <v>#N/A</v>
      </c>
      <c r="AN67" s="240" t="e">
        <f t="shared" si="12"/>
        <v>#N/A</v>
      </c>
      <c r="AO67" s="240" t="e">
        <f t="shared" si="12"/>
        <v>#N/A</v>
      </c>
      <c r="AP67" s="240" t="e">
        <f t="shared" si="12"/>
        <v>#N/A</v>
      </c>
      <c r="AQ67" s="240" t="e">
        <f t="shared" ref="AQ67:BF69" si="13">IF(AQ$54&gt;=$F$48,$G67,0)*AQ$66</f>
        <v>#N/A</v>
      </c>
      <c r="AR67" s="240" t="e">
        <f t="shared" si="13"/>
        <v>#N/A</v>
      </c>
      <c r="AS67" s="240" t="e">
        <f t="shared" si="13"/>
        <v>#N/A</v>
      </c>
      <c r="AT67" s="240" t="e">
        <f t="shared" si="13"/>
        <v>#N/A</v>
      </c>
      <c r="AU67" s="240" t="e">
        <f t="shared" si="13"/>
        <v>#N/A</v>
      </c>
      <c r="AV67" s="240" t="e">
        <f t="shared" si="13"/>
        <v>#N/A</v>
      </c>
      <c r="AW67" s="240" t="e">
        <f t="shared" si="13"/>
        <v>#N/A</v>
      </c>
      <c r="AX67" s="240" t="e">
        <f t="shared" si="13"/>
        <v>#N/A</v>
      </c>
      <c r="AY67" s="240" t="e">
        <f t="shared" si="13"/>
        <v>#N/A</v>
      </c>
      <c r="AZ67" s="240" t="e">
        <f t="shared" si="13"/>
        <v>#N/A</v>
      </c>
      <c r="BA67" s="240" t="e">
        <f t="shared" si="13"/>
        <v>#N/A</v>
      </c>
      <c r="BB67" s="240" t="e">
        <f t="shared" si="13"/>
        <v>#N/A</v>
      </c>
      <c r="BC67" s="240" t="e">
        <f t="shared" si="13"/>
        <v>#N/A</v>
      </c>
      <c r="BD67" s="240" t="e">
        <f t="shared" si="13"/>
        <v>#N/A</v>
      </c>
      <c r="BE67" s="240" t="e">
        <f t="shared" si="13"/>
        <v>#N/A</v>
      </c>
      <c r="BF67" s="240" t="e">
        <f t="shared" si="13"/>
        <v>#N/A</v>
      </c>
      <c r="BG67" s="240" t="e">
        <f t="shared" ref="BG67:BQ69" si="14">IF(BG$54&gt;=$F$48,$G67,0)*BG$66</f>
        <v>#N/A</v>
      </c>
      <c r="BH67" s="240" t="e">
        <f t="shared" si="14"/>
        <v>#N/A</v>
      </c>
      <c r="BI67" s="240" t="e">
        <f t="shared" si="14"/>
        <v>#N/A</v>
      </c>
      <c r="BJ67" s="240" t="e">
        <f t="shared" si="14"/>
        <v>#N/A</v>
      </c>
      <c r="BK67" s="240" t="e">
        <f t="shared" si="14"/>
        <v>#N/A</v>
      </c>
      <c r="BL67" s="240" t="e">
        <f t="shared" si="14"/>
        <v>#N/A</v>
      </c>
      <c r="BM67" s="240" t="e">
        <f t="shared" si="14"/>
        <v>#N/A</v>
      </c>
      <c r="BN67" s="240" t="e">
        <f t="shared" si="14"/>
        <v>#N/A</v>
      </c>
      <c r="BO67" s="240" t="e">
        <f t="shared" si="14"/>
        <v>#N/A</v>
      </c>
      <c r="BP67" s="240" t="e">
        <f t="shared" si="14"/>
        <v>#N/A</v>
      </c>
      <c r="BQ67" s="240" t="e">
        <f t="shared" si="14"/>
        <v>#N/A</v>
      </c>
    </row>
    <row r="68" spans="1:70" s="82" customFormat="1" ht="13.5" hidden="1" outlineLevel="1" thickBot="1" x14ac:dyDescent="0.35">
      <c r="B68" s="278" t="str">
        <f>'5.1 - Brownfield amenity'!B82</f>
        <v>0.5-1 miles</v>
      </c>
      <c r="C68" s="402" t="e">
        <f>'2. General project information'!D58</f>
        <v>#N/A</v>
      </c>
      <c r="D68" s="403">
        <f>MAX(D39:D47)</f>
        <v>0</v>
      </c>
      <c r="E68" s="403" t="e">
        <f>D68*C68/MoneyScalar</f>
        <v>#N/A</v>
      </c>
      <c r="F68" s="404" t="e">
        <f>E68-PV(0.035,9,E68)</f>
        <v>#N/A</v>
      </c>
      <c r="G68" s="404" t="e">
        <f>F68/DF_Appraisal_Period</f>
        <v>#N/A</v>
      </c>
      <c r="H68" s="404" t="e">
        <f>SUM(J68:BQ68)</f>
        <v>#N/A</v>
      </c>
      <c r="I68" s="523"/>
      <c r="J68" s="241" t="e">
        <f t="shared" ref="J68:J69" si="15">IF(J$54&gt;=$F$48,$G68,0)*J$66</f>
        <v>#N/A</v>
      </c>
      <c r="K68" s="241" t="e">
        <f t="shared" si="11"/>
        <v>#N/A</v>
      </c>
      <c r="L68" s="241" t="e">
        <f t="shared" si="11"/>
        <v>#N/A</v>
      </c>
      <c r="M68" s="241" t="e">
        <f t="shared" si="11"/>
        <v>#N/A</v>
      </c>
      <c r="N68" s="241" t="e">
        <f t="shared" si="11"/>
        <v>#N/A</v>
      </c>
      <c r="O68" s="241" t="e">
        <f t="shared" si="11"/>
        <v>#N/A</v>
      </c>
      <c r="P68" s="241" t="e">
        <f t="shared" si="11"/>
        <v>#N/A</v>
      </c>
      <c r="Q68" s="241" t="e">
        <f t="shared" si="11"/>
        <v>#N/A</v>
      </c>
      <c r="R68" s="241" t="e">
        <f t="shared" si="11"/>
        <v>#N/A</v>
      </c>
      <c r="S68" s="241" t="e">
        <f t="shared" si="11"/>
        <v>#N/A</v>
      </c>
      <c r="T68" s="241" t="e">
        <f t="shared" si="11"/>
        <v>#N/A</v>
      </c>
      <c r="U68" s="241" t="e">
        <f t="shared" si="11"/>
        <v>#N/A</v>
      </c>
      <c r="V68" s="241" t="e">
        <f t="shared" si="11"/>
        <v>#N/A</v>
      </c>
      <c r="W68" s="241" t="e">
        <f t="shared" si="11"/>
        <v>#N/A</v>
      </c>
      <c r="X68" s="241" t="e">
        <f t="shared" si="11"/>
        <v>#N/A</v>
      </c>
      <c r="Y68" s="241" t="e">
        <f t="shared" si="11"/>
        <v>#N/A</v>
      </c>
      <c r="Z68" s="241" t="e">
        <f t="shared" si="11"/>
        <v>#N/A</v>
      </c>
      <c r="AA68" s="241" t="e">
        <f t="shared" si="12"/>
        <v>#N/A</v>
      </c>
      <c r="AB68" s="241" t="e">
        <f t="shared" si="12"/>
        <v>#N/A</v>
      </c>
      <c r="AC68" s="241" t="e">
        <f t="shared" si="12"/>
        <v>#N/A</v>
      </c>
      <c r="AD68" s="241" t="e">
        <f t="shared" si="12"/>
        <v>#N/A</v>
      </c>
      <c r="AE68" s="241" t="e">
        <f t="shared" si="12"/>
        <v>#N/A</v>
      </c>
      <c r="AF68" s="241" t="e">
        <f t="shared" si="12"/>
        <v>#N/A</v>
      </c>
      <c r="AG68" s="241" t="e">
        <f t="shared" si="12"/>
        <v>#N/A</v>
      </c>
      <c r="AH68" s="241" t="e">
        <f t="shared" si="12"/>
        <v>#N/A</v>
      </c>
      <c r="AI68" s="241" t="e">
        <f t="shared" si="12"/>
        <v>#N/A</v>
      </c>
      <c r="AJ68" s="241" t="e">
        <f t="shared" si="12"/>
        <v>#N/A</v>
      </c>
      <c r="AK68" s="241" t="e">
        <f t="shared" si="12"/>
        <v>#N/A</v>
      </c>
      <c r="AL68" s="241" t="e">
        <f t="shared" si="12"/>
        <v>#N/A</v>
      </c>
      <c r="AM68" s="241" t="e">
        <f t="shared" si="12"/>
        <v>#N/A</v>
      </c>
      <c r="AN68" s="241" t="e">
        <f t="shared" si="12"/>
        <v>#N/A</v>
      </c>
      <c r="AO68" s="241" t="e">
        <f t="shared" si="12"/>
        <v>#N/A</v>
      </c>
      <c r="AP68" s="241" t="e">
        <f t="shared" si="12"/>
        <v>#N/A</v>
      </c>
      <c r="AQ68" s="241" t="e">
        <f t="shared" si="13"/>
        <v>#N/A</v>
      </c>
      <c r="AR68" s="241" t="e">
        <f t="shared" si="13"/>
        <v>#N/A</v>
      </c>
      <c r="AS68" s="241" t="e">
        <f t="shared" si="13"/>
        <v>#N/A</v>
      </c>
      <c r="AT68" s="241" t="e">
        <f t="shared" si="13"/>
        <v>#N/A</v>
      </c>
      <c r="AU68" s="241" t="e">
        <f t="shared" si="13"/>
        <v>#N/A</v>
      </c>
      <c r="AV68" s="241" t="e">
        <f t="shared" si="13"/>
        <v>#N/A</v>
      </c>
      <c r="AW68" s="241" t="e">
        <f t="shared" si="13"/>
        <v>#N/A</v>
      </c>
      <c r="AX68" s="241" t="e">
        <f t="shared" si="13"/>
        <v>#N/A</v>
      </c>
      <c r="AY68" s="241" t="e">
        <f t="shared" si="13"/>
        <v>#N/A</v>
      </c>
      <c r="AZ68" s="241" t="e">
        <f t="shared" si="13"/>
        <v>#N/A</v>
      </c>
      <c r="BA68" s="241" t="e">
        <f t="shared" si="13"/>
        <v>#N/A</v>
      </c>
      <c r="BB68" s="241" t="e">
        <f t="shared" si="13"/>
        <v>#N/A</v>
      </c>
      <c r="BC68" s="241" t="e">
        <f t="shared" si="13"/>
        <v>#N/A</v>
      </c>
      <c r="BD68" s="241" t="e">
        <f t="shared" si="13"/>
        <v>#N/A</v>
      </c>
      <c r="BE68" s="241" t="e">
        <f t="shared" si="13"/>
        <v>#N/A</v>
      </c>
      <c r="BF68" s="241" t="e">
        <f t="shared" si="13"/>
        <v>#N/A</v>
      </c>
      <c r="BG68" s="241" t="e">
        <f t="shared" si="14"/>
        <v>#N/A</v>
      </c>
      <c r="BH68" s="241" t="e">
        <f t="shared" si="14"/>
        <v>#N/A</v>
      </c>
      <c r="BI68" s="241" t="e">
        <f t="shared" si="14"/>
        <v>#N/A</v>
      </c>
      <c r="BJ68" s="241" t="e">
        <f t="shared" si="14"/>
        <v>#N/A</v>
      </c>
      <c r="BK68" s="241" t="e">
        <f t="shared" si="14"/>
        <v>#N/A</v>
      </c>
      <c r="BL68" s="241" t="e">
        <f t="shared" si="14"/>
        <v>#N/A</v>
      </c>
      <c r="BM68" s="241" t="e">
        <f t="shared" si="14"/>
        <v>#N/A</v>
      </c>
      <c r="BN68" s="241" t="e">
        <f t="shared" si="14"/>
        <v>#N/A</v>
      </c>
      <c r="BO68" s="241" t="e">
        <f t="shared" si="14"/>
        <v>#N/A</v>
      </c>
      <c r="BP68" s="241" t="e">
        <f t="shared" si="14"/>
        <v>#N/A</v>
      </c>
      <c r="BQ68" s="241" t="e">
        <f t="shared" si="14"/>
        <v>#N/A</v>
      </c>
    </row>
    <row r="69" spans="1:70" s="82" customFormat="1" ht="13.5" hidden="1" outlineLevel="1" thickBot="1" x14ac:dyDescent="0.35">
      <c r="B69" s="186" t="str" cm="1">
        <f t="array" ref="B69">NDT</f>
        <v>Non-discounted total (£, )</v>
      </c>
      <c r="C69" s="183" t="e">
        <f>SUM(C67:C68)</f>
        <v>#N/A</v>
      </c>
      <c r="D69" s="125" t="s">
        <v>319</v>
      </c>
      <c r="E69" s="406" t="e">
        <f>SUM(E67:E68)</f>
        <v>#N/A</v>
      </c>
      <c r="F69" s="404" t="e">
        <f>SUM(F67:F68)</f>
        <v>#N/A</v>
      </c>
      <c r="G69" s="404" t="e">
        <f>F69/DF_Appraisal_Period</f>
        <v>#N/A</v>
      </c>
      <c r="H69" s="404" t="e">
        <f>SUM(J69:BQ69)</f>
        <v>#N/A</v>
      </c>
      <c r="I69" s="523"/>
      <c r="J69" s="242" t="e">
        <f t="shared" si="15"/>
        <v>#N/A</v>
      </c>
      <c r="K69" s="242" t="e">
        <f t="shared" si="11"/>
        <v>#N/A</v>
      </c>
      <c r="L69" s="242" t="e">
        <f t="shared" si="11"/>
        <v>#N/A</v>
      </c>
      <c r="M69" s="242" t="e">
        <f t="shared" si="11"/>
        <v>#N/A</v>
      </c>
      <c r="N69" s="242" t="e">
        <f t="shared" si="11"/>
        <v>#N/A</v>
      </c>
      <c r="O69" s="242" t="e">
        <f t="shared" si="11"/>
        <v>#N/A</v>
      </c>
      <c r="P69" s="242" t="e">
        <f t="shared" si="11"/>
        <v>#N/A</v>
      </c>
      <c r="Q69" s="242" t="e">
        <f t="shared" si="11"/>
        <v>#N/A</v>
      </c>
      <c r="R69" s="242" t="e">
        <f t="shared" si="11"/>
        <v>#N/A</v>
      </c>
      <c r="S69" s="242" t="e">
        <f t="shared" si="11"/>
        <v>#N/A</v>
      </c>
      <c r="T69" s="242" t="e">
        <f t="shared" si="11"/>
        <v>#N/A</v>
      </c>
      <c r="U69" s="242" t="e">
        <f t="shared" si="11"/>
        <v>#N/A</v>
      </c>
      <c r="V69" s="242" t="e">
        <f t="shared" si="11"/>
        <v>#N/A</v>
      </c>
      <c r="W69" s="242" t="e">
        <f t="shared" si="11"/>
        <v>#N/A</v>
      </c>
      <c r="X69" s="242" t="e">
        <f t="shared" si="11"/>
        <v>#N/A</v>
      </c>
      <c r="Y69" s="242" t="e">
        <f t="shared" si="11"/>
        <v>#N/A</v>
      </c>
      <c r="Z69" s="242" t="e">
        <f t="shared" si="11"/>
        <v>#N/A</v>
      </c>
      <c r="AA69" s="242" t="e">
        <f t="shared" si="12"/>
        <v>#N/A</v>
      </c>
      <c r="AB69" s="242" t="e">
        <f t="shared" si="12"/>
        <v>#N/A</v>
      </c>
      <c r="AC69" s="242" t="e">
        <f t="shared" si="12"/>
        <v>#N/A</v>
      </c>
      <c r="AD69" s="242" t="e">
        <f t="shared" si="12"/>
        <v>#N/A</v>
      </c>
      <c r="AE69" s="242" t="e">
        <f t="shared" si="12"/>
        <v>#N/A</v>
      </c>
      <c r="AF69" s="242" t="e">
        <f t="shared" si="12"/>
        <v>#N/A</v>
      </c>
      <c r="AG69" s="242" t="e">
        <f t="shared" si="12"/>
        <v>#N/A</v>
      </c>
      <c r="AH69" s="242" t="e">
        <f t="shared" si="12"/>
        <v>#N/A</v>
      </c>
      <c r="AI69" s="242" t="e">
        <f t="shared" si="12"/>
        <v>#N/A</v>
      </c>
      <c r="AJ69" s="242" t="e">
        <f t="shared" si="12"/>
        <v>#N/A</v>
      </c>
      <c r="AK69" s="242" t="e">
        <f t="shared" si="12"/>
        <v>#N/A</v>
      </c>
      <c r="AL69" s="242" t="e">
        <f t="shared" si="12"/>
        <v>#N/A</v>
      </c>
      <c r="AM69" s="242" t="e">
        <f t="shared" si="12"/>
        <v>#N/A</v>
      </c>
      <c r="AN69" s="242" t="e">
        <f t="shared" si="12"/>
        <v>#N/A</v>
      </c>
      <c r="AO69" s="242" t="e">
        <f t="shared" si="12"/>
        <v>#N/A</v>
      </c>
      <c r="AP69" s="242" t="e">
        <f t="shared" si="12"/>
        <v>#N/A</v>
      </c>
      <c r="AQ69" s="242" t="e">
        <f t="shared" si="13"/>
        <v>#N/A</v>
      </c>
      <c r="AR69" s="242" t="e">
        <f t="shared" si="13"/>
        <v>#N/A</v>
      </c>
      <c r="AS69" s="242" t="e">
        <f t="shared" si="13"/>
        <v>#N/A</v>
      </c>
      <c r="AT69" s="242" t="e">
        <f t="shared" si="13"/>
        <v>#N/A</v>
      </c>
      <c r="AU69" s="242" t="e">
        <f t="shared" si="13"/>
        <v>#N/A</v>
      </c>
      <c r="AV69" s="242" t="e">
        <f t="shared" si="13"/>
        <v>#N/A</v>
      </c>
      <c r="AW69" s="242" t="e">
        <f t="shared" si="13"/>
        <v>#N/A</v>
      </c>
      <c r="AX69" s="242" t="e">
        <f t="shared" si="13"/>
        <v>#N/A</v>
      </c>
      <c r="AY69" s="242" t="e">
        <f t="shared" si="13"/>
        <v>#N/A</v>
      </c>
      <c r="AZ69" s="242" t="e">
        <f t="shared" si="13"/>
        <v>#N/A</v>
      </c>
      <c r="BA69" s="242" t="e">
        <f t="shared" si="13"/>
        <v>#N/A</v>
      </c>
      <c r="BB69" s="242" t="e">
        <f t="shared" si="13"/>
        <v>#N/A</v>
      </c>
      <c r="BC69" s="242" t="e">
        <f t="shared" si="13"/>
        <v>#N/A</v>
      </c>
      <c r="BD69" s="242" t="e">
        <f t="shared" si="13"/>
        <v>#N/A</v>
      </c>
      <c r="BE69" s="242" t="e">
        <f t="shared" si="13"/>
        <v>#N/A</v>
      </c>
      <c r="BF69" s="242" t="e">
        <f t="shared" si="13"/>
        <v>#N/A</v>
      </c>
      <c r="BG69" s="242" t="e">
        <f t="shared" si="14"/>
        <v>#N/A</v>
      </c>
      <c r="BH69" s="242" t="e">
        <f t="shared" si="14"/>
        <v>#N/A</v>
      </c>
      <c r="BI69" s="242" t="e">
        <f t="shared" si="14"/>
        <v>#N/A</v>
      </c>
      <c r="BJ69" s="242" t="e">
        <f t="shared" si="14"/>
        <v>#N/A</v>
      </c>
      <c r="BK69" s="242" t="e">
        <f t="shared" si="14"/>
        <v>#N/A</v>
      </c>
      <c r="BL69" s="242" t="e">
        <f t="shared" si="14"/>
        <v>#N/A</v>
      </c>
      <c r="BM69" s="242" t="e">
        <f t="shared" si="14"/>
        <v>#N/A</v>
      </c>
      <c r="BN69" s="242" t="e">
        <f t="shared" si="14"/>
        <v>#N/A</v>
      </c>
      <c r="BO69" s="242" t="e">
        <f t="shared" si="14"/>
        <v>#N/A</v>
      </c>
      <c r="BP69" s="242" t="e">
        <f t="shared" si="14"/>
        <v>#N/A</v>
      </c>
      <c r="BQ69" s="242" t="e">
        <f t="shared" si="14"/>
        <v>#N/A</v>
      </c>
    </row>
    <row r="70" spans="1:70" s="82" customFormat="1" ht="13.5" hidden="1" outlineLevel="1" thickBot="1" x14ac:dyDescent="0.35">
      <c r="B70" s="186" t="str" cm="1">
        <f t="array" ref="B70">DT</f>
        <v>Discounted total (£, )</v>
      </c>
      <c r="C70" s="183" t="e">
        <f>C69</f>
        <v>#N/A</v>
      </c>
      <c r="D70" s="125" t="s">
        <v>319</v>
      </c>
      <c r="E70" s="406" t="e">
        <f>E69</f>
        <v>#N/A</v>
      </c>
      <c r="F70" s="406" t="s">
        <v>319</v>
      </c>
      <c r="G70" s="406" t="s">
        <v>319</v>
      </c>
      <c r="H70" s="406" t="e">
        <f>SUM(J70:BQ70)</f>
        <v>#N/A</v>
      </c>
      <c r="I70" s="528"/>
      <c r="J70" s="242" t="e">
        <f t="shared" ref="J70:AO70" si="16">J69*HLOOKUP(J65,DFVector,4,FALSE)</f>
        <v>#N/A</v>
      </c>
      <c r="K70" s="242" t="e">
        <f t="shared" si="16"/>
        <v>#N/A</v>
      </c>
      <c r="L70" s="242" t="e">
        <f t="shared" si="16"/>
        <v>#N/A</v>
      </c>
      <c r="M70" s="242" t="e">
        <f t="shared" si="16"/>
        <v>#N/A</v>
      </c>
      <c r="N70" s="242" t="e">
        <f t="shared" si="16"/>
        <v>#N/A</v>
      </c>
      <c r="O70" s="242" t="e">
        <f t="shared" si="16"/>
        <v>#N/A</v>
      </c>
      <c r="P70" s="242" t="e">
        <f t="shared" si="16"/>
        <v>#N/A</v>
      </c>
      <c r="Q70" s="242" t="e">
        <f t="shared" si="16"/>
        <v>#N/A</v>
      </c>
      <c r="R70" s="242" t="e">
        <f t="shared" si="16"/>
        <v>#N/A</v>
      </c>
      <c r="S70" s="242" t="e">
        <f t="shared" si="16"/>
        <v>#N/A</v>
      </c>
      <c r="T70" s="242" t="e">
        <f t="shared" si="16"/>
        <v>#N/A</v>
      </c>
      <c r="U70" s="242" t="e">
        <f t="shared" si="16"/>
        <v>#N/A</v>
      </c>
      <c r="V70" s="242" t="e">
        <f t="shared" si="16"/>
        <v>#N/A</v>
      </c>
      <c r="W70" s="242" t="e">
        <f t="shared" si="16"/>
        <v>#N/A</v>
      </c>
      <c r="X70" s="242" t="e">
        <f t="shared" si="16"/>
        <v>#N/A</v>
      </c>
      <c r="Y70" s="242" t="e">
        <f t="shared" si="16"/>
        <v>#N/A</v>
      </c>
      <c r="Z70" s="242" t="e">
        <f t="shared" si="16"/>
        <v>#N/A</v>
      </c>
      <c r="AA70" s="242" t="e">
        <f t="shared" si="16"/>
        <v>#N/A</v>
      </c>
      <c r="AB70" s="242" t="e">
        <f t="shared" si="16"/>
        <v>#N/A</v>
      </c>
      <c r="AC70" s="242" t="e">
        <f t="shared" si="16"/>
        <v>#N/A</v>
      </c>
      <c r="AD70" s="242" t="e">
        <f t="shared" si="16"/>
        <v>#N/A</v>
      </c>
      <c r="AE70" s="242" t="e">
        <f t="shared" si="16"/>
        <v>#N/A</v>
      </c>
      <c r="AF70" s="242" t="e">
        <f t="shared" si="16"/>
        <v>#N/A</v>
      </c>
      <c r="AG70" s="242" t="e">
        <f t="shared" si="16"/>
        <v>#N/A</v>
      </c>
      <c r="AH70" s="242" t="e">
        <f t="shared" si="16"/>
        <v>#N/A</v>
      </c>
      <c r="AI70" s="242" t="e">
        <f t="shared" si="16"/>
        <v>#N/A</v>
      </c>
      <c r="AJ70" s="242" t="e">
        <f t="shared" si="16"/>
        <v>#N/A</v>
      </c>
      <c r="AK70" s="242" t="e">
        <f t="shared" si="16"/>
        <v>#N/A</v>
      </c>
      <c r="AL70" s="242" t="e">
        <f t="shared" si="16"/>
        <v>#N/A</v>
      </c>
      <c r="AM70" s="242" t="e">
        <f t="shared" si="16"/>
        <v>#N/A</v>
      </c>
      <c r="AN70" s="242" t="e">
        <f t="shared" si="16"/>
        <v>#N/A</v>
      </c>
      <c r="AO70" s="242" t="e">
        <f t="shared" si="16"/>
        <v>#N/A</v>
      </c>
      <c r="AP70" s="242" t="e">
        <f t="shared" ref="AP70:BQ70" si="17">AP69*HLOOKUP(AP65,DFVector,4,FALSE)</f>
        <v>#N/A</v>
      </c>
      <c r="AQ70" s="242" t="e">
        <f t="shared" si="17"/>
        <v>#N/A</v>
      </c>
      <c r="AR70" s="242" t="e">
        <f t="shared" si="17"/>
        <v>#N/A</v>
      </c>
      <c r="AS70" s="242" t="e">
        <f t="shared" si="17"/>
        <v>#N/A</v>
      </c>
      <c r="AT70" s="242" t="e">
        <f t="shared" si="17"/>
        <v>#N/A</v>
      </c>
      <c r="AU70" s="242" t="e">
        <f t="shared" si="17"/>
        <v>#N/A</v>
      </c>
      <c r="AV70" s="242" t="e">
        <f t="shared" si="17"/>
        <v>#N/A</v>
      </c>
      <c r="AW70" s="242" t="e">
        <f t="shared" si="17"/>
        <v>#N/A</v>
      </c>
      <c r="AX70" s="242" t="e">
        <f t="shared" si="17"/>
        <v>#N/A</v>
      </c>
      <c r="AY70" s="242" t="e">
        <f t="shared" si="17"/>
        <v>#N/A</v>
      </c>
      <c r="AZ70" s="242" t="e">
        <f t="shared" si="17"/>
        <v>#N/A</v>
      </c>
      <c r="BA70" s="242" t="e">
        <f t="shared" si="17"/>
        <v>#N/A</v>
      </c>
      <c r="BB70" s="242" t="e">
        <f t="shared" si="17"/>
        <v>#N/A</v>
      </c>
      <c r="BC70" s="242" t="e">
        <f t="shared" si="17"/>
        <v>#N/A</v>
      </c>
      <c r="BD70" s="242" t="e">
        <f t="shared" si="17"/>
        <v>#N/A</v>
      </c>
      <c r="BE70" s="242" t="e">
        <f t="shared" si="17"/>
        <v>#N/A</v>
      </c>
      <c r="BF70" s="242" t="e">
        <f t="shared" si="17"/>
        <v>#N/A</v>
      </c>
      <c r="BG70" s="242" t="e">
        <f t="shared" si="17"/>
        <v>#N/A</v>
      </c>
      <c r="BH70" s="242" t="e">
        <f t="shared" si="17"/>
        <v>#N/A</v>
      </c>
      <c r="BI70" s="242" t="e">
        <f t="shared" si="17"/>
        <v>#N/A</v>
      </c>
      <c r="BJ70" s="242" t="e">
        <f t="shared" si="17"/>
        <v>#N/A</v>
      </c>
      <c r="BK70" s="242" t="e">
        <f t="shared" si="17"/>
        <v>#N/A</v>
      </c>
      <c r="BL70" s="242" t="e">
        <f t="shared" si="17"/>
        <v>#N/A</v>
      </c>
      <c r="BM70" s="242" t="e">
        <f t="shared" si="17"/>
        <v>#N/A</v>
      </c>
      <c r="BN70" s="242" t="e">
        <f t="shared" si="17"/>
        <v>#N/A</v>
      </c>
      <c r="BO70" s="242" t="e">
        <f t="shared" si="17"/>
        <v>#N/A</v>
      </c>
      <c r="BP70" s="242" t="e">
        <f t="shared" si="17"/>
        <v>#N/A</v>
      </c>
      <c r="BQ70" s="242" t="e">
        <f t="shared" si="17"/>
        <v>#N/A</v>
      </c>
    </row>
    <row r="71" spans="1:70" collapsed="1" x14ac:dyDescent="0.35">
      <c r="A71" s="82"/>
      <c r="B71" s="114" t="str">
        <f>Expand</f>
        <v>Press the plus/minus to the left to expand/minimise this section</v>
      </c>
      <c r="C71" s="112"/>
      <c r="D71" s="112"/>
      <c r="E71" s="112"/>
      <c r="F71" s="239"/>
      <c r="G71" s="187"/>
      <c r="H71" s="187"/>
      <c r="I71" s="130"/>
      <c r="J71" s="112"/>
      <c r="BR71" s="82"/>
    </row>
    <row r="72" spans="1:70" x14ac:dyDescent="0.35">
      <c r="A72" s="82"/>
      <c r="B72" s="114"/>
      <c r="C72" s="112"/>
      <c r="D72" s="112"/>
      <c r="E72" s="112"/>
      <c r="F72" s="239"/>
      <c r="G72" s="187"/>
      <c r="H72" s="187"/>
      <c r="I72" s="130"/>
      <c r="J72" s="112"/>
      <c r="BR72" s="82"/>
    </row>
    <row r="73" spans="1:70" ht="16" thickBot="1" x14ac:dyDescent="0.4">
      <c r="A73" s="82"/>
      <c r="B73" s="138" t="s">
        <v>360</v>
      </c>
      <c r="C73" s="110"/>
      <c r="D73" s="111"/>
      <c r="E73" s="111"/>
      <c r="F73" s="9"/>
      <c r="G73" s="9"/>
      <c r="H73" s="9"/>
      <c r="I73" s="498"/>
      <c r="J73" s="111"/>
      <c r="K73" s="111"/>
      <c r="L73" s="111"/>
      <c r="M73" s="268"/>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82"/>
    </row>
    <row r="74" spans="1:70" s="82" customFormat="1" ht="7.5" hidden="1" customHeight="1" outlineLevel="1" thickBot="1" x14ac:dyDescent="0.35">
      <c r="C74" s="225"/>
      <c r="E74" s="121"/>
      <c r="I74" s="180"/>
    </row>
    <row r="75" spans="1:70" s="82" customFormat="1" ht="15.75" hidden="1" customHeight="1" outlineLevel="1" x14ac:dyDescent="0.3">
      <c r="B75" s="81"/>
      <c r="C75" s="225"/>
      <c r="D75" s="693" t="s">
        <v>358</v>
      </c>
      <c r="E75" s="678" t="str" cm="1">
        <f t="array" ref="E75">TAV</f>
        <v>Total annual value (£, )</v>
      </c>
      <c r="F75" s="678" t="str">
        <f>_xlfn.CONCAT("PV for 10 years (£, ",MoneyScalarName,")")</f>
        <v>PV for 10 years (£, )</v>
      </c>
      <c r="G75" s="678" t="str">
        <f>_xlfn.CONCAT("Annual value using amortised benefits (£/yr, ",MoneyScalarName,")")</f>
        <v>Annual value using amortised benefits (£/yr, )</v>
      </c>
      <c r="H75" s="681" t="str">
        <f>_xlfn.CONCAT("Total value using amortised benefits (£, ",MoneyScalarName,")")</f>
        <v>Total value using amortised benefits (£, )</v>
      </c>
      <c r="I75" s="505" t="s">
        <v>315</v>
      </c>
      <c r="J75" s="521">
        <v>0</v>
      </c>
      <c r="K75" s="521">
        <v>1</v>
      </c>
      <c r="L75" s="521">
        <v>2</v>
      </c>
      <c r="M75" s="521">
        <v>3</v>
      </c>
      <c r="N75" s="521">
        <v>4</v>
      </c>
      <c r="O75" s="521">
        <v>5</v>
      </c>
      <c r="P75" s="521">
        <v>6</v>
      </c>
      <c r="Q75" s="521">
        <v>7</v>
      </c>
      <c r="R75" s="521">
        <v>8</v>
      </c>
      <c r="S75" s="521">
        <v>9</v>
      </c>
      <c r="T75" s="521">
        <v>10</v>
      </c>
      <c r="U75" s="521">
        <v>11</v>
      </c>
      <c r="V75" s="521">
        <v>12</v>
      </c>
      <c r="W75" s="521">
        <v>13</v>
      </c>
      <c r="X75" s="521">
        <v>14</v>
      </c>
      <c r="Y75" s="521">
        <v>15</v>
      </c>
      <c r="Z75" s="521">
        <v>16</v>
      </c>
      <c r="AA75" s="521">
        <v>17</v>
      </c>
      <c r="AB75" s="521">
        <v>18</v>
      </c>
      <c r="AC75" s="521">
        <v>19</v>
      </c>
      <c r="AD75" s="521">
        <v>20</v>
      </c>
      <c r="AE75" s="521">
        <v>21</v>
      </c>
      <c r="AF75" s="521">
        <v>22</v>
      </c>
      <c r="AG75" s="521">
        <v>23</v>
      </c>
      <c r="AH75" s="521">
        <v>24</v>
      </c>
      <c r="AI75" s="521">
        <v>25</v>
      </c>
      <c r="AJ75" s="521">
        <v>26</v>
      </c>
      <c r="AK75" s="521">
        <v>27</v>
      </c>
      <c r="AL75" s="521">
        <v>28</v>
      </c>
      <c r="AM75" s="521">
        <v>29</v>
      </c>
      <c r="AN75" s="521">
        <v>30</v>
      </c>
      <c r="AO75" s="521">
        <v>31</v>
      </c>
      <c r="AP75" s="521">
        <v>32</v>
      </c>
      <c r="AQ75" s="521">
        <v>33</v>
      </c>
      <c r="AR75" s="521">
        <v>34</v>
      </c>
      <c r="AS75" s="521">
        <v>35</v>
      </c>
      <c r="AT75" s="521">
        <v>36</v>
      </c>
      <c r="AU75" s="521">
        <v>37</v>
      </c>
      <c r="AV75" s="521">
        <v>38</v>
      </c>
      <c r="AW75" s="521">
        <v>39</v>
      </c>
      <c r="AX75" s="521">
        <v>40</v>
      </c>
      <c r="AY75" s="521">
        <v>41</v>
      </c>
      <c r="AZ75" s="521">
        <v>42</v>
      </c>
      <c r="BA75" s="521">
        <v>43</v>
      </c>
      <c r="BB75" s="521">
        <v>44</v>
      </c>
      <c r="BC75" s="521">
        <v>45</v>
      </c>
      <c r="BD75" s="521">
        <v>46</v>
      </c>
      <c r="BE75" s="521">
        <v>47</v>
      </c>
      <c r="BF75" s="521">
        <v>48</v>
      </c>
      <c r="BG75" s="521">
        <v>49</v>
      </c>
      <c r="BH75" s="521">
        <v>50</v>
      </c>
      <c r="BI75" s="521">
        <v>51</v>
      </c>
      <c r="BJ75" s="521">
        <v>52</v>
      </c>
      <c r="BK75" s="521">
        <v>53</v>
      </c>
      <c r="BL75" s="521">
        <v>54</v>
      </c>
      <c r="BM75" s="521">
        <v>55</v>
      </c>
      <c r="BN75" s="521">
        <v>56</v>
      </c>
      <c r="BO75" s="521">
        <v>57</v>
      </c>
      <c r="BP75" s="521">
        <v>58</v>
      </c>
      <c r="BQ75" s="522">
        <v>59</v>
      </c>
    </row>
    <row r="76" spans="1:70" s="82" customFormat="1" ht="15.75" hidden="1" customHeight="1" outlineLevel="1" x14ac:dyDescent="0.3">
      <c r="B76" s="81"/>
      <c r="C76" s="225"/>
      <c r="D76" s="694"/>
      <c r="E76" s="679"/>
      <c r="F76" s="679"/>
      <c r="G76" s="679"/>
      <c r="H76" s="682"/>
      <c r="I76" s="506" t="s">
        <v>316</v>
      </c>
      <c r="J76" s="226" cm="1">
        <f t="array" ref="J76:BQ76">FinancialYearRange60</f>
        <v>0</v>
      </c>
      <c r="K76" s="226" t="e">
        <v>#N/A</v>
      </c>
      <c r="L76" s="226" t="e">
        <v>#N/A</v>
      </c>
      <c r="M76" s="226" t="e">
        <v>#N/A</v>
      </c>
      <c r="N76" s="226" t="e">
        <v>#N/A</v>
      </c>
      <c r="O76" s="226" t="e">
        <v>#N/A</v>
      </c>
      <c r="P76" s="226" t="e">
        <v>#N/A</v>
      </c>
      <c r="Q76" s="226" t="e">
        <v>#N/A</v>
      </c>
      <c r="R76" s="226" t="e">
        <v>#N/A</v>
      </c>
      <c r="S76" s="226" t="e">
        <v>#N/A</v>
      </c>
      <c r="T76" s="226" t="e">
        <v>#N/A</v>
      </c>
      <c r="U76" s="226" t="e">
        <v>#N/A</v>
      </c>
      <c r="V76" s="226" t="e">
        <v>#N/A</v>
      </c>
      <c r="W76" s="226" t="e">
        <v>#N/A</v>
      </c>
      <c r="X76" s="226" t="e">
        <v>#N/A</v>
      </c>
      <c r="Y76" s="226" t="e">
        <v>#N/A</v>
      </c>
      <c r="Z76" s="226" t="e">
        <v>#N/A</v>
      </c>
      <c r="AA76" s="226" t="e">
        <v>#N/A</v>
      </c>
      <c r="AB76" s="226" t="e">
        <v>#N/A</v>
      </c>
      <c r="AC76" s="226" t="e">
        <v>#N/A</v>
      </c>
      <c r="AD76" s="226" t="e">
        <v>#N/A</v>
      </c>
      <c r="AE76" s="226" t="e">
        <v>#N/A</v>
      </c>
      <c r="AF76" s="226" t="e">
        <v>#N/A</v>
      </c>
      <c r="AG76" s="226" t="e">
        <v>#N/A</v>
      </c>
      <c r="AH76" s="226" t="e">
        <v>#N/A</v>
      </c>
      <c r="AI76" s="226" t="e">
        <v>#N/A</v>
      </c>
      <c r="AJ76" s="226" t="e">
        <v>#N/A</v>
      </c>
      <c r="AK76" s="226" t="e">
        <v>#N/A</v>
      </c>
      <c r="AL76" s="226" t="e">
        <v>#N/A</v>
      </c>
      <c r="AM76" s="226" t="e">
        <v>#N/A</v>
      </c>
      <c r="AN76" s="226" t="e">
        <v>#N/A</v>
      </c>
      <c r="AO76" s="226" t="e">
        <v>#N/A</v>
      </c>
      <c r="AP76" s="226" t="e">
        <v>#N/A</v>
      </c>
      <c r="AQ76" s="226" t="e">
        <v>#N/A</v>
      </c>
      <c r="AR76" s="226" t="e">
        <v>#N/A</v>
      </c>
      <c r="AS76" s="226" t="e">
        <v>#N/A</v>
      </c>
      <c r="AT76" s="226" t="e">
        <v>#N/A</v>
      </c>
      <c r="AU76" s="226" t="e">
        <v>#N/A</v>
      </c>
      <c r="AV76" s="226" t="e">
        <v>#N/A</v>
      </c>
      <c r="AW76" s="226" t="e">
        <v>#N/A</v>
      </c>
      <c r="AX76" s="226" t="e">
        <v>#N/A</v>
      </c>
      <c r="AY76" s="226" t="e">
        <v>#N/A</v>
      </c>
      <c r="AZ76" s="226" t="e">
        <v>#N/A</v>
      </c>
      <c r="BA76" s="226" t="e">
        <v>#N/A</v>
      </c>
      <c r="BB76" s="226" t="e">
        <v>#N/A</v>
      </c>
      <c r="BC76" s="226" t="e">
        <v>#N/A</v>
      </c>
      <c r="BD76" s="226" t="e">
        <v>#N/A</v>
      </c>
      <c r="BE76" s="226" t="e">
        <v>#N/A</v>
      </c>
      <c r="BF76" s="226" t="e">
        <v>#N/A</v>
      </c>
      <c r="BG76" s="226" t="e">
        <v>#N/A</v>
      </c>
      <c r="BH76" s="226" t="e">
        <v>#N/A</v>
      </c>
      <c r="BI76" s="226" t="e">
        <v>#N/A</v>
      </c>
      <c r="BJ76" s="226" t="e">
        <v>#N/A</v>
      </c>
      <c r="BK76" s="226" t="e">
        <v>#N/A</v>
      </c>
      <c r="BL76" s="226" t="e">
        <v>#N/A</v>
      </c>
      <c r="BM76" s="226" t="e">
        <v>#N/A</v>
      </c>
      <c r="BN76" s="226" t="e">
        <v>#N/A</v>
      </c>
      <c r="BO76" s="226" t="e">
        <v>#N/A</v>
      </c>
      <c r="BP76" s="226" t="e">
        <v>#N/A</v>
      </c>
      <c r="BQ76" s="501" t="e">
        <v>#N/A</v>
      </c>
    </row>
    <row r="77" spans="1:70" s="82" customFormat="1" ht="13.5" hidden="1" outlineLevel="1" thickBot="1" x14ac:dyDescent="0.35">
      <c r="B77" s="81" t="s">
        <v>303</v>
      </c>
      <c r="C77" s="225" t="s">
        <v>101</v>
      </c>
      <c r="D77" s="695"/>
      <c r="E77" s="680"/>
      <c r="F77" s="680"/>
      <c r="G77" s="680"/>
      <c r="H77" s="683"/>
      <c r="I77" s="506" t="s">
        <v>317</v>
      </c>
      <c r="J77" s="504">
        <f>'6.6 - Lists and lookups'!C$78</f>
        <v>0</v>
      </c>
      <c r="K77" s="504">
        <f>'6.6 - Lists and lookups'!D$78</f>
        <v>0</v>
      </c>
      <c r="L77" s="504">
        <f>'6.6 - Lists and lookups'!E$78</f>
        <v>0</v>
      </c>
      <c r="M77" s="504">
        <f>'6.6 - Lists and lookups'!F$78</f>
        <v>0</v>
      </c>
      <c r="N77" s="504">
        <f>'6.6 - Lists and lookups'!G$78</f>
        <v>0</v>
      </c>
      <c r="O77" s="504">
        <f>'6.6 - Lists and lookups'!H$78</f>
        <v>0</v>
      </c>
      <c r="P77" s="504">
        <f>'6.6 - Lists and lookups'!I$78</f>
        <v>0</v>
      </c>
      <c r="Q77" s="504">
        <f>'6.6 - Lists and lookups'!J$78</f>
        <v>0</v>
      </c>
      <c r="R77" s="504">
        <f>'6.6 - Lists and lookups'!K$78</f>
        <v>0</v>
      </c>
      <c r="S77" s="504">
        <f>'6.6 - Lists and lookups'!L$78</f>
        <v>0</v>
      </c>
      <c r="T77" s="504">
        <f>'6.6 - Lists and lookups'!M$78</f>
        <v>0</v>
      </c>
      <c r="U77" s="504">
        <f>'6.6 - Lists and lookups'!N$78</f>
        <v>0</v>
      </c>
      <c r="V77" s="504">
        <f>'6.6 - Lists and lookups'!O$78</f>
        <v>0</v>
      </c>
      <c r="W77" s="504">
        <f>'6.6 - Lists and lookups'!P$78</f>
        <v>0</v>
      </c>
      <c r="X77" s="504">
        <f>'6.6 - Lists and lookups'!Q$78</f>
        <v>0</v>
      </c>
      <c r="Y77" s="504">
        <f>'6.6 - Lists and lookups'!R$78</f>
        <v>0</v>
      </c>
      <c r="Z77" s="504">
        <f>'6.6 - Lists and lookups'!S$78</f>
        <v>0</v>
      </c>
      <c r="AA77" s="504">
        <f>'6.6 - Lists and lookups'!T$78</f>
        <v>0</v>
      </c>
      <c r="AB77" s="504">
        <f>'6.6 - Lists and lookups'!U$78</f>
        <v>0</v>
      </c>
      <c r="AC77" s="504">
        <f>'6.6 - Lists and lookups'!V$78</f>
        <v>0</v>
      </c>
      <c r="AD77" s="504">
        <f>'6.6 - Lists and lookups'!W$78</f>
        <v>0</v>
      </c>
      <c r="AE77" s="504">
        <f>'6.6 - Lists and lookups'!X$78</f>
        <v>0</v>
      </c>
      <c r="AF77" s="504">
        <f>'6.6 - Lists and lookups'!Y$78</f>
        <v>0</v>
      </c>
      <c r="AG77" s="504">
        <f>'6.6 - Lists and lookups'!Z$78</f>
        <v>0</v>
      </c>
      <c r="AH77" s="504">
        <f>'6.6 - Lists and lookups'!AA$78</f>
        <v>0</v>
      </c>
      <c r="AI77" s="504">
        <f>'6.6 - Lists and lookups'!AB$78</f>
        <v>0</v>
      </c>
      <c r="AJ77" s="504">
        <f>'6.6 - Lists and lookups'!AC$78</f>
        <v>0</v>
      </c>
      <c r="AK77" s="504">
        <f>'6.6 - Lists and lookups'!AD$78</f>
        <v>0</v>
      </c>
      <c r="AL77" s="504">
        <f>'6.6 - Lists and lookups'!AE$78</f>
        <v>0</v>
      </c>
      <c r="AM77" s="504">
        <f>'6.6 - Lists and lookups'!AF$78</f>
        <v>0</v>
      </c>
      <c r="AN77" s="504">
        <f>'6.6 - Lists and lookups'!AG$78</f>
        <v>0</v>
      </c>
      <c r="AO77" s="504">
        <f>'6.6 - Lists and lookups'!AH$78</f>
        <v>0</v>
      </c>
      <c r="AP77" s="504">
        <f>'6.6 - Lists and lookups'!AI$78</f>
        <v>0</v>
      </c>
      <c r="AQ77" s="504">
        <f>'6.6 - Lists and lookups'!AJ$78</f>
        <v>0</v>
      </c>
      <c r="AR77" s="504">
        <f>'6.6 - Lists and lookups'!AK$78</f>
        <v>0</v>
      </c>
      <c r="AS77" s="504">
        <f>'6.6 - Lists and lookups'!AL$78</f>
        <v>0</v>
      </c>
      <c r="AT77" s="504">
        <f>'6.6 - Lists and lookups'!AM$78</f>
        <v>0</v>
      </c>
      <c r="AU77" s="504">
        <f>'6.6 - Lists and lookups'!AN$78</f>
        <v>0</v>
      </c>
      <c r="AV77" s="504">
        <f>'6.6 - Lists and lookups'!AO$78</f>
        <v>0</v>
      </c>
      <c r="AW77" s="504">
        <f>'6.6 - Lists and lookups'!AP$78</f>
        <v>0</v>
      </c>
      <c r="AX77" s="504">
        <f>'6.6 - Lists and lookups'!AQ$78</f>
        <v>0</v>
      </c>
      <c r="AY77" s="504">
        <f>'6.6 - Lists and lookups'!AR$78</f>
        <v>0</v>
      </c>
      <c r="AZ77" s="504">
        <f>'6.6 - Lists and lookups'!AS$78</f>
        <v>0</v>
      </c>
      <c r="BA77" s="504">
        <f>'6.6 - Lists and lookups'!AT$78</f>
        <v>0</v>
      </c>
      <c r="BB77" s="504">
        <f>'6.6 - Lists and lookups'!AU$78</f>
        <v>0</v>
      </c>
      <c r="BC77" s="504">
        <f>'6.6 - Lists and lookups'!AV$78</f>
        <v>0</v>
      </c>
      <c r="BD77" s="504">
        <f>'6.6 - Lists and lookups'!AW$78</f>
        <v>0</v>
      </c>
      <c r="BE77" s="504">
        <f>'6.6 - Lists and lookups'!AX$78</f>
        <v>0</v>
      </c>
      <c r="BF77" s="504">
        <f>'6.6 - Lists and lookups'!AY$78</f>
        <v>0</v>
      </c>
      <c r="BG77" s="504">
        <f>'6.6 - Lists and lookups'!AZ$78</f>
        <v>0</v>
      </c>
      <c r="BH77" s="504">
        <f>'6.6 - Lists and lookups'!BA$78</f>
        <v>0</v>
      </c>
      <c r="BI77" s="504">
        <f>'6.6 - Lists and lookups'!BB$78</f>
        <v>0</v>
      </c>
      <c r="BJ77" s="504">
        <f>'6.6 - Lists and lookups'!BC$78</f>
        <v>0</v>
      </c>
      <c r="BK77" s="504">
        <f>'6.6 - Lists and lookups'!BD$78</f>
        <v>0</v>
      </c>
      <c r="BL77" s="504">
        <f>'6.6 - Lists and lookups'!BE$78</f>
        <v>0</v>
      </c>
      <c r="BM77" s="504">
        <f>'6.6 - Lists and lookups'!BF$78</f>
        <v>0</v>
      </c>
      <c r="BN77" s="504">
        <f>'6.6 - Lists and lookups'!BG$78</f>
        <v>0</v>
      </c>
      <c r="BO77" s="504">
        <f>'6.6 - Lists and lookups'!BH$78</f>
        <v>0</v>
      </c>
      <c r="BP77" s="504">
        <f>'6.6 - Lists and lookups'!BI$78</f>
        <v>0</v>
      </c>
      <c r="BQ77" s="507">
        <f>'6.6 - Lists and lookups'!BJ$78</f>
        <v>0</v>
      </c>
    </row>
    <row r="78" spans="1:70" s="82" customFormat="1" ht="13" hidden="1" outlineLevel="1" x14ac:dyDescent="0.3">
      <c r="B78" s="116" t="str">
        <f>'5.1 - Brownfield amenity'!B81</f>
        <v>0-0.5 miles</v>
      </c>
      <c r="C78" s="400" t="e">
        <f>'2. General project information'!C58</f>
        <v>#N/A</v>
      </c>
      <c r="D78" s="401">
        <f>MAX(E39:E47)</f>
        <v>0</v>
      </c>
      <c r="E78" s="401" t="e">
        <f>D78*C78/MoneyScalar</f>
        <v>#N/A</v>
      </c>
      <c r="F78" s="401" t="e">
        <f>E78-PV(0.035,9,E78)</f>
        <v>#N/A</v>
      </c>
      <c r="G78" s="401" t="e">
        <f>F78/DF_Appraisal_Period</f>
        <v>#N/A</v>
      </c>
      <c r="H78" s="445" t="e">
        <f>SUM(J78:BQ78)</f>
        <v>#N/A</v>
      </c>
      <c r="I78" s="526"/>
      <c r="J78" s="445" t="e">
        <f>IF(J$54&gt;=$F$48,$G78,0)*J$77</f>
        <v>#N/A</v>
      </c>
      <c r="K78" s="240" t="e">
        <f t="shared" ref="K78:Z80" si="18">IF(K$54&gt;=$F$48,$G78,0)*K$77</f>
        <v>#N/A</v>
      </c>
      <c r="L78" s="240" t="e">
        <f t="shared" si="18"/>
        <v>#N/A</v>
      </c>
      <c r="M78" s="240" t="e">
        <f t="shared" si="18"/>
        <v>#N/A</v>
      </c>
      <c r="N78" s="240" t="e">
        <f t="shared" si="18"/>
        <v>#N/A</v>
      </c>
      <c r="O78" s="240" t="e">
        <f t="shared" si="18"/>
        <v>#N/A</v>
      </c>
      <c r="P78" s="240" t="e">
        <f t="shared" si="18"/>
        <v>#N/A</v>
      </c>
      <c r="Q78" s="240" t="e">
        <f t="shared" si="18"/>
        <v>#N/A</v>
      </c>
      <c r="R78" s="240" t="e">
        <f t="shared" si="18"/>
        <v>#N/A</v>
      </c>
      <c r="S78" s="240" t="e">
        <f t="shared" si="18"/>
        <v>#N/A</v>
      </c>
      <c r="T78" s="240" t="e">
        <f t="shared" si="18"/>
        <v>#N/A</v>
      </c>
      <c r="U78" s="240" t="e">
        <f t="shared" si="18"/>
        <v>#N/A</v>
      </c>
      <c r="V78" s="240" t="e">
        <f t="shared" si="18"/>
        <v>#N/A</v>
      </c>
      <c r="W78" s="240" t="e">
        <f t="shared" si="18"/>
        <v>#N/A</v>
      </c>
      <c r="X78" s="240" t="e">
        <f t="shared" si="18"/>
        <v>#N/A</v>
      </c>
      <c r="Y78" s="240" t="e">
        <f t="shared" si="18"/>
        <v>#N/A</v>
      </c>
      <c r="Z78" s="240" t="e">
        <f t="shared" si="18"/>
        <v>#N/A</v>
      </c>
      <c r="AA78" s="240" t="e">
        <f t="shared" ref="AA78:AP80" si="19">IF(AA$54&gt;=$F$48,$G78,0)*AA$77</f>
        <v>#N/A</v>
      </c>
      <c r="AB78" s="240" t="e">
        <f t="shared" si="19"/>
        <v>#N/A</v>
      </c>
      <c r="AC78" s="240" t="e">
        <f t="shared" si="19"/>
        <v>#N/A</v>
      </c>
      <c r="AD78" s="240" t="e">
        <f t="shared" si="19"/>
        <v>#N/A</v>
      </c>
      <c r="AE78" s="240" t="e">
        <f t="shared" si="19"/>
        <v>#N/A</v>
      </c>
      <c r="AF78" s="240" t="e">
        <f t="shared" si="19"/>
        <v>#N/A</v>
      </c>
      <c r="AG78" s="240" t="e">
        <f t="shared" si="19"/>
        <v>#N/A</v>
      </c>
      <c r="AH78" s="240" t="e">
        <f t="shared" si="19"/>
        <v>#N/A</v>
      </c>
      <c r="AI78" s="240" t="e">
        <f t="shared" si="19"/>
        <v>#N/A</v>
      </c>
      <c r="AJ78" s="240" t="e">
        <f t="shared" si="19"/>
        <v>#N/A</v>
      </c>
      <c r="AK78" s="240" t="e">
        <f t="shared" si="19"/>
        <v>#N/A</v>
      </c>
      <c r="AL78" s="240" t="e">
        <f t="shared" si="19"/>
        <v>#N/A</v>
      </c>
      <c r="AM78" s="240" t="e">
        <f t="shared" si="19"/>
        <v>#N/A</v>
      </c>
      <c r="AN78" s="240" t="e">
        <f t="shared" si="19"/>
        <v>#N/A</v>
      </c>
      <c r="AO78" s="240" t="e">
        <f t="shared" si="19"/>
        <v>#N/A</v>
      </c>
      <c r="AP78" s="240" t="e">
        <f t="shared" si="19"/>
        <v>#N/A</v>
      </c>
      <c r="AQ78" s="240" t="e">
        <f t="shared" ref="AQ78:BF80" si="20">IF(AQ$54&gt;=$F$48,$G78,0)*AQ$77</f>
        <v>#N/A</v>
      </c>
      <c r="AR78" s="240" t="e">
        <f t="shared" si="20"/>
        <v>#N/A</v>
      </c>
      <c r="AS78" s="240" t="e">
        <f t="shared" si="20"/>
        <v>#N/A</v>
      </c>
      <c r="AT78" s="240" t="e">
        <f t="shared" si="20"/>
        <v>#N/A</v>
      </c>
      <c r="AU78" s="240" t="e">
        <f t="shared" si="20"/>
        <v>#N/A</v>
      </c>
      <c r="AV78" s="240" t="e">
        <f t="shared" si="20"/>
        <v>#N/A</v>
      </c>
      <c r="AW78" s="240" t="e">
        <f t="shared" si="20"/>
        <v>#N/A</v>
      </c>
      <c r="AX78" s="240" t="e">
        <f t="shared" si="20"/>
        <v>#N/A</v>
      </c>
      <c r="AY78" s="240" t="e">
        <f t="shared" si="20"/>
        <v>#N/A</v>
      </c>
      <c r="AZ78" s="240" t="e">
        <f t="shared" si="20"/>
        <v>#N/A</v>
      </c>
      <c r="BA78" s="240" t="e">
        <f t="shared" si="20"/>
        <v>#N/A</v>
      </c>
      <c r="BB78" s="240" t="e">
        <f t="shared" si="20"/>
        <v>#N/A</v>
      </c>
      <c r="BC78" s="240" t="e">
        <f t="shared" si="20"/>
        <v>#N/A</v>
      </c>
      <c r="BD78" s="240" t="e">
        <f t="shared" si="20"/>
        <v>#N/A</v>
      </c>
      <c r="BE78" s="240" t="e">
        <f t="shared" si="20"/>
        <v>#N/A</v>
      </c>
      <c r="BF78" s="240" t="e">
        <f t="shared" si="20"/>
        <v>#N/A</v>
      </c>
      <c r="BG78" s="240" t="e">
        <f t="shared" ref="BG78:BQ80" si="21">IF(BG$54&gt;=$F$48,$G78,0)*BG$77</f>
        <v>#N/A</v>
      </c>
      <c r="BH78" s="240" t="e">
        <f t="shared" si="21"/>
        <v>#N/A</v>
      </c>
      <c r="BI78" s="240" t="e">
        <f t="shared" si="21"/>
        <v>#N/A</v>
      </c>
      <c r="BJ78" s="240" t="e">
        <f t="shared" si="21"/>
        <v>#N/A</v>
      </c>
      <c r="BK78" s="240" t="e">
        <f t="shared" si="21"/>
        <v>#N/A</v>
      </c>
      <c r="BL78" s="240" t="e">
        <f t="shared" si="21"/>
        <v>#N/A</v>
      </c>
      <c r="BM78" s="240" t="e">
        <f t="shared" si="21"/>
        <v>#N/A</v>
      </c>
      <c r="BN78" s="240" t="e">
        <f t="shared" si="21"/>
        <v>#N/A</v>
      </c>
      <c r="BO78" s="240" t="e">
        <f t="shared" si="21"/>
        <v>#N/A</v>
      </c>
      <c r="BP78" s="240" t="e">
        <f t="shared" si="21"/>
        <v>#N/A</v>
      </c>
      <c r="BQ78" s="240" t="e">
        <f t="shared" si="21"/>
        <v>#N/A</v>
      </c>
    </row>
    <row r="79" spans="1:70" s="82" customFormat="1" ht="13.5" hidden="1" outlineLevel="1" thickBot="1" x14ac:dyDescent="0.35">
      <c r="B79" s="278" t="str">
        <f>'5.1 - Brownfield amenity'!B82</f>
        <v>0.5-1 miles</v>
      </c>
      <c r="C79" s="402" t="e">
        <f>'2. General project information'!D58</f>
        <v>#N/A</v>
      </c>
      <c r="D79" s="403">
        <f>MAX(E39:E47)</f>
        <v>0</v>
      </c>
      <c r="E79" s="403" t="e">
        <f>D79*C79/MoneyScalar</f>
        <v>#N/A</v>
      </c>
      <c r="F79" s="404" t="e">
        <f>E79-PV(0.035,9,E79)</f>
        <v>#N/A</v>
      </c>
      <c r="G79" s="404" t="e">
        <f>F79/DF_Appraisal_Period</f>
        <v>#N/A</v>
      </c>
      <c r="H79" s="447" t="e">
        <f>SUM(J79:BQ79)</f>
        <v>#N/A</v>
      </c>
      <c r="I79" s="524"/>
      <c r="J79" s="241" t="e">
        <f t="shared" ref="J79:J80" si="22">IF(J$54&gt;=$F$48,$G79,0)*J$77</f>
        <v>#N/A</v>
      </c>
      <c r="K79" s="241" t="e">
        <f t="shared" si="18"/>
        <v>#N/A</v>
      </c>
      <c r="L79" s="241" t="e">
        <f t="shared" si="18"/>
        <v>#N/A</v>
      </c>
      <c r="M79" s="241" t="e">
        <f t="shared" si="18"/>
        <v>#N/A</v>
      </c>
      <c r="N79" s="241" t="e">
        <f t="shared" si="18"/>
        <v>#N/A</v>
      </c>
      <c r="O79" s="241" t="e">
        <f t="shared" si="18"/>
        <v>#N/A</v>
      </c>
      <c r="P79" s="241" t="e">
        <f t="shared" si="18"/>
        <v>#N/A</v>
      </c>
      <c r="Q79" s="241" t="e">
        <f t="shared" si="18"/>
        <v>#N/A</v>
      </c>
      <c r="R79" s="241" t="e">
        <f t="shared" si="18"/>
        <v>#N/A</v>
      </c>
      <c r="S79" s="241" t="e">
        <f t="shared" si="18"/>
        <v>#N/A</v>
      </c>
      <c r="T79" s="241" t="e">
        <f t="shared" si="18"/>
        <v>#N/A</v>
      </c>
      <c r="U79" s="241" t="e">
        <f t="shared" si="18"/>
        <v>#N/A</v>
      </c>
      <c r="V79" s="241" t="e">
        <f t="shared" si="18"/>
        <v>#N/A</v>
      </c>
      <c r="W79" s="241" t="e">
        <f t="shared" si="18"/>
        <v>#N/A</v>
      </c>
      <c r="X79" s="241" t="e">
        <f t="shared" si="18"/>
        <v>#N/A</v>
      </c>
      <c r="Y79" s="241" t="e">
        <f t="shared" si="18"/>
        <v>#N/A</v>
      </c>
      <c r="Z79" s="241" t="e">
        <f t="shared" si="18"/>
        <v>#N/A</v>
      </c>
      <c r="AA79" s="241" t="e">
        <f t="shared" si="19"/>
        <v>#N/A</v>
      </c>
      <c r="AB79" s="241" t="e">
        <f t="shared" si="19"/>
        <v>#N/A</v>
      </c>
      <c r="AC79" s="241" t="e">
        <f t="shared" si="19"/>
        <v>#N/A</v>
      </c>
      <c r="AD79" s="241" t="e">
        <f t="shared" si="19"/>
        <v>#N/A</v>
      </c>
      <c r="AE79" s="241" t="e">
        <f t="shared" si="19"/>
        <v>#N/A</v>
      </c>
      <c r="AF79" s="241" t="e">
        <f t="shared" si="19"/>
        <v>#N/A</v>
      </c>
      <c r="AG79" s="241" t="e">
        <f t="shared" si="19"/>
        <v>#N/A</v>
      </c>
      <c r="AH79" s="241" t="e">
        <f t="shared" si="19"/>
        <v>#N/A</v>
      </c>
      <c r="AI79" s="241" t="e">
        <f t="shared" si="19"/>
        <v>#N/A</v>
      </c>
      <c r="AJ79" s="241" t="e">
        <f t="shared" si="19"/>
        <v>#N/A</v>
      </c>
      <c r="AK79" s="241" t="e">
        <f t="shared" si="19"/>
        <v>#N/A</v>
      </c>
      <c r="AL79" s="241" t="e">
        <f t="shared" si="19"/>
        <v>#N/A</v>
      </c>
      <c r="AM79" s="241" t="e">
        <f t="shared" si="19"/>
        <v>#N/A</v>
      </c>
      <c r="AN79" s="241" t="e">
        <f t="shared" si="19"/>
        <v>#N/A</v>
      </c>
      <c r="AO79" s="241" t="e">
        <f t="shared" si="19"/>
        <v>#N/A</v>
      </c>
      <c r="AP79" s="241" t="e">
        <f t="shared" si="19"/>
        <v>#N/A</v>
      </c>
      <c r="AQ79" s="241" t="e">
        <f t="shared" si="20"/>
        <v>#N/A</v>
      </c>
      <c r="AR79" s="241" t="e">
        <f t="shared" si="20"/>
        <v>#N/A</v>
      </c>
      <c r="AS79" s="241" t="e">
        <f t="shared" si="20"/>
        <v>#N/A</v>
      </c>
      <c r="AT79" s="241" t="e">
        <f t="shared" si="20"/>
        <v>#N/A</v>
      </c>
      <c r="AU79" s="241" t="e">
        <f t="shared" si="20"/>
        <v>#N/A</v>
      </c>
      <c r="AV79" s="241" t="e">
        <f t="shared" si="20"/>
        <v>#N/A</v>
      </c>
      <c r="AW79" s="241" t="e">
        <f t="shared" si="20"/>
        <v>#N/A</v>
      </c>
      <c r="AX79" s="241" t="e">
        <f t="shared" si="20"/>
        <v>#N/A</v>
      </c>
      <c r="AY79" s="241" t="e">
        <f t="shared" si="20"/>
        <v>#N/A</v>
      </c>
      <c r="AZ79" s="241" t="e">
        <f t="shared" si="20"/>
        <v>#N/A</v>
      </c>
      <c r="BA79" s="241" t="e">
        <f t="shared" si="20"/>
        <v>#N/A</v>
      </c>
      <c r="BB79" s="241" t="e">
        <f t="shared" si="20"/>
        <v>#N/A</v>
      </c>
      <c r="BC79" s="241" t="e">
        <f t="shared" si="20"/>
        <v>#N/A</v>
      </c>
      <c r="BD79" s="241" t="e">
        <f t="shared" si="20"/>
        <v>#N/A</v>
      </c>
      <c r="BE79" s="241" t="e">
        <f t="shared" si="20"/>
        <v>#N/A</v>
      </c>
      <c r="BF79" s="241" t="e">
        <f t="shared" si="20"/>
        <v>#N/A</v>
      </c>
      <c r="BG79" s="241" t="e">
        <f t="shared" si="21"/>
        <v>#N/A</v>
      </c>
      <c r="BH79" s="241" t="e">
        <f t="shared" si="21"/>
        <v>#N/A</v>
      </c>
      <c r="BI79" s="241" t="e">
        <f t="shared" si="21"/>
        <v>#N/A</v>
      </c>
      <c r="BJ79" s="241" t="e">
        <f t="shared" si="21"/>
        <v>#N/A</v>
      </c>
      <c r="BK79" s="241" t="e">
        <f t="shared" si="21"/>
        <v>#N/A</v>
      </c>
      <c r="BL79" s="241" t="e">
        <f t="shared" si="21"/>
        <v>#N/A</v>
      </c>
      <c r="BM79" s="241" t="e">
        <f t="shared" si="21"/>
        <v>#N/A</v>
      </c>
      <c r="BN79" s="241" t="e">
        <f t="shared" si="21"/>
        <v>#N/A</v>
      </c>
      <c r="BO79" s="241" t="e">
        <f t="shared" si="21"/>
        <v>#N/A</v>
      </c>
      <c r="BP79" s="241" t="e">
        <f t="shared" si="21"/>
        <v>#N/A</v>
      </c>
      <c r="BQ79" s="241" t="e">
        <f t="shared" si="21"/>
        <v>#N/A</v>
      </c>
    </row>
    <row r="80" spans="1:70" s="82" customFormat="1" ht="13.5" hidden="1" outlineLevel="1" thickBot="1" x14ac:dyDescent="0.35">
      <c r="B80" s="186" t="str" cm="1">
        <f t="array" ref="B80">NDT</f>
        <v>Non-discounted total (£, )</v>
      </c>
      <c r="C80" s="183" t="e">
        <f>SUM(C78:C79)</f>
        <v>#N/A</v>
      </c>
      <c r="D80" s="125" t="s">
        <v>319</v>
      </c>
      <c r="E80" s="406" t="e">
        <f>SUM(E78:E79)</f>
        <v>#N/A</v>
      </c>
      <c r="F80" s="404" t="e">
        <f>SUM(F78:F79)</f>
        <v>#N/A</v>
      </c>
      <c r="G80" s="404" t="e">
        <f>F80/DF_Appraisal_Period</f>
        <v>#N/A</v>
      </c>
      <c r="H80" s="447" t="e">
        <f>SUM(J80:BQ80)</f>
        <v>#N/A</v>
      </c>
      <c r="I80" s="524"/>
      <c r="J80" s="242" t="e">
        <f t="shared" si="22"/>
        <v>#N/A</v>
      </c>
      <c r="K80" s="242" t="e">
        <f t="shared" si="18"/>
        <v>#N/A</v>
      </c>
      <c r="L80" s="242" t="e">
        <f t="shared" si="18"/>
        <v>#N/A</v>
      </c>
      <c r="M80" s="242" t="e">
        <f t="shared" si="18"/>
        <v>#N/A</v>
      </c>
      <c r="N80" s="242" t="e">
        <f t="shared" si="18"/>
        <v>#N/A</v>
      </c>
      <c r="O80" s="242" t="e">
        <f t="shared" si="18"/>
        <v>#N/A</v>
      </c>
      <c r="P80" s="242" t="e">
        <f t="shared" si="18"/>
        <v>#N/A</v>
      </c>
      <c r="Q80" s="242" t="e">
        <f t="shared" si="18"/>
        <v>#N/A</v>
      </c>
      <c r="R80" s="242" t="e">
        <f t="shared" si="18"/>
        <v>#N/A</v>
      </c>
      <c r="S80" s="242" t="e">
        <f t="shared" si="18"/>
        <v>#N/A</v>
      </c>
      <c r="T80" s="242" t="e">
        <f t="shared" si="18"/>
        <v>#N/A</v>
      </c>
      <c r="U80" s="242" t="e">
        <f t="shared" si="18"/>
        <v>#N/A</v>
      </c>
      <c r="V80" s="242" t="e">
        <f t="shared" si="18"/>
        <v>#N/A</v>
      </c>
      <c r="W80" s="242" t="e">
        <f t="shared" si="18"/>
        <v>#N/A</v>
      </c>
      <c r="X80" s="242" t="e">
        <f t="shared" si="18"/>
        <v>#N/A</v>
      </c>
      <c r="Y80" s="242" t="e">
        <f t="shared" si="18"/>
        <v>#N/A</v>
      </c>
      <c r="Z80" s="242" t="e">
        <f t="shared" si="18"/>
        <v>#N/A</v>
      </c>
      <c r="AA80" s="242" t="e">
        <f t="shared" si="19"/>
        <v>#N/A</v>
      </c>
      <c r="AB80" s="242" t="e">
        <f t="shared" si="19"/>
        <v>#N/A</v>
      </c>
      <c r="AC80" s="242" t="e">
        <f t="shared" si="19"/>
        <v>#N/A</v>
      </c>
      <c r="AD80" s="242" t="e">
        <f t="shared" si="19"/>
        <v>#N/A</v>
      </c>
      <c r="AE80" s="242" t="e">
        <f t="shared" si="19"/>
        <v>#N/A</v>
      </c>
      <c r="AF80" s="242" t="e">
        <f t="shared" si="19"/>
        <v>#N/A</v>
      </c>
      <c r="AG80" s="242" t="e">
        <f t="shared" si="19"/>
        <v>#N/A</v>
      </c>
      <c r="AH80" s="242" t="e">
        <f t="shared" si="19"/>
        <v>#N/A</v>
      </c>
      <c r="AI80" s="242" t="e">
        <f t="shared" si="19"/>
        <v>#N/A</v>
      </c>
      <c r="AJ80" s="242" t="e">
        <f t="shared" si="19"/>
        <v>#N/A</v>
      </c>
      <c r="AK80" s="242" t="e">
        <f t="shared" si="19"/>
        <v>#N/A</v>
      </c>
      <c r="AL80" s="242" t="e">
        <f t="shared" si="19"/>
        <v>#N/A</v>
      </c>
      <c r="AM80" s="242" t="e">
        <f t="shared" si="19"/>
        <v>#N/A</v>
      </c>
      <c r="AN80" s="242" t="e">
        <f t="shared" si="19"/>
        <v>#N/A</v>
      </c>
      <c r="AO80" s="242" t="e">
        <f t="shared" si="19"/>
        <v>#N/A</v>
      </c>
      <c r="AP80" s="242" t="e">
        <f t="shared" si="19"/>
        <v>#N/A</v>
      </c>
      <c r="AQ80" s="242" t="e">
        <f t="shared" si="20"/>
        <v>#N/A</v>
      </c>
      <c r="AR80" s="242" t="e">
        <f t="shared" si="20"/>
        <v>#N/A</v>
      </c>
      <c r="AS80" s="242" t="e">
        <f t="shared" si="20"/>
        <v>#N/A</v>
      </c>
      <c r="AT80" s="242" t="e">
        <f t="shared" si="20"/>
        <v>#N/A</v>
      </c>
      <c r="AU80" s="242" t="e">
        <f t="shared" si="20"/>
        <v>#N/A</v>
      </c>
      <c r="AV80" s="242" t="e">
        <f t="shared" si="20"/>
        <v>#N/A</v>
      </c>
      <c r="AW80" s="242" t="e">
        <f t="shared" si="20"/>
        <v>#N/A</v>
      </c>
      <c r="AX80" s="242" t="e">
        <f t="shared" si="20"/>
        <v>#N/A</v>
      </c>
      <c r="AY80" s="242" t="e">
        <f t="shared" si="20"/>
        <v>#N/A</v>
      </c>
      <c r="AZ80" s="242" t="e">
        <f t="shared" si="20"/>
        <v>#N/A</v>
      </c>
      <c r="BA80" s="242" t="e">
        <f t="shared" si="20"/>
        <v>#N/A</v>
      </c>
      <c r="BB80" s="242" t="e">
        <f t="shared" si="20"/>
        <v>#N/A</v>
      </c>
      <c r="BC80" s="242" t="e">
        <f t="shared" si="20"/>
        <v>#N/A</v>
      </c>
      <c r="BD80" s="242" t="e">
        <f t="shared" si="20"/>
        <v>#N/A</v>
      </c>
      <c r="BE80" s="242" t="e">
        <f t="shared" si="20"/>
        <v>#N/A</v>
      </c>
      <c r="BF80" s="242" t="e">
        <f t="shared" si="20"/>
        <v>#N/A</v>
      </c>
      <c r="BG80" s="242" t="e">
        <f t="shared" si="21"/>
        <v>#N/A</v>
      </c>
      <c r="BH80" s="242" t="e">
        <f t="shared" si="21"/>
        <v>#N/A</v>
      </c>
      <c r="BI80" s="242" t="e">
        <f t="shared" si="21"/>
        <v>#N/A</v>
      </c>
      <c r="BJ80" s="242" t="e">
        <f t="shared" si="21"/>
        <v>#N/A</v>
      </c>
      <c r="BK80" s="242" t="e">
        <f t="shared" si="21"/>
        <v>#N/A</v>
      </c>
      <c r="BL80" s="242" t="e">
        <f t="shared" si="21"/>
        <v>#N/A</v>
      </c>
      <c r="BM80" s="242" t="e">
        <f t="shared" si="21"/>
        <v>#N/A</v>
      </c>
      <c r="BN80" s="242" t="e">
        <f t="shared" si="21"/>
        <v>#N/A</v>
      </c>
      <c r="BO80" s="242" t="e">
        <f t="shared" si="21"/>
        <v>#N/A</v>
      </c>
      <c r="BP80" s="242" t="e">
        <f t="shared" si="21"/>
        <v>#N/A</v>
      </c>
      <c r="BQ80" s="242" t="e">
        <f t="shared" si="21"/>
        <v>#N/A</v>
      </c>
    </row>
    <row r="81" spans="1:69" s="82" customFormat="1" ht="13.5" hidden="1" outlineLevel="1" thickBot="1" x14ac:dyDescent="0.35">
      <c r="B81" s="186" t="str" cm="1">
        <f t="array" ref="B81">DT</f>
        <v>Discounted total (£, )</v>
      </c>
      <c r="C81" s="183" t="e">
        <f>C80</f>
        <v>#N/A</v>
      </c>
      <c r="D81" s="125" t="s">
        <v>319</v>
      </c>
      <c r="E81" s="406" t="e">
        <f>E80</f>
        <v>#N/A</v>
      </c>
      <c r="F81" s="406" t="s">
        <v>319</v>
      </c>
      <c r="G81" s="406" t="s">
        <v>319</v>
      </c>
      <c r="H81" s="491" t="e">
        <f>SUM(J81:BQ81)</f>
        <v>#N/A</v>
      </c>
      <c r="I81" s="525"/>
      <c r="J81" s="242" t="e">
        <f t="shared" ref="J81:AO81" si="23">J80*HLOOKUP(J76,DFVector,4,FALSE)</f>
        <v>#N/A</v>
      </c>
      <c r="K81" s="242" t="e">
        <f t="shared" si="23"/>
        <v>#N/A</v>
      </c>
      <c r="L81" s="242" t="e">
        <f t="shared" si="23"/>
        <v>#N/A</v>
      </c>
      <c r="M81" s="242" t="e">
        <f t="shared" si="23"/>
        <v>#N/A</v>
      </c>
      <c r="N81" s="242" t="e">
        <f t="shared" si="23"/>
        <v>#N/A</v>
      </c>
      <c r="O81" s="242" t="e">
        <f t="shared" si="23"/>
        <v>#N/A</v>
      </c>
      <c r="P81" s="242" t="e">
        <f t="shared" si="23"/>
        <v>#N/A</v>
      </c>
      <c r="Q81" s="242" t="e">
        <f t="shared" si="23"/>
        <v>#N/A</v>
      </c>
      <c r="R81" s="242" t="e">
        <f t="shared" si="23"/>
        <v>#N/A</v>
      </c>
      <c r="S81" s="242" t="e">
        <f t="shared" si="23"/>
        <v>#N/A</v>
      </c>
      <c r="T81" s="242" t="e">
        <f t="shared" si="23"/>
        <v>#N/A</v>
      </c>
      <c r="U81" s="242" t="e">
        <f t="shared" si="23"/>
        <v>#N/A</v>
      </c>
      <c r="V81" s="242" t="e">
        <f t="shared" si="23"/>
        <v>#N/A</v>
      </c>
      <c r="W81" s="242" t="e">
        <f t="shared" si="23"/>
        <v>#N/A</v>
      </c>
      <c r="X81" s="242" t="e">
        <f t="shared" si="23"/>
        <v>#N/A</v>
      </c>
      <c r="Y81" s="242" t="e">
        <f t="shared" si="23"/>
        <v>#N/A</v>
      </c>
      <c r="Z81" s="242" t="e">
        <f t="shared" si="23"/>
        <v>#N/A</v>
      </c>
      <c r="AA81" s="242" t="e">
        <f t="shared" si="23"/>
        <v>#N/A</v>
      </c>
      <c r="AB81" s="242" t="e">
        <f t="shared" si="23"/>
        <v>#N/A</v>
      </c>
      <c r="AC81" s="242" t="e">
        <f t="shared" si="23"/>
        <v>#N/A</v>
      </c>
      <c r="AD81" s="242" t="e">
        <f t="shared" si="23"/>
        <v>#N/A</v>
      </c>
      <c r="AE81" s="242" t="e">
        <f t="shared" si="23"/>
        <v>#N/A</v>
      </c>
      <c r="AF81" s="242" t="e">
        <f t="shared" si="23"/>
        <v>#N/A</v>
      </c>
      <c r="AG81" s="242" t="e">
        <f t="shared" si="23"/>
        <v>#N/A</v>
      </c>
      <c r="AH81" s="242" t="e">
        <f t="shared" si="23"/>
        <v>#N/A</v>
      </c>
      <c r="AI81" s="242" t="e">
        <f t="shared" si="23"/>
        <v>#N/A</v>
      </c>
      <c r="AJ81" s="242" t="e">
        <f t="shared" si="23"/>
        <v>#N/A</v>
      </c>
      <c r="AK81" s="242" t="e">
        <f t="shared" si="23"/>
        <v>#N/A</v>
      </c>
      <c r="AL81" s="242" t="e">
        <f t="shared" si="23"/>
        <v>#N/A</v>
      </c>
      <c r="AM81" s="242" t="e">
        <f t="shared" si="23"/>
        <v>#N/A</v>
      </c>
      <c r="AN81" s="242" t="e">
        <f t="shared" si="23"/>
        <v>#N/A</v>
      </c>
      <c r="AO81" s="242" t="e">
        <f t="shared" si="23"/>
        <v>#N/A</v>
      </c>
      <c r="AP81" s="242" t="e">
        <f t="shared" ref="AP81:BQ81" si="24">AP80*HLOOKUP(AP76,DFVector,4,FALSE)</f>
        <v>#N/A</v>
      </c>
      <c r="AQ81" s="242" t="e">
        <f t="shared" si="24"/>
        <v>#N/A</v>
      </c>
      <c r="AR81" s="242" t="e">
        <f t="shared" si="24"/>
        <v>#N/A</v>
      </c>
      <c r="AS81" s="242" t="e">
        <f t="shared" si="24"/>
        <v>#N/A</v>
      </c>
      <c r="AT81" s="242" t="e">
        <f t="shared" si="24"/>
        <v>#N/A</v>
      </c>
      <c r="AU81" s="242" t="e">
        <f t="shared" si="24"/>
        <v>#N/A</v>
      </c>
      <c r="AV81" s="242" t="e">
        <f t="shared" si="24"/>
        <v>#N/A</v>
      </c>
      <c r="AW81" s="242" t="e">
        <f t="shared" si="24"/>
        <v>#N/A</v>
      </c>
      <c r="AX81" s="242" t="e">
        <f t="shared" si="24"/>
        <v>#N/A</v>
      </c>
      <c r="AY81" s="242" t="e">
        <f t="shared" si="24"/>
        <v>#N/A</v>
      </c>
      <c r="AZ81" s="242" t="e">
        <f t="shared" si="24"/>
        <v>#N/A</v>
      </c>
      <c r="BA81" s="242" t="e">
        <f t="shared" si="24"/>
        <v>#N/A</v>
      </c>
      <c r="BB81" s="242" t="e">
        <f t="shared" si="24"/>
        <v>#N/A</v>
      </c>
      <c r="BC81" s="242" t="e">
        <f t="shared" si="24"/>
        <v>#N/A</v>
      </c>
      <c r="BD81" s="242" t="e">
        <f t="shared" si="24"/>
        <v>#N/A</v>
      </c>
      <c r="BE81" s="242" t="e">
        <f t="shared" si="24"/>
        <v>#N/A</v>
      </c>
      <c r="BF81" s="242" t="e">
        <f t="shared" si="24"/>
        <v>#N/A</v>
      </c>
      <c r="BG81" s="242" t="e">
        <f t="shared" si="24"/>
        <v>#N/A</v>
      </c>
      <c r="BH81" s="242" t="e">
        <f t="shared" si="24"/>
        <v>#N/A</v>
      </c>
      <c r="BI81" s="242" t="e">
        <f t="shared" si="24"/>
        <v>#N/A</v>
      </c>
      <c r="BJ81" s="242" t="e">
        <f t="shared" si="24"/>
        <v>#N/A</v>
      </c>
      <c r="BK81" s="242" t="e">
        <f t="shared" si="24"/>
        <v>#N/A</v>
      </c>
      <c r="BL81" s="242" t="e">
        <f t="shared" si="24"/>
        <v>#N/A</v>
      </c>
      <c r="BM81" s="242" t="e">
        <f t="shared" si="24"/>
        <v>#N/A</v>
      </c>
      <c r="BN81" s="242" t="e">
        <f t="shared" si="24"/>
        <v>#N/A</v>
      </c>
      <c r="BO81" s="242" t="e">
        <f t="shared" si="24"/>
        <v>#N/A</v>
      </c>
      <c r="BP81" s="242" t="e">
        <f t="shared" si="24"/>
        <v>#N/A</v>
      </c>
      <c r="BQ81" s="242" t="e">
        <f t="shared" si="24"/>
        <v>#N/A</v>
      </c>
    </row>
    <row r="82" spans="1:69" collapsed="1" x14ac:dyDescent="0.35">
      <c r="A82" s="82"/>
      <c r="B82" s="114" t="str">
        <f>Expand</f>
        <v>Press the plus/minus to the left to expand/minimise this section</v>
      </c>
      <c r="C82" s="112"/>
      <c r="D82" s="112"/>
      <c r="E82" s="112"/>
      <c r="F82" s="239"/>
      <c r="G82" s="187"/>
      <c r="H82" s="187"/>
      <c r="I82" s="187"/>
      <c r="J82" s="112"/>
    </row>
    <row r="83" spans="1:69" x14ac:dyDescent="0.35">
      <c r="A83" s="82"/>
      <c r="B83" s="114"/>
      <c r="C83" s="112"/>
      <c r="D83" s="112"/>
      <c r="E83" s="112"/>
      <c r="F83" s="239"/>
      <c r="G83" s="187"/>
      <c r="H83" s="187"/>
      <c r="I83" s="187"/>
      <c r="J83" s="112"/>
    </row>
    <row r="84" spans="1:69" ht="16" thickBot="1" x14ac:dyDescent="0.4">
      <c r="B84" s="138" t="s">
        <v>322</v>
      </c>
      <c r="C84" s="9"/>
      <c r="D84" s="9"/>
      <c r="E84" s="9"/>
      <c r="F84" s="9"/>
      <c r="G84" s="9"/>
      <c r="H84" s="9"/>
    </row>
    <row r="85" spans="1:69" s="82" customFormat="1" ht="7.5" customHeight="1" outlineLevel="1" x14ac:dyDescent="0.3">
      <c r="C85" s="269"/>
      <c r="D85" s="269"/>
      <c r="E85" s="269"/>
      <c r="F85" s="269"/>
      <c r="G85" s="269"/>
      <c r="H85" s="269"/>
      <c r="I85" s="269"/>
    </row>
    <row r="86" spans="1:69" s="82" customFormat="1" ht="13.5" outlineLevel="1" thickBot="1" x14ac:dyDescent="0.35">
      <c r="B86" s="81" t="s">
        <v>361</v>
      </c>
      <c r="F86" s="112"/>
      <c r="G86" s="112"/>
      <c r="H86" s="112"/>
    </row>
    <row r="87" spans="1:69" s="82" customFormat="1" ht="13.5" outlineLevel="1" thickBot="1" x14ac:dyDescent="0.35">
      <c r="B87" s="252" t="s">
        <v>323</v>
      </c>
      <c r="C87" s="270" t="s">
        <v>324</v>
      </c>
      <c r="D87" s="271" t="s">
        <v>325</v>
      </c>
      <c r="E87" s="272" t="s">
        <v>326</v>
      </c>
      <c r="F87" s="273" t="s">
        <v>327</v>
      </c>
      <c r="G87" s="112"/>
      <c r="H87" s="112"/>
    </row>
    <row r="88" spans="1:69" s="82" customFormat="1" ht="13" outlineLevel="1" x14ac:dyDescent="0.3">
      <c r="B88" s="118" t="s">
        <v>177</v>
      </c>
      <c r="C88" s="274" t="e">
        <f>'6.1 - Value look-up'!N24</f>
        <v>#N/A</v>
      </c>
      <c r="D88" s="275" t="e">
        <f>'6.1 - Value look-up'!O24</f>
        <v>#N/A</v>
      </c>
      <c r="E88" s="276" t="e">
        <f>'6.1 - Value look-up'!P24</f>
        <v>#N/A</v>
      </c>
      <c r="F88" s="116" t="str">
        <f>'6.1 - Value look-up'!Q24</f>
        <v>£ / hh / year</v>
      </c>
      <c r="G88" s="112"/>
      <c r="H88" s="112"/>
    </row>
    <row r="89" spans="1:69" s="82" customFormat="1" ht="13" outlineLevel="1" x14ac:dyDescent="0.3">
      <c r="B89" s="253" t="s">
        <v>183</v>
      </c>
      <c r="C89" s="277" t="e">
        <f>'6.1 - Value look-up'!N25</f>
        <v>#N/A</v>
      </c>
      <c r="D89" s="275" t="e">
        <f>'6.1 - Value look-up'!O25</f>
        <v>#N/A</v>
      </c>
      <c r="E89" s="276" t="e">
        <f>'6.1 - Value look-up'!P25</f>
        <v>#N/A</v>
      </c>
      <c r="F89" s="278" t="str">
        <f>'6.1 - Value look-up'!Q25</f>
        <v>£ / hh / year</v>
      </c>
      <c r="G89" s="112"/>
      <c r="H89" s="112"/>
    </row>
    <row r="90" spans="1:69" s="82" customFormat="1" ht="13" outlineLevel="1" x14ac:dyDescent="0.3">
      <c r="B90" s="118" t="s">
        <v>182</v>
      </c>
      <c r="C90" s="274" t="e">
        <f>'6.1 - Value look-up'!N26</f>
        <v>#N/A</v>
      </c>
      <c r="D90" s="275" t="e">
        <f>'6.1 - Value look-up'!O26</f>
        <v>#N/A</v>
      </c>
      <c r="E90" s="276" t="e">
        <f>'6.1 - Value look-up'!P26</f>
        <v>#N/A</v>
      </c>
      <c r="F90" s="278" t="str">
        <f>'6.1 - Value look-up'!Q26</f>
        <v>£ / hh / year</v>
      </c>
      <c r="G90" s="112"/>
      <c r="H90" s="112"/>
    </row>
    <row r="91" spans="1:69" s="82" customFormat="1" ht="13" outlineLevel="1" x14ac:dyDescent="0.3">
      <c r="B91" s="279" t="s">
        <v>349</v>
      </c>
      <c r="C91" s="274" t="e">
        <f>'6.1 - Value look-up'!N27</f>
        <v>#N/A</v>
      </c>
      <c r="D91" s="275" t="e">
        <f>'6.1 - Value look-up'!O27</f>
        <v>#N/A</v>
      </c>
      <c r="E91" s="276" t="e">
        <f>'6.1 - Value look-up'!P27</f>
        <v>#N/A</v>
      </c>
      <c r="F91" s="278" t="str">
        <f>'6.1 - Value look-up'!Q27</f>
        <v>£ / hh / year</v>
      </c>
      <c r="G91" s="112"/>
      <c r="H91" s="112"/>
    </row>
    <row r="92" spans="1:69" s="82" customFormat="1" ht="13" outlineLevel="1" x14ac:dyDescent="0.3">
      <c r="B92" s="118" t="s">
        <v>178</v>
      </c>
      <c r="C92" s="274" t="e">
        <f>'6.1 - Value look-up'!N28</f>
        <v>#N/A</v>
      </c>
      <c r="D92" s="275" t="e">
        <f>'6.1 - Value look-up'!O28</f>
        <v>#N/A</v>
      </c>
      <c r="E92" s="276" t="e">
        <f>'6.1 - Value look-up'!P28</f>
        <v>#N/A</v>
      </c>
      <c r="F92" s="278" t="str">
        <f>'6.1 - Value look-up'!Q28</f>
        <v>£ / hh / year</v>
      </c>
      <c r="G92" s="112"/>
      <c r="H92" s="112"/>
    </row>
    <row r="93" spans="1:69" s="82" customFormat="1" ht="13" outlineLevel="1" x14ac:dyDescent="0.3">
      <c r="B93" s="118" t="s">
        <v>179</v>
      </c>
      <c r="C93" s="274" t="e">
        <f>'6.1 - Value look-up'!N29</f>
        <v>#N/A</v>
      </c>
      <c r="D93" s="275" t="e">
        <f>'6.1 - Value look-up'!O29</f>
        <v>#N/A</v>
      </c>
      <c r="E93" s="276" t="e">
        <f>'6.1 - Value look-up'!P29</f>
        <v>#N/A</v>
      </c>
      <c r="F93" s="278" t="str">
        <f>'6.1 - Value look-up'!Q29</f>
        <v>£ / hh / year</v>
      </c>
      <c r="G93" s="112"/>
      <c r="H93" s="112"/>
    </row>
    <row r="94" spans="1:69" s="82" customFormat="1" ht="13" outlineLevel="1" x14ac:dyDescent="0.3">
      <c r="B94" s="118" t="s">
        <v>181</v>
      </c>
      <c r="C94" s="274" t="e">
        <f>'6.1 - Value look-up'!N30</f>
        <v>#N/A</v>
      </c>
      <c r="D94" s="275" t="e">
        <f>'6.1 - Value look-up'!O30</f>
        <v>#N/A</v>
      </c>
      <c r="E94" s="276" t="e">
        <f>'6.1 - Value look-up'!P30</f>
        <v>#N/A</v>
      </c>
      <c r="F94" s="278" t="str">
        <f>'6.1 - Value look-up'!Q30</f>
        <v>£ / hh / year</v>
      </c>
      <c r="G94" s="112"/>
      <c r="H94" s="112"/>
    </row>
    <row r="95" spans="1:69" s="82" customFormat="1" ht="13" outlineLevel="1" x14ac:dyDescent="0.3">
      <c r="B95" s="118" t="s">
        <v>176</v>
      </c>
      <c r="C95" s="274" t="e">
        <f>'6.1 - Value look-up'!N31</f>
        <v>#N/A</v>
      </c>
      <c r="D95" s="275" t="e">
        <f>'6.1 - Value look-up'!O31</f>
        <v>#N/A</v>
      </c>
      <c r="E95" s="276" t="e">
        <f>'6.1 - Value look-up'!P31</f>
        <v>#N/A</v>
      </c>
      <c r="F95" s="278" t="str">
        <f>'6.1 - Value look-up'!Q31</f>
        <v>£ / hh / year</v>
      </c>
      <c r="G95" s="112"/>
      <c r="H95" s="112"/>
    </row>
    <row r="96" spans="1:69" s="82" customFormat="1" ht="13.5" outlineLevel="1" thickBot="1" x14ac:dyDescent="0.35">
      <c r="B96" s="119" t="s">
        <v>180</v>
      </c>
      <c r="C96" s="280" t="e">
        <f>'6.1 - Value look-up'!N32</f>
        <v>#N/A</v>
      </c>
      <c r="D96" s="281" t="e">
        <f>'6.1 - Value look-up'!O32</f>
        <v>#N/A</v>
      </c>
      <c r="E96" s="282" t="e">
        <f>'6.1 - Value look-up'!P32</f>
        <v>#N/A</v>
      </c>
      <c r="F96" s="283" t="str">
        <f>'6.1 - Value look-up'!Q32</f>
        <v>£ / hh / year</v>
      </c>
      <c r="G96" s="112"/>
      <c r="H96" s="112"/>
    </row>
    <row r="97" spans="2:8" s="82" customFormat="1" ht="13" x14ac:dyDescent="0.3">
      <c r="B97" s="114" t="str">
        <f>Expand</f>
        <v>Press the plus/minus to the left to expand/minimise this section</v>
      </c>
      <c r="F97" s="112"/>
      <c r="G97" s="112"/>
      <c r="H97" s="112"/>
    </row>
    <row r="98" spans="2:8" x14ac:dyDescent="0.35"/>
    <row r="99" spans="2:8" x14ac:dyDescent="0.35"/>
    <row r="100" spans="2:8" x14ac:dyDescent="0.35"/>
  </sheetData>
  <sheetProtection algorithmName="SHA-512" hashValue="11QugrDQYK0+CAvBRuvKz/TBABIeQ5r75Grxq5E7WGmd/OJpnGQJxngm7Bu+bjJQ5bhiBDMmM17nodrspQj/Hw==" saltValue="08XTPB6B+rbP4KpcGbuxsg==" spinCount="100000" sheet="1" formatRows="0"/>
  <mergeCells count="20">
    <mergeCell ref="D75:D77"/>
    <mergeCell ref="E75:E77"/>
    <mergeCell ref="F75:F77"/>
    <mergeCell ref="G75:G77"/>
    <mergeCell ref="H75:H77"/>
    <mergeCell ref="D64:D66"/>
    <mergeCell ref="E64:E66"/>
    <mergeCell ref="F64:F66"/>
    <mergeCell ref="G64:G66"/>
    <mergeCell ref="H64:H66"/>
    <mergeCell ref="D53:D55"/>
    <mergeCell ref="E53:E55"/>
    <mergeCell ref="F53:F55"/>
    <mergeCell ref="G53:G55"/>
    <mergeCell ref="H53:H55"/>
    <mergeCell ref="B20:C20"/>
    <mergeCell ref="B24:C24"/>
    <mergeCell ref="B5:C5"/>
    <mergeCell ref="B12:K12"/>
    <mergeCell ref="F2:J2"/>
  </mergeCells>
  <dataValidations count="2">
    <dataValidation type="list" allowBlank="1" showInputMessage="1" showErrorMessage="1" sqref="C25:C33" xr:uid="{A0BE7322-0B16-421E-83D0-E6B4C00982CE}">
      <formula1>"Yes, No"</formula1>
    </dataValidation>
    <dataValidation type="decimal" errorStyle="warning" allowBlank="1" showInputMessage="1" showErrorMessage="1" errorTitle="Percentage Warning" error="An amount that does not add to 100% has been entered. Please verify your percentages." sqref="D34:D35" xr:uid="{1DE3572E-0771-4722-A16A-BCFC10C7B105}">
      <formula1>1</formula1>
      <formula2>1</formula2>
    </dataValidation>
  </dataValidations>
  <hyperlinks>
    <hyperlink ref="F2" location="Welcome!A1" display="CLICK to return to Welcome screen" xr:uid="{1805F185-F617-42A4-B32C-65540DE65AB1}"/>
  </hyperlinks>
  <pageMargins left="0.7" right="0.7" top="0.75" bottom="0.75" header="0.3" footer="0.3"/>
  <pageSetup paperSize="9" orientation="portrait" r:id="rId1"/>
  <headerFooter>
    <oddFooter xml:space="preserve">&amp;C_x000D_&amp;1#&amp;"Calibri"&amp;12&amp;K0078D7 OFFICIAL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7DDA-AD60-47EC-BF73-0547FC35DA4D}">
  <sheetPr codeName="Sheet20">
    <tabColor theme="9"/>
  </sheetPr>
  <dimension ref="A1:U212"/>
  <sheetViews>
    <sheetView showGridLines="0" workbookViewId="0">
      <pane xSplit="3" ySplit="13" topLeftCell="D14" activePane="bottomRight" state="frozen"/>
      <selection pane="topRight" activeCell="D1" sqref="D1"/>
      <selection pane="bottomLeft" activeCell="A14" sqref="A14"/>
      <selection pane="bottomRight" activeCell="C22" sqref="C22"/>
    </sheetView>
  </sheetViews>
  <sheetFormatPr defaultColWidth="0" defaultRowHeight="14.5" zeroHeight="1" x14ac:dyDescent="0.35"/>
  <cols>
    <col min="1" max="1" width="1.453125" customWidth="1"/>
    <col min="2" max="2" width="42.1796875" customWidth="1"/>
    <col min="3" max="3" width="58.453125" customWidth="1"/>
    <col min="4" max="6" width="12.81640625" customWidth="1"/>
    <col min="7" max="7" width="17.81640625" customWidth="1"/>
    <col min="8" max="8" width="11.54296875" customWidth="1"/>
    <col min="9" max="9" width="8.1796875" customWidth="1"/>
    <col min="10" max="10" width="35.7265625" customWidth="1"/>
    <col min="11" max="11" width="21.26953125" customWidth="1"/>
    <col min="12" max="12" width="13.26953125" customWidth="1"/>
    <col min="13" max="13" width="9.81640625" customWidth="1"/>
    <col min="14" max="14" width="16" customWidth="1"/>
    <col min="15" max="16" width="12.81640625" customWidth="1"/>
    <col min="17" max="17" width="18.26953125" customWidth="1"/>
    <col min="18" max="18" width="22.7265625" customWidth="1"/>
    <col min="19" max="19" width="109.54296875" customWidth="1"/>
    <col min="20" max="21" width="9.1796875" customWidth="1"/>
    <col min="22" max="16384" width="9.1796875" hidden="1"/>
  </cols>
  <sheetData>
    <row r="1" spans="1:20" ht="2.5" customHeight="1" x14ac:dyDescent="0.35"/>
    <row r="2" spans="1:20" s="5" customFormat="1" ht="20.5" x14ac:dyDescent="0.55000000000000004">
      <c r="A2" s="139"/>
      <c r="B2" s="140" t="s">
        <v>362</v>
      </c>
      <c r="C2" s="140"/>
      <c r="D2" s="705" t="s">
        <v>59</v>
      </c>
      <c r="E2" s="705"/>
      <c r="F2" s="705"/>
      <c r="G2" s="139"/>
      <c r="H2" s="139"/>
      <c r="I2" s="139"/>
      <c r="J2" s="706"/>
      <c r="K2" s="706"/>
      <c r="L2" s="706"/>
      <c r="M2" s="706"/>
      <c r="N2" s="706"/>
      <c r="O2" s="706"/>
      <c r="P2" s="706"/>
      <c r="Q2" s="706"/>
      <c r="R2" s="139"/>
      <c r="S2" s="139"/>
      <c r="T2" s="139"/>
    </row>
    <row r="3" spans="1:20" s="2" customFormat="1" ht="3" customHeight="1" x14ac:dyDescent="0.4">
      <c r="B3" s="3"/>
      <c r="C3" s="3"/>
      <c r="D3" s="3"/>
    </row>
    <row r="4" spans="1:20" s="5" customFormat="1" x14ac:dyDescent="0.4">
      <c r="A4" s="142"/>
      <c r="B4" s="141" t="s">
        <v>363</v>
      </c>
      <c r="C4" s="141"/>
      <c r="D4" s="141"/>
      <c r="E4" s="142"/>
      <c r="F4" s="142"/>
      <c r="G4" s="142"/>
      <c r="H4" s="142"/>
      <c r="I4" s="142"/>
      <c r="J4" s="142"/>
      <c r="K4" s="142"/>
      <c r="L4" s="142"/>
      <c r="M4" s="142"/>
      <c r="N4" s="142"/>
      <c r="O4" s="142"/>
      <c r="P4" s="142"/>
      <c r="Q4" s="142"/>
      <c r="R4" s="142"/>
      <c r="S4" s="142"/>
      <c r="T4" s="142"/>
    </row>
    <row r="5" spans="1:20" s="5" customFormat="1" x14ac:dyDescent="0.4">
      <c r="B5" s="11" t="s">
        <v>364</v>
      </c>
      <c r="C5" s="10"/>
      <c r="D5" s="10"/>
    </row>
    <row r="6" spans="1:20" s="1" customFormat="1" ht="14.25" customHeight="1" x14ac:dyDescent="0.4">
      <c r="C6" s="4"/>
      <c r="D6" s="4"/>
      <c r="E6" s="4"/>
      <c r="F6" s="4"/>
      <c r="G6" s="4"/>
      <c r="H6" s="4"/>
      <c r="I6" s="4"/>
      <c r="J6" s="4"/>
      <c r="K6" s="4"/>
      <c r="L6" s="4"/>
      <c r="M6" s="4"/>
      <c r="N6" s="4"/>
      <c r="O6" s="4"/>
      <c r="P6" s="4"/>
    </row>
    <row r="7" spans="1:20" s="1" customFormat="1" x14ac:dyDescent="0.4">
      <c r="B7" s="12" t="s">
        <v>365</v>
      </c>
      <c r="C7" s="13" t="s">
        <v>8</v>
      </c>
    </row>
    <row r="8" spans="1:20" s="1" customFormat="1" ht="15" customHeight="1" x14ac:dyDescent="0.4">
      <c r="B8" s="22" t="s">
        <v>366</v>
      </c>
      <c r="C8" s="56" t="s">
        <v>366</v>
      </c>
    </row>
    <row r="9" spans="1:20" s="1" customFormat="1" ht="15" customHeight="1" x14ac:dyDescent="0.4">
      <c r="B9" s="585" t="s">
        <v>367</v>
      </c>
      <c r="C9" s="56" t="s">
        <v>368</v>
      </c>
    </row>
    <row r="10" spans="1:20" s="1" customFormat="1" x14ac:dyDescent="0.4">
      <c r="B10" s="23" t="s">
        <v>369</v>
      </c>
      <c r="C10" s="56" t="s">
        <v>370</v>
      </c>
    </row>
    <row r="11" spans="1:20" s="1" customFormat="1" ht="15" thickBot="1" x14ac:dyDescent="0.45">
      <c r="B11" s="14"/>
      <c r="C11" s="15"/>
    </row>
    <row r="12" spans="1:20" s="1" customFormat="1" ht="15" thickBot="1" x14ac:dyDescent="0.45">
      <c r="D12" s="699" t="s">
        <v>371</v>
      </c>
      <c r="E12" s="700"/>
      <c r="F12" s="700"/>
      <c r="G12" s="701"/>
      <c r="H12" s="699" t="s">
        <v>372</v>
      </c>
      <c r="I12" s="700"/>
      <c r="J12" s="700"/>
      <c r="K12" s="700"/>
      <c r="L12" s="701"/>
      <c r="M12" s="699" t="str">
        <f>_xlfn.CONCAT("Values adjusted to appraisal base year - ",Appraisal_Base_Year)</f>
        <v xml:space="preserve">Values adjusted to appraisal base year - </v>
      </c>
      <c r="N12" s="700"/>
      <c r="O12" s="700"/>
      <c r="P12" s="700"/>
      <c r="Q12" s="701"/>
      <c r="R12" s="699" t="s">
        <v>373</v>
      </c>
      <c r="S12" s="701"/>
    </row>
    <row r="13" spans="1:20" s="1" customFormat="1" ht="44" thickBot="1" x14ac:dyDescent="0.45">
      <c r="B13" s="16" t="s">
        <v>374</v>
      </c>
      <c r="C13" s="17" t="s">
        <v>375</v>
      </c>
      <c r="D13" s="20" t="s">
        <v>376</v>
      </c>
      <c r="E13" s="20" t="s">
        <v>377</v>
      </c>
      <c r="F13" s="20" t="s">
        <v>378</v>
      </c>
      <c r="G13" s="21" t="s">
        <v>327</v>
      </c>
      <c r="H13" s="20" t="s">
        <v>379</v>
      </c>
      <c r="I13" s="20" t="s">
        <v>316</v>
      </c>
      <c r="J13" s="19" t="s">
        <v>380</v>
      </c>
      <c r="K13" s="18" t="s">
        <v>381</v>
      </c>
      <c r="L13" s="20" t="s">
        <v>382</v>
      </c>
      <c r="M13" s="20" t="s">
        <v>383</v>
      </c>
      <c r="N13" s="20" t="s">
        <v>384</v>
      </c>
      <c r="O13" s="20" t="s">
        <v>377</v>
      </c>
      <c r="P13" s="20" t="s">
        <v>378</v>
      </c>
      <c r="Q13" s="45" t="s">
        <v>327</v>
      </c>
      <c r="R13" s="20" t="s">
        <v>385</v>
      </c>
      <c r="S13" s="45" t="s">
        <v>386</v>
      </c>
    </row>
    <row r="14" spans="1:20" s="1" customFormat="1" x14ac:dyDescent="0.4">
      <c r="B14" s="38" t="s">
        <v>387</v>
      </c>
      <c r="C14" s="39" t="s">
        <v>388</v>
      </c>
      <c r="D14" s="40">
        <v>0</v>
      </c>
      <c r="E14" s="40">
        <v>0</v>
      </c>
      <c r="F14" s="40">
        <v>0</v>
      </c>
      <c r="G14" s="39" t="s">
        <v>389</v>
      </c>
      <c r="H14" s="41">
        <v>2022</v>
      </c>
      <c r="I14" s="41" t="str">
        <f>VLOOKUP(H14,'6.2 - GDP deflators'!$A$17:$B$89,2,FALSE)</f>
        <v>2022/23</v>
      </c>
      <c r="J14" s="42" t="s">
        <v>390</v>
      </c>
      <c r="K14" s="39" t="s">
        <v>391</v>
      </c>
      <c r="L14" s="39">
        <v>2032</v>
      </c>
      <c r="M14" s="39" t="s">
        <v>392</v>
      </c>
      <c r="N14" s="40" t="e">
        <f t="shared" ref="N14:N32" si="0">IF(AND($M14="YES",ISNUMBER(D14)),D14*(VLOOKUP(Appraisal_Base_Year,GDPUpliftVector_FinancialYear,2,FALSE)/VLOOKUP($I14,GDPUpliftVector_FinancialYear,2,FALSE)),D14)</f>
        <v>#N/A</v>
      </c>
      <c r="O14" s="40" t="e">
        <f t="shared" ref="O14:O32" si="1">IF(AND($M14="YES",ISNUMBER(E14)),E14*(VLOOKUP(Appraisal_Base_Year,GDPUpliftVector_FinancialYear,2,FALSE)/VLOOKUP($I14,GDPUpliftVector_FinancialYear,2,FALSE)),E14)</f>
        <v>#N/A</v>
      </c>
      <c r="P14" s="40" t="e">
        <f t="shared" ref="P14:P32" si="2">IF(AND($M14="YES",ISNUMBER(F14)),F14*(VLOOKUP(Appraisal_Base_Year,GDPUpliftVector_FinancialYear,2,FALSE)/VLOOKUP($I14,GDPUpliftVector_FinancialYear,2,FALSE)),F14)</f>
        <v>#N/A</v>
      </c>
      <c r="Q14" s="43" t="str">
        <f>G14</f>
        <v>£ / hh / year</v>
      </c>
      <c r="R14" s="48" t="s">
        <v>392</v>
      </c>
      <c r="S14" s="46"/>
    </row>
    <row r="15" spans="1:20" s="1" customFormat="1" x14ac:dyDescent="0.4">
      <c r="B15" s="24" t="s">
        <v>387</v>
      </c>
      <c r="C15" s="25" t="s">
        <v>393</v>
      </c>
      <c r="D15" s="26">
        <v>12.18</v>
      </c>
      <c r="E15" s="26">
        <v>6.915</v>
      </c>
      <c r="F15" s="26">
        <v>17.445</v>
      </c>
      <c r="G15" s="25" t="s">
        <v>389</v>
      </c>
      <c r="H15" s="27">
        <v>2022</v>
      </c>
      <c r="I15" s="27" t="str">
        <f>VLOOKUP(H15,'6.2 - GDP deflators'!$A$17:$B$89,2,FALSE)</f>
        <v>2022/23</v>
      </c>
      <c r="J15" s="28" t="s">
        <v>390</v>
      </c>
      <c r="K15" s="25" t="s">
        <v>391</v>
      </c>
      <c r="L15" s="25">
        <v>2032</v>
      </c>
      <c r="M15" s="25" t="s">
        <v>392</v>
      </c>
      <c r="N15" s="26" t="e">
        <f t="shared" si="0"/>
        <v>#N/A</v>
      </c>
      <c r="O15" s="26" t="e">
        <f t="shared" si="1"/>
        <v>#N/A</v>
      </c>
      <c r="P15" s="26" t="e">
        <f t="shared" si="2"/>
        <v>#N/A</v>
      </c>
      <c r="Q15" s="29" t="str">
        <f t="shared" ref="Q15:Q32" si="3">G15</f>
        <v>£ / hh / year</v>
      </c>
      <c r="R15" s="49" t="s">
        <v>392</v>
      </c>
      <c r="S15" s="47"/>
    </row>
    <row r="16" spans="1:20" s="1" customFormat="1" x14ac:dyDescent="0.4">
      <c r="B16" s="24" t="s">
        <v>387</v>
      </c>
      <c r="C16" s="25" t="s">
        <v>394</v>
      </c>
      <c r="D16" s="26">
        <v>7.04</v>
      </c>
      <c r="E16" s="26">
        <v>2.5149999999999997</v>
      </c>
      <c r="F16" s="26">
        <v>11.565000000000001</v>
      </c>
      <c r="G16" s="25" t="s">
        <v>389</v>
      </c>
      <c r="H16" s="27">
        <v>2022</v>
      </c>
      <c r="I16" s="27" t="str">
        <f>VLOOKUP(H16,'6.2 - GDP deflators'!$A$17:$B$89,2,FALSE)</f>
        <v>2022/23</v>
      </c>
      <c r="J16" s="28" t="s">
        <v>390</v>
      </c>
      <c r="K16" s="25" t="s">
        <v>391</v>
      </c>
      <c r="L16" s="25">
        <v>2032</v>
      </c>
      <c r="M16" s="25" t="s">
        <v>392</v>
      </c>
      <c r="N16" s="26" t="e">
        <f t="shared" si="0"/>
        <v>#N/A</v>
      </c>
      <c r="O16" s="26" t="e">
        <f t="shared" si="1"/>
        <v>#N/A</v>
      </c>
      <c r="P16" s="26" t="e">
        <f t="shared" si="2"/>
        <v>#N/A</v>
      </c>
      <c r="Q16" s="29" t="str">
        <f t="shared" si="3"/>
        <v>£ / hh / year</v>
      </c>
      <c r="R16" s="49" t="s">
        <v>392</v>
      </c>
      <c r="S16" s="47"/>
    </row>
    <row r="17" spans="2:19" s="1" customFormat="1" x14ac:dyDescent="0.4">
      <c r="B17" s="24" t="s">
        <v>387</v>
      </c>
      <c r="C17" s="25" t="s">
        <v>395</v>
      </c>
      <c r="D17" s="26">
        <v>0</v>
      </c>
      <c r="E17" s="26">
        <v>0</v>
      </c>
      <c r="F17" s="26">
        <v>0</v>
      </c>
      <c r="G17" s="25" t="s">
        <v>389</v>
      </c>
      <c r="H17" s="27">
        <v>2022</v>
      </c>
      <c r="I17" s="27" t="str">
        <f>VLOOKUP(H17,'6.2 - GDP deflators'!$A$17:$B$89,2,FALSE)</f>
        <v>2022/23</v>
      </c>
      <c r="J17" s="28" t="s">
        <v>390</v>
      </c>
      <c r="K17" s="25" t="s">
        <v>391</v>
      </c>
      <c r="L17" s="25">
        <v>2032</v>
      </c>
      <c r="M17" s="25" t="s">
        <v>392</v>
      </c>
      <c r="N17" s="26" t="e">
        <f t="shared" si="0"/>
        <v>#N/A</v>
      </c>
      <c r="O17" s="26" t="e">
        <f t="shared" si="1"/>
        <v>#N/A</v>
      </c>
      <c r="P17" s="26" t="e">
        <f t="shared" si="2"/>
        <v>#N/A</v>
      </c>
      <c r="Q17" s="29" t="str">
        <f t="shared" si="3"/>
        <v>£ / hh / year</v>
      </c>
      <c r="R17" s="49" t="s">
        <v>392</v>
      </c>
      <c r="S17" s="47"/>
    </row>
    <row r="18" spans="2:19" s="1" customFormat="1" x14ac:dyDescent="0.4">
      <c r="B18" s="24" t="s">
        <v>387</v>
      </c>
      <c r="C18" s="25" t="s">
        <v>396</v>
      </c>
      <c r="D18" s="26">
        <v>1.9086582999999999</v>
      </c>
      <c r="E18" s="26">
        <v>-3.9713417</v>
      </c>
      <c r="F18" s="26">
        <v>7.7886582999999998</v>
      </c>
      <c r="G18" s="25" t="s">
        <v>389</v>
      </c>
      <c r="H18" s="27">
        <v>2022</v>
      </c>
      <c r="I18" s="27" t="str">
        <f>VLOOKUP(H18,'6.2 - GDP deflators'!$A$17:$B$89,2,FALSE)</f>
        <v>2022/23</v>
      </c>
      <c r="J18" s="28" t="s">
        <v>390</v>
      </c>
      <c r="K18" s="25" t="s">
        <v>391</v>
      </c>
      <c r="L18" s="25">
        <v>2032</v>
      </c>
      <c r="M18" s="25" t="s">
        <v>392</v>
      </c>
      <c r="N18" s="26" t="e">
        <f t="shared" si="0"/>
        <v>#N/A</v>
      </c>
      <c r="O18" s="26" t="e">
        <f t="shared" si="1"/>
        <v>#N/A</v>
      </c>
      <c r="P18" s="26" t="e">
        <f t="shared" si="2"/>
        <v>#N/A</v>
      </c>
      <c r="Q18" s="29" t="str">
        <f t="shared" si="3"/>
        <v>£ / hh / year</v>
      </c>
      <c r="R18" s="49" t="s">
        <v>392</v>
      </c>
      <c r="S18" s="47"/>
    </row>
    <row r="19" spans="2:19" s="1" customFormat="1" x14ac:dyDescent="0.4">
      <c r="B19" s="24" t="s">
        <v>387</v>
      </c>
      <c r="C19" s="25" t="s">
        <v>397</v>
      </c>
      <c r="D19" s="26">
        <v>5.7322828000000001</v>
      </c>
      <c r="E19" s="26">
        <v>-5.7717199999999913E-2</v>
      </c>
      <c r="F19" s="26">
        <v>11.522282799999999</v>
      </c>
      <c r="G19" s="25" t="s">
        <v>389</v>
      </c>
      <c r="H19" s="27">
        <v>2022</v>
      </c>
      <c r="I19" s="27" t="str">
        <f>VLOOKUP(H19,'6.2 - GDP deflators'!$A$17:$B$89,2,FALSE)</f>
        <v>2022/23</v>
      </c>
      <c r="J19" s="28" t="s">
        <v>390</v>
      </c>
      <c r="K19" s="25" t="s">
        <v>391</v>
      </c>
      <c r="L19" s="25">
        <v>2032</v>
      </c>
      <c r="M19" s="25" t="s">
        <v>392</v>
      </c>
      <c r="N19" s="26" t="e">
        <f t="shared" si="0"/>
        <v>#N/A</v>
      </c>
      <c r="O19" s="26" t="e">
        <f t="shared" si="1"/>
        <v>#N/A</v>
      </c>
      <c r="P19" s="26" t="e">
        <f t="shared" si="2"/>
        <v>#N/A</v>
      </c>
      <c r="Q19" s="29" t="str">
        <f t="shared" si="3"/>
        <v>£ / hh / year</v>
      </c>
      <c r="R19" s="49" t="s">
        <v>392</v>
      </c>
      <c r="S19" s="47"/>
    </row>
    <row r="20" spans="2:19" s="1" customFormat="1" x14ac:dyDescent="0.4">
      <c r="B20" s="586" t="s">
        <v>387</v>
      </c>
      <c r="C20" s="587" t="s">
        <v>398</v>
      </c>
      <c r="D20" s="588">
        <v>-9.3052750999999994</v>
      </c>
      <c r="E20" s="588">
        <v>-13.155275099999999</v>
      </c>
      <c r="F20" s="588">
        <v>-5.4552750999999997</v>
      </c>
      <c r="G20" s="587" t="s">
        <v>399</v>
      </c>
      <c r="H20" s="589">
        <v>2022</v>
      </c>
      <c r="I20" s="589" t="str">
        <f>VLOOKUP(H20,'6.2 - GDP deflators'!$A$17:$B$89,2,FALSE)</f>
        <v>2022/23</v>
      </c>
      <c r="J20" s="590" t="s">
        <v>390</v>
      </c>
      <c r="K20" s="587" t="s">
        <v>391</v>
      </c>
      <c r="L20" s="587">
        <v>2032</v>
      </c>
      <c r="M20" s="587" t="s">
        <v>175</v>
      </c>
      <c r="N20" s="588">
        <f t="shared" si="0"/>
        <v>-9.3052750999999994</v>
      </c>
      <c r="O20" s="588">
        <f t="shared" si="1"/>
        <v>-13.155275099999999</v>
      </c>
      <c r="P20" s="588">
        <f t="shared" si="2"/>
        <v>-5.4552750999999997</v>
      </c>
      <c r="Q20" s="591" t="str">
        <f t="shared" si="3"/>
        <v>function parameter</v>
      </c>
      <c r="R20" s="49" t="s">
        <v>392</v>
      </c>
      <c r="S20" s="47"/>
    </row>
    <row r="21" spans="2:19" s="1" customFormat="1" x14ac:dyDescent="0.4">
      <c r="B21" s="586" t="s">
        <v>387</v>
      </c>
      <c r="C21" s="587" t="s">
        <v>400</v>
      </c>
      <c r="D21" s="588">
        <v>3.2896407000000001</v>
      </c>
      <c r="E21" s="588">
        <v>-0.61035930000000027</v>
      </c>
      <c r="F21" s="588">
        <v>7.1896407</v>
      </c>
      <c r="G21" s="587" t="s">
        <v>399</v>
      </c>
      <c r="H21" s="589">
        <v>2022</v>
      </c>
      <c r="I21" s="589" t="str">
        <f>VLOOKUP(H21,'6.2 - GDP deflators'!$A$17:$B$89,2,FALSE)</f>
        <v>2022/23</v>
      </c>
      <c r="J21" s="590" t="s">
        <v>390</v>
      </c>
      <c r="K21" s="587" t="s">
        <v>391</v>
      </c>
      <c r="L21" s="587">
        <v>2032</v>
      </c>
      <c r="M21" s="587" t="s">
        <v>175</v>
      </c>
      <c r="N21" s="588">
        <f t="shared" si="0"/>
        <v>3.2896407000000001</v>
      </c>
      <c r="O21" s="588">
        <f t="shared" si="1"/>
        <v>-0.61035930000000027</v>
      </c>
      <c r="P21" s="588">
        <f t="shared" si="2"/>
        <v>7.1896407</v>
      </c>
      <c r="Q21" s="591" t="str">
        <f t="shared" si="3"/>
        <v>function parameter</v>
      </c>
      <c r="R21" s="49" t="s">
        <v>392</v>
      </c>
      <c r="S21" s="47"/>
    </row>
    <row r="22" spans="2:19" s="1" customFormat="1" x14ac:dyDescent="0.4">
      <c r="B22" s="586" t="s">
        <v>387</v>
      </c>
      <c r="C22" s="587" t="s">
        <v>401</v>
      </c>
      <c r="D22" s="588">
        <v>3.0118923</v>
      </c>
      <c r="E22" s="588">
        <v>1.4768923</v>
      </c>
      <c r="F22" s="588">
        <v>4.5468922999999997</v>
      </c>
      <c r="G22" s="587" t="s">
        <v>399</v>
      </c>
      <c r="H22" s="589">
        <v>2022</v>
      </c>
      <c r="I22" s="589" t="str">
        <f>VLOOKUP(H22,'6.2 - GDP deflators'!$A$17:$B$89,2,FALSE)</f>
        <v>2022/23</v>
      </c>
      <c r="J22" s="590" t="s">
        <v>390</v>
      </c>
      <c r="K22" s="587" t="s">
        <v>391</v>
      </c>
      <c r="L22" s="587">
        <v>2032</v>
      </c>
      <c r="M22" s="587" t="s">
        <v>175</v>
      </c>
      <c r="N22" s="588">
        <f t="shared" si="0"/>
        <v>3.0118923</v>
      </c>
      <c r="O22" s="588">
        <f t="shared" si="1"/>
        <v>1.4768923</v>
      </c>
      <c r="P22" s="588">
        <f t="shared" si="2"/>
        <v>4.5468922999999997</v>
      </c>
      <c r="Q22" s="591" t="str">
        <f t="shared" si="3"/>
        <v>function parameter</v>
      </c>
      <c r="R22" s="49" t="s">
        <v>392</v>
      </c>
      <c r="S22" s="47"/>
    </row>
    <row r="23" spans="2:19" s="1" customFormat="1" x14ac:dyDescent="0.4">
      <c r="B23" s="24" t="s">
        <v>387</v>
      </c>
      <c r="C23" s="25" t="s">
        <v>402</v>
      </c>
      <c r="D23" s="26">
        <v>-132.62</v>
      </c>
      <c r="E23" s="26">
        <v>-104.57999999999998</v>
      </c>
      <c r="F23" s="26">
        <v>-160.66</v>
      </c>
      <c r="G23" s="25" t="s">
        <v>389</v>
      </c>
      <c r="H23" s="27">
        <v>2022</v>
      </c>
      <c r="I23" s="27" t="str">
        <f>VLOOKUP(H23,'6.2 - GDP deflators'!$A$17:$B$89,2,FALSE)</f>
        <v>2022/23</v>
      </c>
      <c r="J23" s="28" t="s">
        <v>390</v>
      </c>
      <c r="K23" s="25" t="s">
        <v>391</v>
      </c>
      <c r="L23" s="25">
        <v>2032</v>
      </c>
      <c r="M23" s="25" t="s">
        <v>392</v>
      </c>
      <c r="N23" s="26" t="e">
        <f t="shared" si="0"/>
        <v>#N/A</v>
      </c>
      <c r="O23" s="26" t="e">
        <f t="shared" si="1"/>
        <v>#N/A</v>
      </c>
      <c r="P23" s="26" t="e">
        <f t="shared" si="2"/>
        <v>#N/A</v>
      </c>
      <c r="Q23" s="29" t="str">
        <f t="shared" si="3"/>
        <v>£ / hh / year</v>
      </c>
      <c r="R23" s="50" t="s">
        <v>392</v>
      </c>
      <c r="S23" s="52"/>
    </row>
    <row r="24" spans="2:19" s="1" customFormat="1" x14ac:dyDescent="0.4">
      <c r="B24" s="32" t="s">
        <v>403</v>
      </c>
      <c r="C24" s="33" t="s">
        <v>404</v>
      </c>
      <c r="D24" s="34">
        <v>97.054456000000002</v>
      </c>
      <c r="E24" s="34">
        <v>81.45</v>
      </c>
      <c r="F24" s="34">
        <v>112.66</v>
      </c>
      <c r="G24" s="33" t="s">
        <v>389</v>
      </c>
      <c r="H24" s="35">
        <v>2022</v>
      </c>
      <c r="I24" s="35" t="str">
        <f>VLOOKUP(H24,'6.2 - GDP deflators'!$A$17:$B$89,2,FALSE)</f>
        <v>2022/23</v>
      </c>
      <c r="J24" s="36" t="s">
        <v>390</v>
      </c>
      <c r="K24" s="33" t="s">
        <v>391</v>
      </c>
      <c r="L24" s="33">
        <v>2032</v>
      </c>
      <c r="M24" s="33" t="s">
        <v>392</v>
      </c>
      <c r="N24" s="34" t="e">
        <f t="shared" si="0"/>
        <v>#N/A</v>
      </c>
      <c r="O24" s="34" t="e">
        <f t="shared" si="1"/>
        <v>#N/A</v>
      </c>
      <c r="P24" s="34" t="e">
        <f t="shared" si="2"/>
        <v>#N/A</v>
      </c>
      <c r="Q24" s="37" t="str">
        <f t="shared" si="3"/>
        <v>£ / hh / year</v>
      </c>
      <c r="R24" s="51" t="s">
        <v>392</v>
      </c>
      <c r="S24" s="53"/>
    </row>
    <row r="25" spans="2:19" s="1" customFormat="1" x14ac:dyDescent="0.4">
      <c r="B25" s="24" t="s">
        <v>403</v>
      </c>
      <c r="C25" s="25" t="s">
        <v>405</v>
      </c>
      <c r="D25" s="26">
        <v>93.862033999999994</v>
      </c>
      <c r="E25" s="26">
        <v>79.843000000000004</v>
      </c>
      <c r="F25" s="26">
        <v>107.89</v>
      </c>
      <c r="G25" s="25" t="s">
        <v>389</v>
      </c>
      <c r="H25" s="27">
        <v>2022</v>
      </c>
      <c r="I25" s="27" t="str">
        <f>VLOOKUP(H25,'6.2 - GDP deflators'!$A$17:$B$89,2,FALSE)</f>
        <v>2022/23</v>
      </c>
      <c r="J25" s="28" t="s">
        <v>390</v>
      </c>
      <c r="K25" s="25" t="s">
        <v>391</v>
      </c>
      <c r="L25" s="25">
        <v>2032</v>
      </c>
      <c r="M25" s="25" t="s">
        <v>392</v>
      </c>
      <c r="N25" s="26" t="e">
        <f t="shared" si="0"/>
        <v>#N/A</v>
      </c>
      <c r="O25" s="26" t="e">
        <f t="shared" si="1"/>
        <v>#N/A</v>
      </c>
      <c r="P25" s="26" t="e">
        <f t="shared" si="2"/>
        <v>#N/A</v>
      </c>
      <c r="Q25" s="29" t="str">
        <f t="shared" si="3"/>
        <v>£ / hh / year</v>
      </c>
      <c r="R25" s="49" t="s">
        <v>392</v>
      </c>
      <c r="S25" s="47"/>
    </row>
    <row r="26" spans="2:19" s="1" customFormat="1" x14ac:dyDescent="0.4">
      <c r="B26" s="24" t="s">
        <v>403</v>
      </c>
      <c r="C26" s="25" t="s">
        <v>406</v>
      </c>
      <c r="D26" s="26">
        <v>68.010005000000007</v>
      </c>
      <c r="E26" s="26">
        <v>54.68</v>
      </c>
      <c r="F26" s="26">
        <v>81.34</v>
      </c>
      <c r="G26" s="25" t="s">
        <v>389</v>
      </c>
      <c r="H26" s="27">
        <v>2022</v>
      </c>
      <c r="I26" s="27" t="str">
        <f>VLOOKUP(H26,'6.2 - GDP deflators'!$A$17:$B$89,2,FALSE)</f>
        <v>2022/23</v>
      </c>
      <c r="J26" s="28" t="s">
        <v>390</v>
      </c>
      <c r="K26" s="25" t="s">
        <v>391</v>
      </c>
      <c r="L26" s="25">
        <v>2032</v>
      </c>
      <c r="M26" s="25" t="s">
        <v>392</v>
      </c>
      <c r="N26" s="26" t="e">
        <f t="shared" si="0"/>
        <v>#N/A</v>
      </c>
      <c r="O26" s="26" t="e">
        <f t="shared" si="1"/>
        <v>#N/A</v>
      </c>
      <c r="P26" s="26" t="e">
        <f t="shared" si="2"/>
        <v>#N/A</v>
      </c>
      <c r="Q26" s="29" t="str">
        <f t="shared" si="3"/>
        <v>£ / hh / year</v>
      </c>
      <c r="R26" s="49" t="s">
        <v>392</v>
      </c>
      <c r="S26" s="47"/>
    </row>
    <row r="27" spans="2:19" s="1" customFormat="1" x14ac:dyDescent="0.4">
      <c r="B27" s="24" t="s">
        <v>403</v>
      </c>
      <c r="C27" s="25" t="s">
        <v>407</v>
      </c>
      <c r="D27" s="26">
        <v>63.549444000000001</v>
      </c>
      <c r="E27" s="26">
        <v>49.01</v>
      </c>
      <c r="F27" s="26">
        <v>78.09</v>
      </c>
      <c r="G27" s="25" t="s">
        <v>389</v>
      </c>
      <c r="H27" s="27">
        <v>2022</v>
      </c>
      <c r="I27" s="27" t="str">
        <f>VLOOKUP(H27,'6.2 - GDP deflators'!$A$17:$B$89,2,FALSE)</f>
        <v>2022/23</v>
      </c>
      <c r="J27" s="28" t="s">
        <v>390</v>
      </c>
      <c r="K27" s="25" t="s">
        <v>391</v>
      </c>
      <c r="L27" s="25">
        <v>2032</v>
      </c>
      <c r="M27" s="25" t="s">
        <v>392</v>
      </c>
      <c r="N27" s="26" t="e">
        <f t="shared" si="0"/>
        <v>#N/A</v>
      </c>
      <c r="O27" s="26" t="e">
        <f t="shared" si="1"/>
        <v>#N/A</v>
      </c>
      <c r="P27" s="26" t="e">
        <f t="shared" si="2"/>
        <v>#N/A</v>
      </c>
      <c r="Q27" s="29" t="str">
        <f t="shared" si="3"/>
        <v>£ / hh / year</v>
      </c>
      <c r="R27" s="49" t="s">
        <v>392</v>
      </c>
      <c r="S27" s="47"/>
    </row>
    <row r="28" spans="2:19" s="1" customFormat="1" x14ac:dyDescent="0.4">
      <c r="B28" s="24" t="s">
        <v>403</v>
      </c>
      <c r="C28" s="25" t="s">
        <v>408</v>
      </c>
      <c r="D28" s="26">
        <v>52.667473000000001</v>
      </c>
      <c r="E28" s="26">
        <v>39.86</v>
      </c>
      <c r="F28" s="26">
        <v>65.47</v>
      </c>
      <c r="G28" s="25" t="s">
        <v>389</v>
      </c>
      <c r="H28" s="27">
        <v>2022</v>
      </c>
      <c r="I28" s="27" t="str">
        <f>VLOOKUP(H28,'6.2 - GDP deflators'!$A$17:$B$89,2,FALSE)</f>
        <v>2022/23</v>
      </c>
      <c r="J28" s="28" t="s">
        <v>390</v>
      </c>
      <c r="K28" s="25" t="s">
        <v>391</v>
      </c>
      <c r="L28" s="25">
        <v>2032</v>
      </c>
      <c r="M28" s="25" t="s">
        <v>392</v>
      </c>
      <c r="N28" s="26" t="e">
        <f t="shared" si="0"/>
        <v>#N/A</v>
      </c>
      <c r="O28" s="26" t="e">
        <f t="shared" si="1"/>
        <v>#N/A</v>
      </c>
      <c r="P28" s="26" t="e">
        <f t="shared" si="2"/>
        <v>#N/A</v>
      </c>
      <c r="Q28" s="29" t="str">
        <f t="shared" si="3"/>
        <v>£ / hh / year</v>
      </c>
      <c r="R28" s="49" t="s">
        <v>392</v>
      </c>
      <c r="S28" s="47"/>
    </row>
    <row r="29" spans="2:19" s="1" customFormat="1" x14ac:dyDescent="0.4">
      <c r="B29" s="24" t="s">
        <v>403</v>
      </c>
      <c r="C29" s="25" t="s">
        <v>409</v>
      </c>
      <c r="D29" s="26">
        <v>44.795310000000001</v>
      </c>
      <c r="E29" s="26">
        <v>30.1</v>
      </c>
      <c r="F29" s="26">
        <v>59.49</v>
      </c>
      <c r="G29" s="25" t="s">
        <v>389</v>
      </c>
      <c r="H29" s="27">
        <v>2022</v>
      </c>
      <c r="I29" s="27" t="str">
        <f>VLOOKUP(H29,'6.2 - GDP deflators'!$A$17:$B$89,2,FALSE)</f>
        <v>2022/23</v>
      </c>
      <c r="J29" s="28" t="s">
        <v>390</v>
      </c>
      <c r="K29" s="25" t="s">
        <v>391</v>
      </c>
      <c r="L29" s="25">
        <v>2032</v>
      </c>
      <c r="M29" s="25" t="s">
        <v>392</v>
      </c>
      <c r="N29" s="26" t="e">
        <f t="shared" si="0"/>
        <v>#N/A</v>
      </c>
      <c r="O29" s="26" t="e">
        <f t="shared" si="1"/>
        <v>#N/A</v>
      </c>
      <c r="P29" s="26" t="e">
        <f t="shared" si="2"/>
        <v>#N/A</v>
      </c>
      <c r="Q29" s="29" t="str">
        <f t="shared" si="3"/>
        <v>£ / hh / year</v>
      </c>
      <c r="R29" s="49" t="s">
        <v>392</v>
      </c>
      <c r="S29" s="47"/>
    </row>
    <row r="30" spans="2:19" s="1" customFormat="1" x14ac:dyDescent="0.4">
      <c r="B30" s="24" t="s">
        <v>403</v>
      </c>
      <c r="C30" s="25" t="s">
        <v>410</v>
      </c>
      <c r="D30" s="26">
        <v>28.624921000000001</v>
      </c>
      <c r="E30" s="26">
        <v>15.9</v>
      </c>
      <c r="F30" s="26">
        <v>41.35</v>
      </c>
      <c r="G30" s="25" t="s">
        <v>389</v>
      </c>
      <c r="H30" s="27">
        <v>2022</v>
      </c>
      <c r="I30" s="27" t="str">
        <f>VLOOKUP(H30,'6.2 - GDP deflators'!$A$17:$B$89,2,FALSE)</f>
        <v>2022/23</v>
      </c>
      <c r="J30" s="28" t="s">
        <v>390</v>
      </c>
      <c r="K30" s="25" t="s">
        <v>391</v>
      </c>
      <c r="L30" s="25">
        <v>2032</v>
      </c>
      <c r="M30" s="25" t="s">
        <v>392</v>
      </c>
      <c r="N30" s="26" t="e">
        <f t="shared" si="0"/>
        <v>#N/A</v>
      </c>
      <c r="O30" s="26" t="e">
        <f t="shared" si="1"/>
        <v>#N/A</v>
      </c>
      <c r="P30" s="26" t="e">
        <f t="shared" si="2"/>
        <v>#N/A</v>
      </c>
      <c r="Q30" s="29" t="str">
        <f t="shared" si="3"/>
        <v>£ / hh / year</v>
      </c>
      <c r="R30" s="49" t="s">
        <v>392</v>
      </c>
      <c r="S30" s="47"/>
    </row>
    <row r="31" spans="2:19" s="1" customFormat="1" x14ac:dyDescent="0.4">
      <c r="B31" s="24" t="s">
        <v>403</v>
      </c>
      <c r="C31" s="25" t="s">
        <v>411</v>
      </c>
      <c r="D31" s="26">
        <v>27.062750000000001</v>
      </c>
      <c r="E31" s="26">
        <v>14.32</v>
      </c>
      <c r="F31" s="26">
        <v>39.81</v>
      </c>
      <c r="G31" s="25" t="s">
        <v>389</v>
      </c>
      <c r="H31" s="27">
        <v>2022</v>
      </c>
      <c r="I31" s="27" t="str">
        <f>VLOOKUP(H31,'6.2 - GDP deflators'!$A$17:$B$89,2,FALSE)</f>
        <v>2022/23</v>
      </c>
      <c r="J31" s="28" t="s">
        <v>390</v>
      </c>
      <c r="K31" s="25" t="s">
        <v>391</v>
      </c>
      <c r="L31" s="25">
        <v>2032</v>
      </c>
      <c r="M31" s="25" t="s">
        <v>392</v>
      </c>
      <c r="N31" s="26" t="e">
        <f t="shared" si="0"/>
        <v>#N/A</v>
      </c>
      <c r="O31" s="26" t="e">
        <f t="shared" si="1"/>
        <v>#N/A</v>
      </c>
      <c r="P31" s="26" t="e">
        <f t="shared" si="2"/>
        <v>#N/A</v>
      </c>
      <c r="Q31" s="29" t="str">
        <f t="shared" si="3"/>
        <v>£ / hh / year</v>
      </c>
      <c r="R31" s="49" t="s">
        <v>392</v>
      </c>
      <c r="S31" s="47"/>
    </row>
    <row r="32" spans="2:19" s="1" customFormat="1" x14ac:dyDescent="0.4">
      <c r="B32" s="24" t="s">
        <v>403</v>
      </c>
      <c r="C32" s="25" t="s">
        <v>412</v>
      </c>
      <c r="D32" s="26">
        <v>0</v>
      </c>
      <c r="E32" s="26">
        <v>0</v>
      </c>
      <c r="F32" s="26">
        <v>0</v>
      </c>
      <c r="G32" s="25" t="s">
        <v>389</v>
      </c>
      <c r="H32" s="27">
        <v>2022</v>
      </c>
      <c r="I32" s="27" t="str">
        <f>VLOOKUP(H32,'6.2 - GDP deflators'!$A$17:$B$89,2,FALSE)</f>
        <v>2022/23</v>
      </c>
      <c r="J32" s="28" t="s">
        <v>390</v>
      </c>
      <c r="K32" s="25" t="s">
        <v>391</v>
      </c>
      <c r="L32" s="25">
        <v>2032</v>
      </c>
      <c r="M32" s="25" t="s">
        <v>392</v>
      </c>
      <c r="N32" s="26" t="e">
        <f t="shared" si="0"/>
        <v>#N/A</v>
      </c>
      <c r="O32" s="26" t="e">
        <f t="shared" si="1"/>
        <v>#N/A</v>
      </c>
      <c r="P32" s="26" t="e">
        <f t="shared" si="2"/>
        <v>#N/A</v>
      </c>
      <c r="Q32" s="29" t="str">
        <f t="shared" si="3"/>
        <v>£ / hh / year</v>
      </c>
      <c r="R32" s="50" t="s">
        <v>392</v>
      </c>
      <c r="S32" s="52"/>
    </row>
    <row r="33" spans="2:20" s="1" customFormat="1" x14ac:dyDescent="0.4">
      <c r="B33" s="44" t="s">
        <v>413</v>
      </c>
      <c r="C33" s="31" t="s">
        <v>414</v>
      </c>
      <c r="D33" s="702" t="s">
        <v>415</v>
      </c>
      <c r="E33" s="703"/>
      <c r="F33" s="703"/>
      <c r="G33" s="703"/>
      <c r="H33" s="703"/>
      <c r="I33" s="703"/>
      <c r="J33" s="703"/>
      <c r="K33" s="703"/>
      <c r="L33" s="703"/>
      <c r="M33" s="703"/>
      <c r="N33" s="703"/>
      <c r="O33" s="703"/>
      <c r="P33" s="703"/>
      <c r="Q33" s="704"/>
      <c r="R33" s="54" t="s">
        <v>392</v>
      </c>
      <c r="S33" s="55"/>
    </row>
    <row r="34" spans="2:20" s="1" customFormat="1" x14ac:dyDescent="0.4">
      <c r="B34" s="30" t="s">
        <v>413</v>
      </c>
      <c r="C34" s="31" t="s">
        <v>416</v>
      </c>
      <c r="D34" s="696" t="s">
        <v>417</v>
      </c>
      <c r="E34" s="697"/>
      <c r="F34" s="697"/>
      <c r="G34" s="697"/>
      <c r="H34" s="697"/>
      <c r="I34" s="697"/>
      <c r="J34" s="697"/>
      <c r="K34" s="697"/>
      <c r="L34" s="697"/>
      <c r="M34" s="697"/>
      <c r="N34" s="697"/>
      <c r="O34" s="697"/>
      <c r="P34" s="697"/>
      <c r="Q34" s="698"/>
      <c r="R34" s="54" t="s">
        <v>392</v>
      </c>
      <c r="S34" s="55"/>
    </row>
    <row r="35" spans="2:20" s="1" customFormat="1" x14ac:dyDescent="0.4">
      <c r="B35" s="30" t="s">
        <v>387</v>
      </c>
      <c r="C35" s="31" t="s">
        <v>418</v>
      </c>
      <c r="D35" s="702" t="s">
        <v>419</v>
      </c>
      <c r="E35" s="703"/>
      <c r="F35" s="703"/>
      <c r="G35" s="703"/>
      <c r="H35" s="703"/>
      <c r="I35" s="703"/>
      <c r="J35" s="703"/>
      <c r="K35" s="703"/>
      <c r="L35" s="703"/>
      <c r="M35" s="703"/>
      <c r="N35" s="703"/>
      <c r="O35" s="703"/>
      <c r="P35" s="703"/>
      <c r="Q35" s="704"/>
      <c r="R35" s="54" t="s">
        <v>392</v>
      </c>
      <c r="S35" s="55"/>
    </row>
    <row r="36" spans="2:20" s="1" customFormat="1" x14ac:dyDescent="0.4">
      <c r="B36" s="30" t="s">
        <v>413</v>
      </c>
      <c r="C36" s="31" t="s">
        <v>420</v>
      </c>
      <c r="D36" s="696" t="s">
        <v>421</v>
      </c>
      <c r="E36" s="697"/>
      <c r="F36" s="697"/>
      <c r="G36" s="697"/>
      <c r="H36" s="697"/>
      <c r="I36" s="697"/>
      <c r="J36" s="697"/>
      <c r="K36" s="697"/>
      <c r="L36" s="697"/>
      <c r="M36" s="697"/>
      <c r="N36" s="697"/>
      <c r="O36" s="697"/>
      <c r="P36" s="697"/>
      <c r="Q36" s="698"/>
      <c r="R36" s="54" t="s">
        <v>392</v>
      </c>
      <c r="S36" s="55"/>
    </row>
    <row r="37" spans="2:20" ht="15" x14ac:dyDescent="0.4">
      <c r="B37" s="1"/>
      <c r="C37" s="1"/>
      <c r="D37" s="1"/>
      <c r="E37" s="1"/>
      <c r="F37" s="1"/>
      <c r="G37" s="1"/>
      <c r="H37" s="1"/>
      <c r="I37" s="1"/>
      <c r="J37" s="1"/>
      <c r="K37" s="1"/>
      <c r="L37" s="1"/>
      <c r="M37" s="1"/>
      <c r="N37" s="1"/>
      <c r="O37" s="1"/>
      <c r="P37" s="1"/>
      <c r="Q37" s="1"/>
      <c r="R37" s="1"/>
      <c r="S37" s="1"/>
      <c r="T37" s="1"/>
    </row>
    <row r="38" spans="2:20" ht="15" hidden="1" x14ac:dyDescent="0.4">
      <c r="B38" s="1"/>
      <c r="C38" s="1"/>
      <c r="D38" s="1"/>
      <c r="E38" s="1"/>
      <c r="F38" s="1"/>
      <c r="G38" s="1"/>
      <c r="H38" s="1"/>
      <c r="I38" s="1"/>
      <c r="J38" s="1"/>
      <c r="K38" s="1"/>
      <c r="L38" s="1"/>
      <c r="M38" s="1"/>
      <c r="N38" s="1"/>
      <c r="O38" s="1"/>
      <c r="P38" s="1"/>
      <c r="Q38" s="1"/>
      <c r="R38" s="1"/>
      <c r="S38" s="1"/>
      <c r="T38" s="1"/>
    </row>
    <row r="39" spans="2:20" ht="15" hidden="1" x14ac:dyDescent="0.4">
      <c r="B39" s="1"/>
      <c r="C39" s="1"/>
      <c r="D39" s="1"/>
      <c r="E39" s="1"/>
      <c r="F39" s="1"/>
      <c r="G39" s="1"/>
      <c r="H39" s="1"/>
      <c r="I39" s="1"/>
      <c r="J39" s="1"/>
      <c r="K39" s="1"/>
      <c r="L39" s="1"/>
      <c r="M39" s="1"/>
      <c r="N39" s="1"/>
      <c r="O39" s="1"/>
      <c r="P39" s="1"/>
      <c r="Q39" s="1"/>
      <c r="R39" s="1"/>
      <c r="S39" s="1"/>
      <c r="T39" s="1"/>
    </row>
    <row r="40" spans="2:20" x14ac:dyDescent="0.35"/>
    <row r="41" spans="2:20" x14ac:dyDescent="0.35"/>
    <row r="42" spans="2:20" x14ac:dyDescent="0.35"/>
    <row r="43" spans="2:20" x14ac:dyDescent="0.35"/>
    <row r="44" spans="2:20" x14ac:dyDescent="0.35"/>
    <row r="45" spans="2:20" x14ac:dyDescent="0.35"/>
    <row r="46" spans="2:20" x14ac:dyDescent="0.35"/>
    <row r="48" spans="2:20" x14ac:dyDescent="0.35"/>
    <row r="49" x14ac:dyDescent="0.35"/>
    <row r="50"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sheetData>
  <sheetProtection algorithmName="SHA-512" hashValue="gZkMZCMDQOHLdzHO1jRvmc44suEb+/+wZ+u2ZmihVF95LVUawX6Rf0oR1KXxVHEh8PWpNh19hO2iZVpp+Jj5eA==" saltValue="kx3NtoLFtOzWXoYXJi/I/g==" spinCount="100000" sheet="1" formatRows="0"/>
  <mergeCells count="10">
    <mergeCell ref="R12:S12"/>
    <mergeCell ref="J2:Q2"/>
    <mergeCell ref="D12:G12"/>
    <mergeCell ref="M12:Q12"/>
    <mergeCell ref="D33:Q33"/>
    <mergeCell ref="D34:Q34"/>
    <mergeCell ref="D36:Q36"/>
    <mergeCell ref="H12:L12"/>
    <mergeCell ref="D35:Q35"/>
    <mergeCell ref="D2:F2"/>
  </mergeCells>
  <phoneticPr fontId="10" type="noConversion"/>
  <hyperlinks>
    <hyperlink ref="D2" location="Welcome!A1" display="CLICK to return to Welcome screen" xr:uid="{6974B5A1-CA12-4EA8-A981-91EFDE5CE2AF}"/>
  </hyperlinks>
  <pageMargins left="0.7" right="0.7" top="0.75" bottom="0.75" header="0.3" footer="0.3"/>
  <pageSetup paperSize="9" orientation="portrait" horizontalDpi="4294967295" verticalDpi="4294967295" r:id="rId1"/>
  <headerFooter>
    <oddFooter xml:space="preserve">&amp;C_x000D_&amp;1#&amp;"Calibri"&amp;12&amp;K0078D7 OFFICIAL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41A4-67B9-45F8-927C-1EA9D3A6A18C}">
  <sheetPr codeName="Sheet22">
    <tabColor theme="9"/>
    <pageSetUpPr fitToPage="1"/>
  </sheetPr>
  <dimension ref="A1:DA117"/>
  <sheetViews>
    <sheetView showGridLines="0" topLeftCell="A5" workbookViewId="0">
      <selection activeCell="N101" sqref="N101"/>
    </sheetView>
  </sheetViews>
  <sheetFormatPr defaultColWidth="8.81640625" defaultRowHeight="13" x14ac:dyDescent="0.3"/>
  <cols>
    <col min="1" max="1" width="14" style="292" customWidth="1"/>
    <col min="2" max="2" width="17.1796875" style="292" customWidth="1"/>
    <col min="3" max="3" width="20.54296875" style="293" customWidth="1"/>
    <col min="4" max="4" width="12.453125" style="294" customWidth="1"/>
    <col min="5" max="5" width="18.1796875" style="295" customWidth="1"/>
    <col min="6" max="6" width="16.81640625" style="295" customWidth="1"/>
    <col min="7" max="7" width="2.1796875" style="292" customWidth="1"/>
    <col min="8" max="8" width="16.81640625" style="287" customWidth="1"/>
    <col min="9" max="9" width="18.1796875" style="296" customWidth="1"/>
    <col min="10" max="10" width="17.54296875" style="297" customWidth="1"/>
    <col min="11" max="11" width="17.54296875" style="298" customWidth="1"/>
    <col min="12" max="16384" width="8.81640625" style="292"/>
  </cols>
  <sheetData>
    <row r="1" spans="1:105" s="287" customFormat="1" ht="7.5" customHeight="1" x14ac:dyDescent="0.7">
      <c r="A1" s="285"/>
      <c r="B1" s="286"/>
      <c r="C1" s="285"/>
      <c r="D1" s="285"/>
      <c r="E1" s="285"/>
      <c r="F1" s="285"/>
      <c r="G1" s="285"/>
      <c r="H1" s="285"/>
      <c r="I1" s="285"/>
      <c r="J1" s="285"/>
      <c r="K1" s="285"/>
      <c r="L1" s="285"/>
    </row>
    <row r="2" spans="1:105" s="106" customFormat="1" ht="18.5" x14ac:dyDescent="0.45">
      <c r="A2" s="288"/>
      <c r="B2" s="289" t="s">
        <v>362</v>
      </c>
      <c r="C2" s="289"/>
      <c r="D2" s="289"/>
      <c r="E2" s="288"/>
      <c r="F2" s="288"/>
      <c r="G2" s="288"/>
      <c r="H2" s="288"/>
      <c r="I2" s="705" t="s">
        <v>59</v>
      </c>
      <c r="J2" s="705"/>
      <c r="K2" s="705"/>
      <c r="L2" s="705"/>
      <c r="M2" s="705"/>
      <c r="N2" s="705"/>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row>
    <row r="3" spans="1:105" s="78" customFormat="1" ht="3" customHeight="1" x14ac:dyDescent="0.3">
      <c r="B3" s="79"/>
      <c r="C3" s="79"/>
      <c r="D3" s="79"/>
    </row>
    <row r="4" spans="1:105" s="106" customFormat="1" x14ac:dyDescent="0.3">
      <c r="A4" s="290"/>
      <c r="B4" s="291" t="s">
        <v>422</v>
      </c>
      <c r="C4" s="291"/>
      <c r="D4" s="291"/>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row>
    <row r="5" spans="1:105" s="106" customFormat="1" ht="25.5" customHeight="1" x14ac:dyDescent="0.3">
      <c r="B5" s="712" t="s">
        <v>423</v>
      </c>
      <c r="C5" s="712"/>
      <c r="D5" s="712"/>
      <c r="E5" s="712"/>
      <c r="F5" s="712"/>
      <c r="G5" s="712"/>
      <c r="H5" s="712"/>
      <c r="I5" s="712"/>
      <c r="J5" s="712"/>
      <c r="K5" s="712"/>
      <c r="L5" s="712"/>
    </row>
    <row r="6" spans="1:105" s="106" customFormat="1" x14ac:dyDescent="0.3">
      <c r="B6" s="202"/>
      <c r="C6" s="202"/>
      <c r="D6" s="202"/>
    </row>
    <row r="7" spans="1:105" x14ac:dyDescent="0.3">
      <c r="B7" s="292" t="s">
        <v>424</v>
      </c>
    </row>
    <row r="8" spans="1:105" ht="15.5" x14ac:dyDescent="0.35">
      <c r="A8" s="299"/>
      <c r="B8" s="300" t="s">
        <v>425</v>
      </c>
      <c r="C8" s="292"/>
      <c r="D8" s="301"/>
      <c r="E8" s="301"/>
      <c r="F8" s="301"/>
      <c r="G8" s="302"/>
      <c r="H8" s="302"/>
      <c r="I8" s="302"/>
      <c r="J8" s="302"/>
      <c r="K8" s="302"/>
      <c r="L8" s="299"/>
    </row>
    <row r="9" spans="1:105" ht="15.5" x14ac:dyDescent="0.35">
      <c r="A9" s="299"/>
      <c r="B9" s="303"/>
      <c r="C9" s="292"/>
      <c r="D9" s="301"/>
      <c r="E9" s="301"/>
      <c r="F9" s="301"/>
      <c r="G9" s="302"/>
      <c r="H9" s="302"/>
      <c r="I9" s="302"/>
      <c r="J9" s="302"/>
      <c r="K9" s="302"/>
      <c r="L9" s="299"/>
    </row>
    <row r="10" spans="1:105" s="287" customFormat="1" ht="15.5" x14ac:dyDescent="0.35">
      <c r="B10" s="304" t="s">
        <v>426</v>
      </c>
      <c r="C10" s="305"/>
      <c r="D10" s="306"/>
      <c r="E10" s="307"/>
      <c r="F10" s="307"/>
      <c r="G10" s="308"/>
      <c r="H10" s="308"/>
      <c r="I10" s="309"/>
      <c r="J10" s="310"/>
      <c r="K10" s="311"/>
      <c r="L10" s="308"/>
    </row>
    <row r="11" spans="1:105" s="312" customFormat="1" ht="17.149999999999999" customHeight="1" x14ac:dyDescent="0.35">
      <c r="A11" s="287"/>
      <c r="B11" s="304"/>
      <c r="C11" s="305"/>
      <c r="D11" s="306"/>
      <c r="E11" s="307"/>
      <c r="F11" s="307"/>
      <c r="G11" s="308"/>
      <c r="H11" s="308"/>
      <c r="I11" s="309"/>
      <c r="J11" s="310"/>
      <c r="K11" s="311"/>
      <c r="L11" s="308"/>
    </row>
    <row r="12" spans="1:105" s="312" customFormat="1" ht="15" customHeight="1" x14ac:dyDescent="0.35">
      <c r="A12" s="292"/>
      <c r="B12" s="710" t="s">
        <v>427</v>
      </c>
      <c r="C12" s="710"/>
      <c r="D12" s="710"/>
      <c r="E12" s="710"/>
      <c r="F12" s="710"/>
      <c r="G12" s="710"/>
      <c r="H12" s="710"/>
      <c r="I12" s="710"/>
      <c r="J12" s="710"/>
      <c r="K12" s="710"/>
      <c r="L12" s="299"/>
      <c r="M12" s="313"/>
    </row>
    <row r="13" spans="1:105" s="312" customFormat="1" ht="15.5" x14ac:dyDescent="0.35">
      <c r="A13" s="292"/>
      <c r="B13" s="711" t="s">
        <v>428</v>
      </c>
      <c r="C13" s="711"/>
      <c r="D13" s="711"/>
      <c r="E13" s="711"/>
      <c r="F13" s="711"/>
      <c r="G13" s="711"/>
      <c r="H13" s="711"/>
      <c r="I13" s="711"/>
      <c r="J13" s="711"/>
      <c r="K13" s="711"/>
      <c r="L13" s="299"/>
      <c r="M13" s="313"/>
    </row>
    <row r="14" spans="1:105" s="312" customFormat="1" ht="19.75" customHeight="1" x14ac:dyDescent="0.35">
      <c r="A14" s="292"/>
      <c r="B14" s="713" t="s">
        <v>316</v>
      </c>
      <c r="C14" s="714"/>
      <c r="D14" s="714"/>
      <c r="E14" s="714"/>
      <c r="F14" s="715"/>
      <c r="G14" s="314"/>
      <c r="H14" s="716" t="s">
        <v>429</v>
      </c>
      <c r="I14" s="717"/>
      <c r="J14" s="717"/>
      <c r="K14" s="718"/>
      <c r="L14" s="299"/>
      <c r="M14" s="313"/>
    </row>
    <row r="15" spans="1:105" s="312" customFormat="1" ht="15.5" x14ac:dyDescent="0.35">
      <c r="A15" s="287"/>
      <c r="B15" s="315"/>
      <c r="C15" s="719" t="s">
        <v>430</v>
      </c>
      <c r="D15" s="720"/>
      <c r="E15" s="608" t="s">
        <v>431</v>
      </c>
      <c r="F15" s="608"/>
      <c r="G15" s="316"/>
      <c r="H15" s="317"/>
      <c r="I15" s="719" t="s">
        <v>430</v>
      </c>
      <c r="J15" s="720"/>
      <c r="K15" s="609" t="s">
        <v>432</v>
      </c>
      <c r="L15" s="308"/>
      <c r="M15" s="313"/>
    </row>
    <row r="16" spans="1:105" s="312" customFormat="1" ht="39" x14ac:dyDescent="0.35">
      <c r="A16" s="318" t="s">
        <v>433</v>
      </c>
      <c r="B16" s="610" t="s">
        <v>316</v>
      </c>
      <c r="C16" s="611" t="s">
        <v>434</v>
      </c>
      <c r="D16" s="410" t="s">
        <v>435</v>
      </c>
      <c r="E16" s="320" t="s">
        <v>436</v>
      </c>
      <c r="F16" s="320" t="s">
        <v>437</v>
      </c>
      <c r="G16" s="321"/>
      <c r="H16" s="318" t="s">
        <v>429</v>
      </c>
      <c r="I16" s="612" t="s">
        <v>438</v>
      </c>
      <c r="J16" s="319" t="s">
        <v>439</v>
      </c>
      <c r="K16" s="320" t="s">
        <v>440</v>
      </c>
      <c r="L16" s="322"/>
      <c r="M16" s="313"/>
    </row>
    <row r="17" spans="1:13" s="312" customFormat="1" ht="15.5" x14ac:dyDescent="0.3">
      <c r="A17" s="417">
        <v>1955</v>
      </c>
      <c r="B17" s="407" t="s">
        <v>441</v>
      </c>
      <c r="C17" s="613">
        <v>3.5207000000000002</v>
      </c>
      <c r="D17" s="411"/>
      <c r="E17" s="413">
        <v>19574</v>
      </c>
      <c r="F17" s="413">
        <v>19589</v>
      </c>
      <c r="G17" s="313"/>
      <c r="H17" s="417">
        <v>1955</v>
      </c>
      <c r="I17" s="613">
        <v>3.5354999999999999</v>
      </c>
      <c r="J17" s="411"/>
      <c r="K17" s="413">
        <v>19169</v>
      </c>
      <c r="L17" s="323"/>
      <c r="M17" s="313"/>
    </row>
    <row r="18" spans="1:13" s="312" customFormat="1" ht="15.5" x14ac:dyDescent="0.3">
      <c r="A18" s="417">
        <v>1956</v>
      </c>
      <c r="B18" s="407" t="s">
        <v>442</v>
      </c>
      <c r="C18" s="613">
        <v>3.7393000000000001</v>
      </c>
      <c r="D18" s="411">
        <v>6.2089925298946209</v>
      </c>
      <c r="E18" s="413">
        <v>21162</v>
      </c>
      <c r="F18" s="413">
        <v>21138</v>
      </c>
      <c r="G18" s="313"/>
      <c r="H18" s="417">
        <v>1956</v>
      </c>
      <c r="I18" s="613">
        <v>3.7808000000000002</v>
      </c>
      <c r="J18" s="411">
        <v>6.9381982746429163</v>
      </c>
      <c r="K18" s="413">
        <v>20844</v>
      </c>
      <c r="L18" s="323"/>
      <c r="M18" s="313"/>
    </row>
    <row r="19" spans="1:13" s="312" customFormat="1" ht="15.5" x14ac:dyDescent="0.3">
      <c r="A19" s="417">
        <v>1957</v>
      </c>
      <c r="B19" s="407" t="s">
        <v>443</v>
      </c>
      <c r="C19" s="613">
        <v>3.9116</v>
      </c>
      <c r="D19" s="411">
        <v>4.6078142967935145</v>
      </c>
      <c r="E19" s="413">
        <v>22509</v>
      </c>
      <c r="F19" s="413">
        <v>22524</v>
      </c>
      <c r="G19" s="313"/>
      <c r="H19" s="417">
        <v>1957</v>
      </c>
      <c r="I19" s="613">
        <v>3.9323000000000001</v>
      </c>
      <c r="J19" s="411">
        <v>4.0070884468895462</v>
      </c>
      <c r="K19" s="413">
        <v>22104</v>
      </c>
      <c r="L19" s="323"/>
      <c r="M19" s="313"/>
    </row>
    <row r="20" spans="1:13" s="312" customFormat="1" ht="15.5" x14ac:dyDescent="0.3">
      <c r="A20" s="417">
        <v>1958</v>
      </c>
      <c r="B20" s="407" t="s">
        <v>444</v>
      </c>
      <c r="C20" s="613">
        <v>4.0065</v>
      </c>
      <c r="D20" s="411">
        <v>2.4261171898967171</v>
      </c>
      <c r="E20" s="413">
        <v>23335</v>
      </c>
      <c r="F20" s="413">
        <v>23305</v>
      </c>
      <c r="G20" s="313"/>
      <c r="H20" s="417">
        <v>1958</v>
      </c>
      <c r="I20" s="613">
        <v>4.0758999999999999</v>
      </c>
      <c r="J20" s="411">
        <v>3.6518068306080345</v>
      </c>
      <c r="K20" s="413">
        <v>23220</v>
      </c>
      <c r="L20" s="323"/>
      <c r="M20" s="313"/>
    </row>
    <row r="21" spans="1:13" ht="16" customHeight="1" x14ac:dyDescent="0.3">
      <c r="A21" s="417">
        <v>1959</v>
      </c>
      <c r="B21" s="407" t="s">
        <v>445</v>
      </c>
      <c r="C21" s="613">
        <v>4.0273000000000003</v>
      </c>
      <c r="D21" s="411">
        <v>0.51915637089730116</v>
      </c>
      <c r="E21" s="413">
        <v>24873</v>
      </c>
      <c r="F21" s="413">
        <v>24928</v>
      </c>
      <c r="G21" s="313"/>
      <c r="H21" s="417">
        <v>1959</v>
      </c>
      <c r="I21" s="613">
        <v>4.1054000000000004</v>
      </c>
      <c r="J21" s="411">
        <v>0.72376653009152647</v>
      </c>
      <c r="K21" s="413">
        <v>24388</v>
      </c>
      <c r="L21" s="323"/>
      <c r="M21" s="313"/>
    </row>
    <row r="22" spans="1:13" ht="15.5" x14ac:dyDescent="0.3">
      <c r="A22" s="417">
        <v>1960</v>
      </c>
      <c r="B22" s="407" t="s">
        <v>446</v>
      </c>
      <c r="C22" s="613">
        <v>4.1078999999999999</v>
      </c>
      <c r="D22" s="411">
        <v>2.0013408487075597</v>
      </c>
      <c r="E22" s="413">
        <v>26639</v>
      </c>
      <c r="F22" s="413">
        <v>26657</v>
      </c>
      <c r="G22" s="313"/>
      <c r="H22" s="417">
        <v>1960</v>
      </c>
      <c r="I22" s="613">
        <v>4.1482000000000001</v>
      </c>
      <c r="J22" s="411">
        <v>1.0425293515857097</v>
      </c>
      <c r="K22" s="413">
        <v>26201</v>
      </c>
      <c r="L22" s="323"/>
      <c r="M22" s="313"/>
    </row>
    <row r="23" spans="1:13" ht="15.5" x14ac:dyDescent="0.3">
      <c r="A23" s="417">
        <v>1961</v>
      </c>
      <c r="B23" s="407" t="s">
        <v>447</v>
      </c>
      <c r="C23" s="613">
        <v>4.2587999999999999</v>
      </c>
      <c r="D23" s="411">
        <v>3.6734097714160532</v>
      </c>
      <c r="E23" s="413">
        <v>28141</v>
      </c>
      <c r="F23" s="413">
        <v>28169</v>
      </c>
      <c r="G23" s="313"/>
      <c r="H23" s="417">
        <v>1961</v>
      </c>
      <c r="I23" s="613">
        <v>4.3055000000000003</v>
      </c>
      <c r="J23" s="411">
        <v>3.792006171351435</v>
      </c>
      <c r="K23" s="413">
        <v>27918</v>
      </c>
      <c r="L23" s="323"/>
      <c r="M23" s="313"/>
    </row>
    <row r="24" spans="1:13" ht="15.5" x14ac:dyDescent="0.3">
      <c r="A24" s="417">
        <v>1962</v>
      </c>
      <c r="B24" s="407" t="s">
        <v>448</v>
      </c>
      <c r="C24" s="613">
        <v>4.3914999999999997</v>
      </c>
      <c r="D24" s="411">
        <v>3.1159011928242655</v>
      </c>
      <c r="E24" s="413">
        <v>29450</v>
      </c>
      <c r="F24" s="413">
        <v>29468</v>
      </c>
      <c r="G24" s="313"/>
      <c r="H24" s="417">
        <v>1962</v>
      </c>
      <c r="I24" s="613">
        <v>4.4603999999999999</v>
      </c>
      <c r="J24" s="411">
        <v>3.5977238415979462</v>
      </c>
      <c r="K24" s="413">
        <v>29235</v>
      </c>
      <c r="L24" s="323"/>
      <c r="M24" s="313"/>
    </row>
    <row r="25" spans="1:13" ht="15.5" x14ac:dyDescent="0.3">
      <c r="A25" s="417">
        <v>1963</v>
      </c>
      <c r="B25" s="407" t="s">
        <v>449</v>
      </c>
      <c r="C25" s="613">
        <v>4.4653</v>
      </c>
      <c r="D25" s="411">
        <v>1.6805191847888039</v>
      </c>
      <c r="E25" s="413">
        <v>31921</v>
      </c>
      <c r="F25" s="413">
        <v>31876</v>
      </c>
      <c r="G25" s="313"/>
      <c r="H25" s="417">
        <v>1963</v>
      </c>
      <c r="I25" s="613">
        <v>4.5254000000000003</v>
      </c>
      <c r="J25" s="411">
        <v>1.4572684064209576</v>
      </c>
      <c r="K25" s="413">
        <v>31099</v>
      </c>
      <c r="L25" s="323"/>
      <c r="M25" s="313"/>
    </row>
    <row r="26" spans="1:13" ht="15.5" x14ac:dyDescent="0.3">
      <c r="A26" s="417">
        <v>1964</v>
      </c>
      <c r="B26" s="407" t="s">
        <v>450</v>
      </c>
      <c r="C26" s="614">
        <v>4.6757</v>
      </c>
      <c r="D26" s="411">
        <v>4.7118894587149782</v>
      </c>
      <c r="E26" s="414">
        <v>34855</v>
      </c>
      <c r="F26" s="414">
        <v>34924</v>
      </c>
      <c r="G26" s="313"/>
      <c r="H26" s="417">
        <v>1964</v>
      </c>
      <c r="I26" s="614">
        <v>4.6871999999999998</v>
      </c>
      <c r="J26" s="412">
        <v>3.5753745525257319</v>
      </c>
      <c r="K26" s="414">
        <v>34047</v>
      </c>
      <c r="L26" s="323"/>
      <c r="M26" s="313"/>
    </row>
    <row r="27" spans="1:13" ht="15.5" x14ac:dyDescent="0.3">
      <c r="A27" s="417">
        <v>1965</v>
      </c>
      <c r="B27" s="407" t="s">
        <v>451</v>
      </c>
      <c r="C27" s="615">
        <v>4.9272999999999998</v>
      </c>
      <c r="D27" s="411">
        <v>5.3810124687212575</v>
      </c>
      <c r="E27" s="415">
        <v>37461</v>
      </c>
      <c r="F27" s="415">
        <v>37415</v>
      </c>
      <c r="G27" s="313"/>
      <c r="H27" s="417">
        <v>1965</v>
      </c>
      <c r="I27" s="614">
        <v>4.9657999999999998</v>
      </c>
      <c r="J27" s="412">
        <v>5.94384707287933</v>
      </c>
      <c r="K27" s="414">
        <v>36828</v>
      </c>
      <c r="L27" s="323"/>
      <c r="M27" s="313"/>
    </row>
    <row r="28" spans="1:13" ht="15.5" x14ac:dyDescent="0.3">
      <c r="A28" s="417">
        <v>1966</v>
      </c>
      <c r="B28" s="407" t="s">
        <v>452</v>
      </c>
      <c r="C28" s="615">
        <v>5.1779999999999999</v>
      </c>
      <c r="D28" s="411">
        <v>5.0879792178272103</v>
      </c>
      <c r="E28" s="415">
        <v>39949</v>
      </c>
      <c r="F28" s="415">
        <v>39946</v>
      </c>
      <c r="G28" s="313"/>
      <c r="H28" s="417">
        <v>1966</v>
      </c>
      <c r="I28" s="614">
        <v>5.2306999999999997</v>
      </c>
      <c r="J28" s="412">
        <v>5.3344878972169631</v>
      </c>
      <c r="K28" s="414">
        <v>39394</v>
      </c>
      <c r="L28" s="323"/>
      <c r="M28" s="313"/>
    </row>
    <row r="29" spans="1:13" ht="15.5" x14ac:dyDescent="0.3">
      <c r="A29" s="417">
        <v>1967</v>
      </c>
      <c r="B29" s="407" t="s">
        <v>453</v>
      </c>
      <c r="C29" s="615">
        <v>5.3196000000000003</v>
      </c>
      <c r="D29" s="411">
        <v>2.7346465816917807</v>
      </c>
      <c r="E29" s="415">
        <v>42504</v>
      </c>
      <c r="F29" s="415">
        <v>42612</v>
      </c>
      <c r="G29" s="313"/>
      <c r="H29" s="417">
        <v>1967</v>
      </c>
      <c r="I29" s="614">
        <v>5.3848000000000003</v>
      </c>
      <c r="J29" s="412">
        <v>2.9460684038465326</v>
      </c>
      <c r="K29" s="414">
        <v>41673</v>
      </c>
      <c r="L29" s="323"/>
      <c r="M29" s="313"/>
    </row>
    <row r="30" spans="1:13" ht="15.5" x14ac:dyDescent="0.3">
      <c r="A30" s="417">
        <v>1968</v>
      </c>
      <c r="B30" s="407" t="s">
        <v>454</v>
      </c>
      <c r="C30" s="615">
        <v>5.5979000000000001</v>
      </c>
      <c r="D30" s="411">
        <v>5.2315963606286138</v>
      </c>
      <c r="E30" s="415">
        <v>46763</v>
      </c>
      <c r="F30" s="415">
        <v>46784</v>
      </c>
      <c r="G30" s="313"/>
      <c r="H30" s="417">
        <v>1968</v>
      </c>
      <c r="I30" s="614">
        <v>5.6109</v>
      </c>
      <c r="J30" s="412">
        <v>4.1988560392215071</v>
      </c>
      <c r="K30" s="414">
        <v>45795</v>
      </c>
      <c r="L30" s="323"/>
      <c r="M30" s="313"/>
    </row>
    <row r="31" spans="1:13" ht="15.5" x14ac:dyDescent="0.3">
      <c r="A31" s="417">
        <v>1969</v>
      </c>
      <c r="B31" s="407" t="s">
        <v>455</v>
      </c>
      <c r="C31" s="615">
        <v>5.9847000000000001</v>
      </c>
      <c r="D31" s="411">
        <v>6.909734007395631</v>
      </c>
      <c r="E31" s="415">
        <v>50843</v>
      </c>
      <c r="F31" s="415">
        <v>50895</v>
      </c>
      <c r="G31" s="313"/>
      <c r="H31" s="417">
        <v>1969</v>
      </c>
      <c r="I31" s="614">
        <v>5.9827000000000004</v>
      </c>
      <c r="J31" s="412">
        <v>6.626387923506039</v>
      </c>
      <c r="K31" s="414">
        <v>49761</v>
      </c>
      <c r="L31" s="323"/>
      <c r="M31" s="313"/>
    </row>
    <row r="32" spans="1:13" ht="15.5" x14ac:dyDescent="0.3">
      <c r="A32" s="417">
        <v>1970</v>
      </c>
      <c r="B32" s="407" t="s">
        <v>456</v>
      </c>
      <c r="C32" s="615">
        <v>6.5754000000000001</v>
      </c>
      <c r="D32" s="411">
        <v>9.8701689307734721</v>
      </c>
      <c r="E32" s="415">
        <v>57723</v>
      </c>
      <c r="F32" s="415">
        <v>57807</v>
      </c>
      <c r="G32" s="313"/>
      <c r="H32" s="417">
        <v>1970</v>
      </c>
      <c r="I32" s="614">
        <v>6.5586000000000002</v>
      </c>
      <c r="J32" s="412">
        <v>9.6260885553345439</v>
      </c>
      <c r="K32" s="414">
        <v>56041</v>
      </c>
      <c r="L32" s="323"/>
      <c r="M32" s="313"/>
    </row>
    <row r="33" spans="1:13" ht="15.5" x14ac:dyDescent="0.3">
      <c r="A33" s="417">
        <v>1971</v>
      </c>
      <c r="B33" s="407" t="s">
        <v>457</v>
      </c>
      <c r="C33" s="615">
        <v>7.0726000000000004</v>
      </c>
      <c r="D33" s="411">
        <v>7.5615171700581003</v>
      </c>
      <c r="E33" s="415">
        <v>64575</v>
      </c>
      <c r="F33" s="415">
        <v>64483</v>
      </c>
      <c r="G33" s="313"/>
      <c r="H33" s="417">
        <v>1971</v>
      </c>
      <c r="I33" s="614">
        <v>7.1017000000000001</v>
      </c>
      <c r="J33" s="412">
        <v>8.2807306437349411</v>
      </c>
      <c r="K33" s="414">
        <v>62870</v>
      </c>
      <c r="L33" s="323"/>
      <c r="M33" s="313"/>
    </row>
    <row r="34" spans="1:13" ht="15.5" x14ac:dyDescent="0.3">
      <c r="A34" s="417">
        <v>1972</v>
      </c>
      <c r="B34" s="407" t="s">
        <v>458</v>
      </c>
      <c r="C34" s="615">
        <v>7.6741999999999999</v>
      </c>
      <c r="D34" s="411">
        <v>8.5060656618499486</v>
      </c>
      <c r="E34" s="415">
        <v>73925</v>
      </c>
      <c r="F34" s="415">
        <v>74025</v>
      </c>
      <c r="G34" s="313"/>
      <c r="H34" s="417">
        <v>1972</v>
      </c>
      <c r="I34" s="614">
        <v>7.6379999999999999</v>
      </c>
      <c r="J34" s="412">
        <v>7.5517129701339085</v>
      </c>
      <c r="K34" s="414">
        <v>70578</v>
      </c>
      <c r="L34" s="323"/>
      <c r="M34" s="313"/>
    </row>
    <row r="35" spans="1:13" ht="15.5" x14ac:dyDescent="0.3">
      <c r="A35" s="417">
        <v>1973</v>
      </c>
      <c r="B35" s="407" t="s">
        <v>459</v>
      </c>
      <c r="C35" s="615">
        <v>8.3483000000000001</v>
      </c>
      <c r="D35" s="411">
        <v>8.7839774829949722</v>
      </c>
      <c r="E35" s="415">
        <v>82855</v>
      </c>
      <c r="F35" s="415">
        <v>82879</v>
      </c>
      <c r="G35" s="313"/>
      <c r="H35" s="417">
        <v>1973</v>
      </c>
      <c r="I35" s="614">
        <v>8.3162000000000003</v>
      </c>
      <c r="J35" s="412">
        <v>8.8792877716679808</v>
      </c>
      <c r="K35" s="414">
        <v>81793</v>
      </c>
      <c r="L35" s="323"/>
      <c r="M35" s="313"/>
    </row>
    <row r="36" spans="1:13" ht="15.5" x14ac:dyDescent="0.3">
      <c r="A36" s="417">
        <v>1974</v>
      </c>
      <c r="B36" s="407" t="s">
        <v>460</v>
      </c>
      <c r="C36" s="615">
        <v>10.045</v>
      </c>
      <c r="D36" s="411">
        <v>20.32389827869147</v>
      </c>
      <c r="E36" s="415">
        <v>98182</v>
      </c>
      <c r="F36" s="415">
        <v>98355</v>
      </c>
      <c r="G36" s="313"/>
      <c r="H36" s="417">
        <v>1974</v>
      </c>
      <c r="I36" s="614">
        <v>9.6605000000000008</v>
      </c>
      <c r="J36" s="412">
        <v>16.164834900555547</v>
      </c>
      <c r="K36" s="414">
        <v>92673</v>
      </c>
      <c r="L36" s="323"/>
      <c r="M36" s="313"/>
    </row>
    <row r="37" spans="1:13" ht="15.5" x14ac:dyDescent="0.3">
      <c r="A37" s="417">
        <v>1975</v>
      </c>
      <c r="B37" s="407" t="s">
        <v>461</v>
      </c>
      <c r="C37" s="615">
        <v>12.501799999999999</v>
      </c>
      <c r="D37" s="411">
        <v>24.457939273270281</v>
      </c>
      <c r="E37" s="415">
        <v>120844</v>
      </c>
      <c r="F37" s="415">
        <v>120728</v>
      </c>
      <c r="G37" s="313"/>
      <c r="H37" s="417">
        <v>1975</v>
      </c>
      <c r="I37" s="614">
        <v>12.1853</v>
      </c>
      <c r="J37" s="412">
        <v>26.135293204285482</v>
      </c>
      <c r="K37" s="414">
        <v>115093</v>
      </c>
      <c r="L37" s="323"/>
      <c r="M37" s="313"/>
    </row>
    <row r="38" spans="1:13" ht="15.5" x14ac:dyDescent="0.3">
      <c r="A38" s="417">
        <v>1976</v>
      </c>
      <c r="B38" s="407" t="s">
        <v>462</v>
      </c>
      <c r="C38" s="615">
        <v>14.245699999999999</v>
      </c>
      <c r="D38" s="411">
        <v>13.949191316450433</v>
      </c>
      <c r="E38" s="415">
        <v>142077</v>
      </c>
      <c r="F38" s="415">
        <v>142588</v>
      </c>
      <c r="G38" s="313"/>
      <c r="H38" s="417">
        <v>1976</v>
      </c>
      <c r="I38" s="614">
        <v>14.071</v>
      </c>
      <c r="J38" s="412">
        <v>15.475203729083404</v>
      </c>
      <c r="K38" s="414">
        <v>136999</v>
      </c>
      <c r="L38" s="323"/>
      <c r="M38" s="313"/>
    </row>
    <row r="39" spans="1:13" ht="15.5" x14ac:dyDescent="0.3">
      <c r="A39" s="417">
        <v>1977</v>
      </c>
      <c r="B39" s="407" t="s">
        <v>463</v>
      </c>
      <c r="C39" s="615">
        <v>16.2029</v>
      </c>
      <c r="D39" s="411">
        <v>13.738882610191148</v>
      </c>
      <c r="E39" s="415">
        <v>166100</v>
      </c>
      <c r="F39" s="415">
        <v>165888</v>
      </c>
      <c r="G39" s="313"/>
      <c r="H39" s="417">
        <v>1977</v>
      </c>
      <c r="I39" s="614">
        <v>16.020900000000001</v>
      </c>
      <c r="J39" s="412">
        <v>13.857579418662509</v>
      </c>
      <c r="K39" s="414">
        <v>159786</v>
      </c>
      <c r="L39" s="323"/>
      <c r="M39" s="313"/>
    </row>
    <row r="40" spans="1:13" ht="15.5" x14ac:dyDescent="0.3">
      <c r="A40" s="417">
        <v>1978</v>
      </c>
      <c r="B40" s="407" t="s">
        <v>464</v>
      </c>
      <c r="C40" s="615">
        <v>18.0273</v>
      </c>
      <c r="D40" s="411">
        <v>11.259712767467557</v>
      </c>
      <c r="E40" s="415">
        <v>192358</v>
      </c>
      <c r="F40" s="415">
        <v>192477</v>
      </c>
      <c r="G40" s="313"/>
      <c r="H40" s="417">
        <v>1978</v>
      </c>
      <c r="I40" s="614">
        <v>17.911799999999999</v>
      </c>
      <c r="J40" s="412">
        <v>11.802707713049818</v>
      </c>
      <c r="K40" s="414">
        <v>186158</v>
      </c>
      <c r="L40" s="323"/>
      <c r="M40" s="313"/>
    </row>
    <row r="41" spans="1:13" ht="15.5" x14ac:dyDescent="0.3">
      <c r="A41" s="417">
        <v>1979</v>
      </c>
      <c r="B41" s="407" t="s">
        <v>465</v>
      </c>
      <c r="C41" s="615">
        <v>21.069400000000002</v>
      </c>
      <c r="D41" s="411">
        <v>16.874961863396081</v>
      </c>
      <c r="E41" s="415">
        <v>232592</v>
      </c>
      <c r="F41" s="415">
        <v>232629</v>
      </c>
      <c r="G41" s="313"/>
      <c r="H41" s="417">
        <v>1979</v>
      </c>
      <c r="I41" s="614">
        <v>20.498799999999999</v>
      </c>
      <c r="J41" s="412">
        <v>14.442992887370334</v>
      </c>
      <c r="K41" s="414">
        <v>220981</v>
      </c>
      <c r="L41" s="323"/>
      <c r="M41" s="313"/>
    </row>
    <row r="42" spans="1:13" ht="15.5" x14ac:dyDescent="0.3">
      <c r="A42" s="417">
        <v>1980</v>
      </c>
      <c r="B42" s="407" t="s">
        <v>466</v>
      </c>
      <c r="C42" s="615">
        <v>25.091100000000001</v>
      </c>
      <c r="D42" s="411">
        <v>19.087871510342008</v>
      </c>
      <c r="E42" s="415">
        <v>267518</v>
      </c>
      <c r="F42" s="415">
        <v>267802</v>
      </c>
      <c r="G42" s="313"/>
      <c r="H42" s="417">
        <v>1980</v>
      </c>
      <c r="I42" s="614">
        <v>24.639900000000001</v>
      </c>
      <c r="J42" s="412">
        <v>20.201670341678547</v>
      </c>
      <c r="K42" s="414">
        <v>259970</v>
      </c>
      <c r="L42" s="323"/>
      <c r="M42" s="313"/>
    </row>
    <row r="43" spans="1:13" ht="15.5" x14ac:dyDescent="0.3">
      <c r="A43" s="417">
        <v>1981</v>
      </c>
      <c r="B43" s="407" t="s">
        <v>467</v>
      </c>
      <c r="C43" s="615">
        <v>27.7346</v>
      </c>
      <c r="D43" s="411">
        <v>10.535608243560464</v>
      </c>
      <c r="E43" s="415">
        <v>298261</v>
      </c>
      <c r="F43" s="415">
        <v>297709</v>
      </c>
      <c r="G43" s="313"/>
      <c r="H43" s="417">
        <v>1981</v>
      </c>
      <c r="I43" s="614">
        <v>27.675799999999999</v>
      </c>
      <c r="J43" s="412">
        <v>12.321072731626337</v>
      </c>
      <c r="K43" s="414">
        <v>290180</v>
      </c>
      <c r="L43" s="323"/>
      <c r="M43" s="313"/>
    </row>
    <row r="44" spans="1:13" ht="15.5" x14ac:dyDescent="0.3">
      <c r="A44" s="417">
        <v>1982</v>
      </c>
      <c r="B44" s="407" t="s">
        <v>468</v>
      </c>
      <c r="C44" s="615">
        <v>29.779399999999999</v>
      </c>
      <c r="D44" s="411">
        <v>7.3727401873472074</v>
      </c>
      <c r="E44" s="415">
        <v>327449</v>
      </c>
      <c r="F44" s="415">
        <v>327817</v>
      </c>
      <c r="G44" s="313"/>
      <c r="H44" s="417">
        <v>1982</v>
      </c>
      <c r="I44" s="614">
        <v>29.890999999999998</v>
      </c>
      <c r="J44" s="412">
        <v>8.0041046690610553</v>
      </c>
      <c r="K44" s="414">
        <v>319558</v>
      </c>
      <c r="L44" s="323"/>
      <c r="M44" s="313"/>
    </row>
    <row r="45" spans="1:13" ht="15.5" x14ac:dyDescent="0.3">
      <c r="A45" s="417">
        <v>1983</v>
      </c>
      <c r="B45" s="407" t="s">
        <v>469</v>
      </c>
      <c r="C45" s="615">
        <v>31.197199999999999</v>
      </c>
      <c r="D45" s="411">
        <v>4.7610092882999648</v>
      </c>
      <c r="E45" s="415">
        <v>358062</v>
      </c>
      <c r="F45" s="415">
        <v>357283</v>
      </c>
      <c r="G45" s="313"/>
      <c r="H45" s="417">
        <v>1983</v>
      </c>
      <c r="I45" s="614">
        <v>31.549900000000001</v>
      </c>
      <c r="J45" s="412">
        <v>5.5498310528252741</v>
      </c>
      <c r="K45" s="414">
        <v>351347</v>
      </c>
      <c r="L45" s="323"/>
      <c r="M45" s="313"/>
    </row>
    <row r="46" spans="1:13" ht="15.5" x14ac:dyDescent="0.3">
      <c r="A46" s="417">
        <v>1984</v>
      </c>
      <c r="B46" s="407" t="s">
        <v>470</v>
      </c>
      <c r="C46" s="615">
        <v>33.019799999999996</v>
      </c>
      <c r="D46" s="411">
        <v>5.8421909658559033</v>
      </c>
      <c r="E46" s="415">
        <v>385979</v>
      </c>
      <c r="F46" s="415">
        <v>385669</v>
      </c>
      <c r="G46" s="313"/>
      <c r="H46" s="417">
        <v>1984</v>
      </c>
      <c r="I46" s="614">
        <v>33.200299999999999</v>
      </c>
      <c r="J46" s="412">
        <v>5.2310783869362432</v>
      </c>
      <c r="K46" s="414">
        <v>377920</v>
      </c>
      <c r="L46" s="323"/>
      <c r="M46" s="313"/>
    </row>
    <row r="47" spans="1:13" ht="15.5" x14ac:dyDescent="0.3">
      <c r="A47" s="417">
        <v>1985</v>
      </c>
      <c r="B47" s="407" t="s">
        <v>471</v>
      </c>
      <c r="C47" s="615">
        <v>34.816200000000002</v>
      </c>
      <c r="D47" s="411">
        <v>5.4403721403521699</v>
      </c>
      <c r="E47" s="415">
        <v>423724</v>
      </c>
      <c r="F47" s="415">
        <v>423971</v>
      </c>
      <c r="G47" s="313"/>
      <c r="H47" s="417">
        <v>1985</v>
      </c>
      <c r="I47" s="614">
        <v>34.992800000000003</v>
      </c>
      <c r="J47" s="412">
        <v>5.3990475989674911</v>
      </c>
      <c r="K47" s="414">
        <v>414630</v>
      </c>
      <c r="L47" s="323"/>
      <c r="M47" s="313"/>
    </row>
    <row r="48" spans="1:13" ht="15.5" x14ac:dyDescent="0.3">
      <c r="A48" s="417">
        <v>1986</v>
      </c>
      <c r="B48" s="407" t="s">
        <v>472</v>
      </c>
      <c r="C48" s="615">
        <v>36.2271</v>
      </c>
      <c r="D48" s="411">
        <v>4.052423871645952</v>
      </c>
      <c r="E48" s="415">
        <v>455183</v>
      </c>
      <c r="F48" s="415">
        <v>455983</v>
      </c>
      <c r="G48" s="313"/>
      <c r="H48" s="417">
        <v>1986</v>
      </c>
      <c r="I48" s="614">
        <v>36.554600000000001</v>
      </c>
      <c r="J48" s="412">
        <v>4.4632038590795764</v>
      </c>
      <c r="K48" s="414">
        <v>446600</v>
      </c>
      <c r="L48" s="323"/>
      <c r="M48" s="313"/>
    </row>
    <row r="49" spans="1:18" ht="15.5" x14ac:dyDescent="0.3">
      <c r="A49" s="417">
        <v>1987</v>
      </c>
      <c r="B49" s="407" t="s">
        <v>473</v>
      </c>
      <c r="C49" s="615">
        <v>38.337600000000002</v>
      </c>
      <c r="D49" s="411">
        <v>5.8257492319285893</v>
      </c>
      <c r="E49" s="415">
        <v>511512</v>
      </c>
      <c r="F49" s="415">
        <v>511956</v>
      </c>
      <c r="G49" s="313"/>
      <c r="H49" s="417">
        <v>1987</v>
      </c>
      <c r="I49" s="614">
        <v>38.566099999999999</v>
      </c>
      <c r="J49" s="412">
        <v>5.502727426917537</v>
      </c>
      <c r="K49" s="414">
        <v>496809</v>
      </c>
      <c r="L49" s="323"/>
      <c r="M49" s="313"/>
    </row>
    <row r="50" spans="1:18" ht="15.5" x14ac:dyDescent="0.3">
      <c r="A50" s="417">
        <v>1988</v>
      </c>
      <c r="B50" s="407" t="s">
        <v>474</v>
      </c>
      <c r="C50" s="615">
        <v>40.947899999999997</v>
      </c>
      <c r="D50" s="411">
        <v>6.8087204206835974</v>
      </c>
      <c r="E50" s="415">
        <v>570330</v>
      </c>
      <c r="F50" s="415">
        <v>571023</v>
      </c>
      <c r="G50" s="313"/>
      <c r="H50" s="417">
        <v>1988</v>
      </c>
      <c r="I50" s="614">
        <v>40.940199999999997</v>
      </c>
      <c r="J50" s="412">
        <v>6.155924503644389</v>
      </c>
      <c r="K50" s="414">
        <v>555683</v>
      </c>
      <c r="L50" s="323"/>
      <c r="M50" s="313"/>
    </row>
    <row r="51" spans="1:18" ht="15.5" x14ac:dyDescent="0.3">
      <c r="A51" s="417">
        <v>1989</v>
      </c>
      <c r="B51" s="407" t="s">
        <v>475</v>
      </c>
      <c r="C51" s="615">
        <v>44.252800000000001</v>
      </c>
      <c r="D51" s="411">
        <v>8.0709877673824639</v>
      </c>
      <c r="E51" s="415">
        <v>629559</v>
      </c>
      <c r="F51" s="415">
        <v>629064</v>
      </c>
      <c r="G51" s="313"/>
      <c r="H51" s="417">
        <v>1989</v>
      </c>
      <c r="I51" s="614">
        <v>44.227699999999999</v>
      </c>
      <c r="J51" s="412">
        <v>8.0300047386187696</v>
      </c>
      <c r="K51" s="414">
        <v>614631</v>
      </c>
      <c r="L51" s="323"/>
      <c r="M51" s="313"/>
    </row>
    <row r="52" spans="1:18" ht="15.5" x14ac:dyDescent="0.3">
      <c r="A52" s="417">
        <v>1990</v>
      </c>
      <c r="B52" s="407" t="s">
        <v>476</v>
      </c>
      <c r="C52" s="615">
        <v>47.969099999999997</v>
      </c>
      <c r="D52" s="411">
        <v>8.3978866873960438</v>
      </c>
      <c r="E52" s="415">
        <v>679270</v>
      </c>
      <c r="F52" s="415">
        <v>680933</v>
      </c>
      <c r="G52" s="313"/>
      <c r="H52" s="417">
        <v>1990</v>
      </c>
      <c r="I52" s="614">
        <v>48.008200000000002</v>
      </c>
      <c r="J52" s="412">
        <v>8.5478105350266986</v>
      </c>
      <c r="K52" s="414">
        <v>670797</v>
      </c>
      <c r="L52" s="323"/>
      <c r="M52" s="313"/>
    </row>
    <row r="53" spans="1:18" ht="15.5" x14ac:dyDescent="0.3">
      <c r="A53" s="417">
        <v>1991</v>
      </c>
      <c r="B53" s="407" t="s">
        <v>477</v>
      </c>
      <c r="C53" s="615">
        <v>50.862200000000001</v>
      </c>
      <c r="D53" s="411">
        <v>6.031174235080508</v>
      </c>
      <c r="E53" s="415">
        <v>714363</v>
      </c>
      <c r="F53" s="415">
        <v>714130</v>
      </c>
      <c r="G53" s="313"/>
      <c r="H53" s="417">
        <v>1991</v>
      </c>
      <c r="I53" s="614">
        <v>51.234299999999998</v>
      </c>
      <c r="J53" s="412">
        <v>6.7198936848288318</v>
      </c>
      <c r="K53" s="414">
        <v>705884</v>
      </c>
      <c r="L53" s="323"/>
      <c r="M53" s="313"/>
    </row>
    <row r="54" spans="1:18" ht="15.5" x14ac:dyDescent="0.3">
      <c r="A54" s="417">
        <v>1992</v>
      </c>
      <c r="B54" s="407" t="s">
        <v>478</v>
      </c>
      <c r="C54" s="615">
        <v>52.265500000000003</v>
      </c>
      <c r="D54" s="411">
        <v>2.7590234004820897</v>
      </c>
      <c r="E54" s="415">
        <v>738807</v>
      </c>
      <c r="F54" s="415">
        <v>739015</v>
      </c>
      <c r="G54" s="313"/>
      <c r="H54" s="417">
        <v>1992</v>
      </c>
      <c r="I54" s="614">
        <v>52.917000000000002</v>
      </c>
      <c r="J54" s="412">
        <v>3.2843231975454024</v>
      </c>
      <c r="K54" s="414">
        <v>730874</v>
      </c>
      <c r="L54" s="323"/>
      <c r="M54" s="313"/>
    </row>
    <row r="55" spans="1:18" ht="15.5" x14ac:dyDescent="0.3">
      <c r="A55" s="417">
        <v>1993</v>
      </c>
      <c r="B55" s="407" t="s">
        <v>479</v>
      </c>
      <c r="C55" s="615">
        <v>53.755600000000001</v>
      </c>
      <c r="D55" s="411">
        <v>2.8510202714984034</v>
      </c>
      <c r="E55" s="415">
        <v>780640</v>
      </c>
      <c r="F55" s="415">
        <v>780073</v>
      </c>
      <c r="G55" s="313"/>
      <c r="H55" s="417">
        <v>1993</v>
      </c>
      <c r="I55" s="614">
        <v>54.505200000000002</v>
      </c>
      <c r="J55" s="412">
        <v>3.0013039287941501</v>
      </c>
      <c r="K55" s="414">
        <v>769855</v>
      </c>
      <c r="L55" s="323"/>
      <c r="M55" s="313"/>
    </row>
    <row r="56" spans="1:18" ht="15.5" x14ac:dyDescent="0.3">
      <c r="A56" s="417">
        <v>1994</v>
      </c>
      <c r="B56" s="407" t="s">
        <v>480</v>
      </c>
      <c r="C56" s="615">
        <v>54.644199999999998</v>
      </c>
      <c r="D56" s="411">
        <v>1.6530370789275846</v>
      </c>
      <c r="E56" s="415">
        <v>820882</v>
      </c>
      <c r="F56" s="415">
        <v>819654</v>
      </c>
      <c r="G56" s="313"/>
      <c r="H56" s="417">
        <v>1994</v>
      </c>
      <c r="I56" s="614">
        <v>55.512099999999997</v>
      </c>
      <c r="J56" s="412">
        <v>1.8473466751796059</v>
      </c>
      <c r="K56" s="414">
        <v>810794</v>
      </c>
      <c r="L56" s="323"/>
      <c r="M56" s="313"/>
    </row>
    <row r="57" spans="1:18" ht="15.5" x14ac:dyDescent="0.3">
      <c r="A57" s="417">
        <v>1995</v>
      </c>
      <c r="B57" s="407" t="s">
        <v>481</v>
      </c>
      <c r="C57" s="615">
        <v>56.378399999999999</v>
      </c>
      <c r="D57" s="411">
        <v>3.1736213541418876</v>
      </c>
      <c r="E57" s="415">
        <v>863062</v>
      </c>
      <c r="F57" s="415">
        <v>864621</v>
      </c>
      <c r="G57" s="313"/>
      <c r="H57" s="417">
        <v>1995</v>
      </c>
      <c r="I57" s="614">
        <v>56.9617</v>
      </c>
      <c r="J57" s="412">
        <v>2.6113225765193602</v>
      </c>
      <c r="K57" s="414">
        <v>851845</v>
      </c>
      <c r="L57" s="323"/>
      <c r="M57" s="313"/>
    </row>
    <row r="58" spans="1:18" ht="15.5" x14ac:dyDescent="0.3">
      <c r="A58" s="417">
        <v>1996</v>
      </c>
      <c r="B58" s="407" t="s">
        <v>482</v>
      </c>
      <c r="C58" s="615">
        <v>58.286900000000003</v>
      </c>
      <c r="D58" s="411">
        <v>3.3851616931307089</v>
      </c>
      <c r="E58" s="415">
        <v>922997</v>
      </c>
      <c r="F58" s="415">
        <v>921289</v>
      </c>
      <c r="G58" s="313"/>
      <c r="H58" s="417">
        <v>1996</v>
      </c>
      <c r="I58" s="614">
        <v>59.318199999999997</v>
      </c>
      <c r="J58" s="412">
        <v>4.1369902934778926</v>
      </c>
      <c r="K58" s="414">
        <v>909993</v>
      </c>
      <c r="L58" s="323"/>
      <c r="M58" s="313"/>
    </row>
    <row r="59" spans="1:18" ht="15.5" x14ac:dyDescent="0.3">
      <c r="A59" s="417">
        <v>1997</v>
      </c>
      <c r="B59" s="407" t="s">
        <v>483</v>
      </c>
      <c r="C59" s="615">
        <v>58.277000000000001</v>
      </c>
      <c r="D59" s="411">
        <v>-1.6984948590509696E-2</v>
      </c>
      <c r="E59" s="415">
        <v>964687</v>
      </c>
      <c r="F59" s="415">
        <v>966520</v>
      </c>
      <c r="G59" s="313"/>
      <c r="H59" s="417">
        <v>1997</v>
      </c>
      <c r="I59" s="614">
        <v>59.233499999999999</v>
      </c>
      <c r="J59" s="412">
        <v>-0.14278922826383472</v>
      </c>
      <c r="K59" s="414">
        <v>953405</v>
      </c>
      <c r="L59" s="323"/>
      <c r="M59" s="313"/>
    </row>
    <row r="60" spans="1:18" ht="18.75" customHeight="1" x14ac:dyDescent="0.3">
      <c r="A60" s="417">
        <v>1998</v>
      </c>
      <c r="B60" s="407" t="s">
        <v>484</v>
      </c>
      <c r="C60" s="615">
        <v>59.073500000000003</v>
      </c>
      <c r="D60" s="411">
        <v>1.3667484599413178</v>
      </c>
      <c r="E60" s="415">
        <v>1010042</v>
      </c>
      <c r="F60" s="415">
        <v>1008430</v>
      </c>
      <c r="G60" s="313"/>
      <c r="H60" s="417">
        <v>1998</v>
      </c>
      <c r="I60" s="614">
        <v>59.986499999999999</v>
      </c>
      <c r="J60" s="412">
        <v>1.2712400921775686</v>
      </c>
      <c r="K60" s="414">
        <v>998501</v>
      </c>
      <c r="L60" s="323"/>
      <c r="M60" s="313"/>
    </row>
    <row r="61" spans="1:18" ht="18.75" customHeight="1" x14ac:dyDescent="0.3">
      <c r="A61" s="417">
        <v>1999</v>
      </c>
      <c r="B61" s="407" t="s">
        <v>485</v>
      </c>
      <c r="C61" s="615">
        <v>59.861600000000003</v>
      </c>
      <c r="D61" s="411">
        <v>1.3341007389100019</v>
      </c>
      <c r="E61" s="415">
        <v>1058069</v>
      </c>
      <c r="F61" s="415">
        <v>1059608</v>
      </c>
      <c r="G61" s="313"/>
      <c r="H61" s="417">
        <v>1999</v>
      </c>
      <c r="I61" s="614">
        <v>60.809699999999999</v>
      </c>
      <c r="J61" s="412">
        <v>1.3723087694731315</v>
      </c>
      <c r="K61" s="414">
        <v>1043248</v>
      </c>
      <c r="L61" s="323"/>
      <c r="M61" s="313"/>
    </row>
    <row r="62" spans="1:18" ht="18.75" customHeight="1" x14ac:dyDescent="0.3">
      <c r="A62" s="417">
        <v>2000</v>
      </c>
      <c r="B62" s="407" t="s">
        <v>486</v>
      </c>
      <c r="C62" s="615">
        <v>60.472499999999997</v>
      </c>
      <c r="D62" s="411">
        <v>1.0205206676734229</v>
      </c>
      <c r="E62" s="415">
        <v>1114639</v>
      </c>
      <c r="F62" s="415">
        <v>1111547</v>
      </c>
      <c r="G62" s="313"/>
      <c r="H62" s="417">
        <v>2000</v>
      </c>
      <c r="I62" s="614">
        <v>61.507399999999997</v>
      </c>
      <c r="J62" s="412">
        <v>1.1473498471460928</v>
      </c>
      <c r="K62" s="414">
        <v>1100752</v>
      </c>
      <c r="L62" s="323"/>
      <c r="M62" s="313"/>
      <c r="R62" s="295"/>
    </row>
    <row r="63" spans="1:18" ht="18.75" customHeight="1" x14ac:dyDescent="0.3">
      <c r="A63" s="417">
        <v>2001</v>
      </c>
      <c r="B63" s="407" t="s">
        <v>487</v>
      </c>
      <c r="C63" s="615">
        <v>61.498899999999999</v>
      </c>
      <c r="D63" s="411">
        <v>1.6973004258133904</v>
      </c>
      <c r="E63" s="415">
        <v>1152363</v>
      </c>
      <c r="F63" s="415">
        <v>1155639</v>
      </c>
      <c r="G63" s="313"/>
      <c r="H63" s="417">
        <v>2001</v>
      </c>
      <c r="I63" s="614">
        <v>62.433199999999999</v>
      </c>
      <c r="J63" s="412">
        <v>1.5051847419985278</v>
      </c>
      <c r="K63" s="414">
        <v>1146135</v>
      </c>
      <c r="L63" s="323"/>
      <c r="M63" s="313"/>
      <c r="O63" s="292" t="s">
        <v>488</v>
      </c>
      <c r="R63" s="295"/>
    </row>
    <row r="64" spans="1:18" ht="18.75" customHeight="1" x14ac:dyDescent="0.3">
      <c r="A64" s="417">
        <v>2002</v>
      </c>
      <c r="B64" s="407" t="s">
        <v>489</v>
      </c>
      <c r="C64" s="615">
        <v>62.8964</v>
      </c>
      <c r="D64" s="411">
        <v>2.2723983681008941</v>
      </c>
      <c r="E64" s="415">
        <v>1208864</v>
      </c>
      <c r="F64" s="415">
        <v>1206462</v>
      </c>
      <c r="G64" s="313"/>
      <c r="H64" s="417">
        <v>2002</v>
      </c>
      <c r="I64" s="614">
        <v>63.755899999999997</v>
      </c>
      <c r="J64" s="412">
        <v>2.1185843429457365</v>
      </c>
      <c r="K64" s="414">
        <v>1191439</v>
      </c>
      <c r="L64" s="323"/>
      <c r="M64" s="313"/>
      <c r="R64" s="295"/>
    </row>
    <row r="65" spans="1:18" ht="18.75" customHeight="1" x14ac:dyDescent="0.3">
      <c r="A65" s="417">
        <v>2003</v>
      </c>
      <c r="B65" s="407" t="s">
        <v>490</v>
      </c>
      <c r="C65" s="615">
        <v>64.326300000000003</v>
      </c>
      <c r="D65" s="411">
        <v>2.2734210543051803</v>
      </c>
      <c r="E65" s="415">
        <v>1272601</v>
      </c>
      <c r="F65" s="415">
        <v>1273669</v>
      </c>
      <c r="G65" s="313"/>
      <c r="H65" s="417">
        <v>2003</v>
      </c>
      <c r="I65" s="614">
        <v>65.281199999999998</v>
      </c>
      <c r="J65" s="412">
        <v>2.3924060361472455</v>
      </c>
      <c r="K65" s="414">
        <v>1258334</v>
      </c>
      <c r="L65" s="323"/>
      <c r="M65" s="313"/>
      <c r="R65" s="295"/>
    </row>
    <row r="66" spans="1:18" ht="18.75" customHeight="1" x14ac:dyDescent="0.3">
      <c r="A66" s="417">
        <v>2004</v>
      </c>
      <c r="B66" s="407" t="s">
        <v>491</v>
      </c>
      <c r="C66" s="615">
        <v>66.257900000000006</v>
      </c>
      <c r="D66" s="411">
        <v>3.0028153336971086</v>
      </c>
      <c r="E66" s="415">
        <v>1342153</v>
      </c>
      <c r="F66" s="415">
        <v>1341238</v>
      </c>
      <c r="G66" s="313"/>
      <c r="H66" s="417">
        <v>2004</v>
      </c>
      <c r="I66" s="614">
        <v>66.991100000000003</v>
      </c>
      <c r="J66" s="412">
        <v>2.6192839592409527</v>
      </c>
      <c r="K66" s="414">
        <v>1322637</v>
      </c>
      <c r="L66" s="323"/>
      <c r="M66" s="313"/>
      <c r="R66" s="295"/>
    </row>
    <row r="67" spans="1:18" ht="18.75" customHeight="1" x14ac:dyDescent="0.3">
      <c r="A67" s="417">
        <v>2005</v>
      </c>
      <c r="B67" s="407" t="s">
        <v>492</v>
      </c>
      <c r="C67" s="615">
        <v>68.071200000000005</v>
      </c>
      <c r="D67" s="411">
        <v>2.736730261598991</v>
      </c>
      <c r="E67" s="415">
        <v>1418417</v>
      </c>
      <c r="F67" s="415">
        <v>1418626</v>
      </c>
      <c r="G67" s="313"/>
      <c r="H67" s="417">
        <v>2005</v>
      </c>
      <c r="I67" s="614">
        <v>68.957599999999999</v>
      </c>
      <c r="J67" s="412">
        <v>2.9354645617104307</v>
      </c>
      <c r="K67" s="414">
        <v>1398749</v>
      </c>
      <c r="L67" s="323"/>
      <c r="M67" s="313"/>
      <c r="R67" s="295"/>
    </row>
    <row r="68" spans="1:18" ht="18.75" customHeight="1" x14ac:dyDescent="0.3">
      <c r="A68" s="417">
        <v>2006</v>
      </c>
      <c r="B68" s="407" t="s">
        <v>493</v>
      </c>
      <c r="C68" s="615">
        <v>69.891599999999997</v>
      </c>
      <c r="D68" s="411">
        <v>2.6742587173430055</v>
      </c>
      <c r="E68" s="415">
        <v>1486255</v>
      </c>
      <c r="F68" s="415">
        <v>1487819</v>
      </c>
      <c r="G68" s="313"/>
      <c r="H68" s="417">
        <v>2006</v>
      </c>
      <c r="I68" s="614">
        <v>70.881500000000003</v>
      </c>
      <c r="J68" s="412">
        <v>2.7899752891632006</v>
      </c>
      <c r="K68" s="414">
        <v>1472038</v>
      </c>
      <c r="L68" s="323"/>
      <c r="M68" s="313"/>
      <c r="R68" s="295"/>
    </row>
    <row r="69" spans="1:18" ht="18.75" customHeight="1" x14ac:dyDescent="0.3">
      <c r="A69" s="417">
        <v>2007</v>
      </c>
      <c r="B69" s="407" t="s">
        <v>494</v>
      </c>
      <c r="C69" s="615">
        <v>71.582599999999999</v>
      </c>
      <c r="D69" s="411">
        <v>2.419460993881958</v>
      </c>
      <c r="E69" s="415">
        <v>1565822</v>
      </c>
      <c r="F69" s="415">
        <v>1565136</v>
      </c>
      <c r="G69" s="313"/>
      <c r="H69" s="417">
        <v>2007</v>
      </c>
      <c r="I69" s="614">
        <v>72.476799999999997</v>
      </c>
      <c r="J69" s="412">
        <v>2.250657787998271</v>
      </c>
      <c r="K69" s="414">
        <v>1544637</v>
      </c>
      <c r="L69" s="323"/>
      <c r="M69" s="313"/>
      <c r="R69" s="295"/>
    </row>
    <row r="70" spans="1:18" ht="18.75" customHeight="1" x14ac:dyDescent="0.3">
      <c r="A70" s="417">
        <v>2008</v>
      </c>
      <c r="B70" s="407" t="s">
        <v>495</v>
      </c>
      <c r="C70" s="615">
        <v>74.160200000000003</v>
      </c>
      <c r="D70" s="411">
        <v>3.6008750729926042</v>
      </c>
      <c r="E70" s="415">
        <v>1582979</v>
      </c>
      <c r="F70" s="415">
        <v>1582791</v>
      </c>
      <c r="G70" s="313"/>
      <c r="H70" s="417">
        <v>2008</v>
      </c>
      <c r="I70" s="614">
        <v>74.962800000000001</v>
      </c>
      <c r="J70" s="412">
        <v>3.4300631374453676</v>
      </c>
      <c r="K70" s="414">
        <v>1593600</v>
      </c>
      <c r="L70" s="323"/>
      <c r="M70" s="313"/>
      <c r="R70" s="295"/>
    </row>
    <row r="71" spans="1:18" ht="18.75" customHeight="1" x14ac:dyDescent="0.35">
      <c r="A71" s="417">
        <v>2009</v>
      </c>
      <c r="B71" s="407" t="s">
        <v>496</v>
      </c>
      <c r="C71" s="615">
        <v>75.163700000000006</v>
      </c>
      <c r="D71" s="411">
        <v>1.3531516905294247</v>
      </c>
      <c r="E71" s="415">
        <v>1557028</v>
      </c>
      <c r="F71" s="415">
        <v>1558176</v>
      </c>
      <c r="G71" s="313"/>
      <c r="H71" s="417">
        <v>2009</v>
      </c>
      <c r="I71" s="614">
        <v>76.364599999999996</v>
      </c>
      <c r="J71" s="412">
        <v>1.869994183781815</v>
      </c>
      <c r="K71" s="414">
        <v>1548802</v>
      </c>
      <c r="L71" s="299"/>
      <c r="M71" s="313"/>
      <c r="R71" s="295"/>
    </row>
    <row r="72" spans="1:18" ht="18.75" customHeight="1" x14ac:dyDescent="0.35">
      <c r="A72" s="417">
        <v>2010</v>
      </c>
      <c r="B72" s="407" t="s">
        <v>497</v>
      </c>
      <c r="C72" s="615">
        <v>76.580299999999994</v>
      </c>
      <c r="D72" s="411">
        <v>1.8846863579094537</v>
      </c>
      <c r="E72" s="415">
        <v>1627823</v>
      </c>
      <c r="F72" s="415">
        <v>1627172</v>
      </c>
      <c r="G72" s="313"/>
      <c r="H72" s="417">
        <v>2010</v>
      </c>
      <c r="I72" s="614">
        <v>77.572299999999998</v>
      </c>
      <c r="J72" s="412">
        <v>1.5814919478397094</v>
      </c>
      <c r="K72" s="414">
        <v>1608553</v>
      </c>
      <c r="L72" s="299"/>
      <c r="M72" s="313"/>
      <c r="R72" s="295"/>
    </row>
    <row r="73" spans="1:18" ht="18.75" customHeight="1" x14ac:dyDescent="0.35">
      <c r="A73" s="417">
        <v>2011</v>
      </c>
      <c r="B73" s="407" t="s">
        <v>498</v>
      </c>
      <c r="C73" s="615">
        <v>77.930000000000007</v>
      </c>
      <c r="D73" s="411">
        <v>1.7624637145584605</v>
      </c>
      <c r="E73" s="415">
        <v>1673244</v>
      </c>
      <c r="F73" s="415">
        <v>1672562</v>
      </c>
      <c r="G73" s="313"/>
      <c r="H73" s="417">
        <v>2011</v>
      </c>
      <c r="I73" s="614">
        <v>79.271500000000003</v>
      </c>
      <c r="J73" s="412">
        <v>2.1904726300496504</v>
      </c>
      <c r="K73" s="414">
        <v>1662590</v>
      </c>
      <c r="L73" s="299"/>
      <c r="M73" s="313"/>
      <c r="R73" s="295"/>
    </row>
    <row r="74" spans="1:18" ht="18.75" customHeight="1" x14ac:dyDescent="0.35">
      <c r="A74" s="417">
        <v>2012</v>
      </c>
      <c r="B74" s="407" t="s">
        <v>499</v>
      </c>
      <c r="C74" s="615">
        <v>79.360299999999995</v>
      </c>
      <c r="D74" s="411">
        <v>1.8353650712177445</v>
      </c>
      <c r="E74" s="415">
        <v>1725339</v>
      </c>
      <c r="F74" s="415">
        <v>1727114</v>
      </c>
      <c r="G74" s="313"/>
      <c r="H74" s="417">
        <v>2012</v>
      </c>
      <c r="I74" s="614">
        <v>80.490499999999997</v>
      </c>
      <c r="J74" s="412">
        <v>1.5377531647565568</v>
      </c>
      <c r="K74" s="414">
        <v>1713715</v>
      </c>
      <c r="L74" s="299"/>
      <c r="M74" s="313"/>
      <c r="R74" s="295"/>
    </row>
    <row r="75" spans="1:18" ht="18.75" customHeight="1" x14ac:dyDescent="0.35">
      <c r="A75" s="417">
        <v>2013</v>
      </c>
      <c r="B75" s="407" t="s">
        <v>500</v>
      </c>
      <c r="C75" s="615">
        <v>80.886300000000006</v>
      </c>
      <c r="D75" s="411">
        <v>1.922875795580423</v>
      </c>
      <c r="E75" s="415">
        <v>1803853</v>
      </c>
      <c r="F75" s="415">
        <v>1801250</v>
      </c>
      <c r="G75" s="313"/>
      <c r="H75" s="417">
        <v>2013</v>
      </c>
      <c r="I75" s="614">
        <v>82.193299999999994</v>
      </c>
      <c r="J75" s="412">
        <v>2.1155291618265468</v>
      </c>
      <c r="K75" s="414">
        <v>1781361</v>
      </c>
      <c r="L75" s="299"/>
      <c r="M75" s="313"/>
      <c r="R75" s="295"/>
    </row>
    <row r="76" spans="1:18" ht="18.75" customHeight="1" x14ac:dyDescent="0.35">
      <c r="A76" s="417">
        <v>2014</v>
      </c>
      <c r="B76" s="407" t="s">
        <v>501</v>
      </c>
      <c r="C76" s="615">
        <v>81.8703</v>
      </c>
      <c r="D76" s="411">
        <v>1.2165224518861595</v>
      </c>
      <c r="E76" s="415">
        <v>1875404</v>
      </c>
      <c r="F76" s="415">
        <v>1879260</v>
      </c>
      <c r="G76" s="313"/>
      <c r="H76" s="417">
        <v>2014</v>
      </c>
      <c r="I76" s="614">
        <v>83.276300000000006</v>
      </c>
      <c r="J76" s="412">
        <v>1.3176256458859941</v>
      </c>
      <c r="K76" s="414">
        <v>1862514</v>
      </c>
      <c r="L76" s="299"/>
      <c r="M76" s="313"/>
      <c r="R76" s="295"/>
    </row>
    <row r="77" spans="1:18" ht="18.75" customHeight="1" x14ac:dyDescent="0.35">
      <c r="A77" s="417">
        <v>2015</v>
      </c>
      <c r="B77" s="407" t="s">
        <v>502</v>
      </c>
      <c r="C77" s="615">
        <v>82.459299999999999</v>
      </c>
      <c r="D77" s="411">
        <v>0.71943061158930477</v>
      </c>
      <c r="E77" s="415">
        <v>1932100</v>
      </c>
      <c r="F77" s="415">
        <v>1931443</v>
      </c>
      <c r="H77" s="417">
        <v>2015</v>
      </c>
      <c r="I77" s="614">
        <v>83.828400000000002</v>
      </c>
      <c r="J77" s="412">
        <v>0.66297373922712199</v>
      </c>
      <c r="K77" s="414">
        <v>1916451</v>
      </c>
      <c r="L77" s="299"/>
    </row>
    <row r="78" spans="1:18" ht="18.75" customHeight="1" x14ac:dyDescent="0.35">
      <c r="A78" s="417">
        <v>2016</v>
      </c>
      <c r="B78" s="407" t="s">
        <v>503</v>
      </c>
      <c r="C78" s="615">
        <v>84.334800000000001</v>
      </c>
      <c r="D78" s="412">
        <v>2.274455397996348</v>
      </c>
      <c r="E78" s="415">
        <v>2013605</v>
      </c>
      <c r="F78" s="415">
        <v>2015841</v>
      </c>
      <c r="H78" s="417">
        <v>2016</v>
      </c>
      <c r="I78" s="614">
        <v>85.472899999999996</v>
      </c>
      <c r="J78" s="412">
        <v>1.9617456613748963</v>
      </c>
      <c r="K78" s="414">
        <v>1991645</v>
      </c>
      <c r="L78" s="299"/>
    </row>
    <row r="79" spans="1:18" ht="18.75" customHeight="1" x14ac:dyDescent="0.35">
      <c r="A79" s="417">
        <v>2017</v>
      </c>
      <c r="B79" s="407" t="s">
        <v>504</v>
      </c>
      <c r="C79" s="615">
        <v>85.655600000000007</v>
      </c>
      <c r="D79" s="412">
        <v>1.5661387707091325</v>
      </c>
      <c r="E79" s="415">
        <v>2098808</v>
      </c>
      <c r="F79" s="415">
        <v>2099822</v>
      </c>
      <c r="H79" s="417">
        <v>2017</v>
      </c>
      <c r="I79" s="614">
        <v>87.061199999999999</v>
      </c>
      <c r="J79" s="412">
        <v>1.8582498078338325</v>
      </c>
      <c r="K79" s="414">
        <v>2082482</v>
      </c>
      <c r="L79" s="299"/>
    </row>
    <row r="80" spans="1:18" ht="18.75" customHeight="1" x14ac:dyDescent="0.35">
      <c r="A80" s="417">
        <v>2018</v>
      </c>
      <c r="B80" s="407" t="s">
        <v>505</v>
      </c>
      <c r="C80" s="615">
        <v>87.462400000000002</v>
      </c>
      <c r="D80" s="412">
        <v>2.1093775538318513</v>
      </c>
      <c r="E80" s="415">
        <v>2173677</v>
      </c>
      <c r="F80" s="415">
        <v>2170432</v>
      </c>
      <c r="H80" s="417">
        <v>2018</v>
      </c>
      <c r="I80" s="614">
        <v>88.735399999999998</v>
      </c>
      <c r="J80" s="412">
        <v>1.9230150744533721</v>
      </c>
      <c r="K80" s="414">
        <v>2152304</v>
      </c>
      <c r="L80" s="299"/>
    </row>
    <row r="81" spans="1:16" ht="18.75" customHeight="1" x14ac:dyDescent="0.35">
      <c r="A81" s="417">
        <v>2019</v>
      </c>
      <c r="B81" s="407" t="s">
        <v>506</v>
      </c>
      <c r="C81" s="615">
        <v>89.5274</v>
      </c>
      <c r="D81" s="412">
        <v>2.3610145616859333</v>
      </c>
      <c r="E81" s="415">
        <v>2244509</v>
      </c>
      <c r="F81" s="415">
        <v>2240706</v>
      </c>
      <c r="H81" s="417">
        <v>2019</v>
      </c>
      <c r="I81" s="614">
        <v>90.611699999999999</v>
      </c>
      <c r="J81" s="412">
        <v>2.114488693351245</v>
      </c>
      <c r="K81" s="414">
        <v>2233921</v>
      </c>
      <c r="L81" s="299"/>
    </row>
    <row r="82" spans="1:16" ht="18.75" customHeight="1" x14ac:dyDescent="0.35">
      <c r="A82" s="417">
        <v>2020</v>
      </c>
      <c r="B82" s="408" t="s">
        <v>507</v>
      </c>
      <c r="C82" s="615">
        <v>94.402600000000007</v>
      </c>
      <c r="D82" s="412">
        <v>5.4454837290036417</v>
      </c>
      <c r="E82" s="415">
        <v>2085084</v>
      </c>
      <c r="F82" s="415">
        <v>2086121</v>
      </c>
      <c r="H82" s="417">
        <v>2020</v>
      </c>
      <c r="I82" s="614">
        <v>95.417100000000005</v>
      </c>
      <c r="J82" s="412">
        <v>5.303288648154715</v>
      </c>
      <c r="K82" s="414">
        <v>2104288</v>
      </c>
      <c r="L82" s="299"/>
    </row>
    <row r="83" spans="1:16" ht="18.75" customHeight="1" x14ac:dyDescent="0.35">
      <c r="A83" s="417">
        <v>2021</v>
      </c>
      <c r="B83" s="408" t="s">
        <v>508</v>
      </c>
      <c r="C83" s="615">
        <v>93.629199999999997</v>
      </c>
      <c r="D83" s="412">
        <v>-0.81925709673251523</v>
      </c>
      <c r="E83" s="415">
        <v>2361920</v>
      </c>
      <c r="F83" s="415">
        <v>2354396</v>
      </c>
      <c r="H83" s="417">
        <v>2021</v>
      </c>
      <c r="I83" s="614">
        <v>95.1126</v>
      </c>
      <c r="J83" s="419">
        <v>-0.31912518825242481</v>
      </c>
      <c r="K83" s="414">
        <v>2284079</v>
      </c>
      <c r="L83" s="299"/>
    </row>
    <row r="84" spans="1:16" ht="18.75" customHeight="1" x14ac:dyDescent="0.35">
      <c r="A84" s="417">
        <v>2022</v>
      </c>
      <c r="B84" s="408" t="s">
        <v>509</v>
      </c>
      <c r="C84" s="616">
        <v>100</v>
      </c>
      <c r="D84" s="412">
        <v>6.8042875513194625</v>
      </c>
      <c r="E84" s="415">
        <v>2552763</v>
      </c>
      <c r="F84" s="415">
        <v>2557576</v>
      </c>
      <c r="H84" s="417">
        <v>2022</v>
      </c>
      <c r="I84" s="616">
        <v>100</v>
      </c>
      <c r="J84" s="420">
        <v>5.1385410555488962</v>
      </c>
      <c r="K84" s="414">
        <v>2505981</v>
      </c>
      <c r="L84" s="299"/>
    </row>
    <row r="85" spans="1:16" ht="15.5" x14ac:dyDescent="0.35">
      <c r="A85" s="418">
        <v>2023</v>
      </c>
      <c r="B85" s="409" t="s">
        <v>510</v>
      </c>
      <c r="C85" s="617">
        <f t="shared" ref="C85:C90" si="0">((D85/100)*C84)+C84</f>
        <v>106.09866788649538</v>
      </c>
      <c r="D85" s="412">
        <v>6.0986678864953792</v>
      </c>
      <c r="E85" s="415">
        <v>2726494</v>
      </c>
      <c r="F85" s="415">
        <v>2726259</v>
      </c>
      <c r="H85" s="418">
        <v>2023</v>
      </c>
      <c r="I85" s="617">
        <f t="shared" ref="I85:I90" si="1">((J85/100)*I84)+I84</f>
        <v>107.03306315205778</v>
      </c>
      <c r="J85" s="420">
        <v>7.0330631520577835</v>
      </c>
      <c r="K85" s="414">
        <v>2697095</v>
      </c>
      <c r="L85" s="299"/>
    </row>
    <row r="86" spans="1:16" ht="16" customHeight="1" x14ac:dyDescent="0.35">
      <c r="A86" s="418">
        <v>2024</v>
      </c>
      <c r="B86" s="409" t="s">
        <v>511</v>
      </c>
      <c r="C86" s="617">
        <f t="shared" si="0"/>
        <v>107.87816967559549</v>
      </c>
      <c r="D86" s="412">
        <v>1.6772140730398455</v>
      </c>
      <c r="E86" s="415">
        <v>2797909</v>
      </c>
      <c r="F86" s="415">
        <v>2796574</v>
      </c>
      <c r="H86" s="418">
        <v>2024</v>
      </c>
      <c r="I86" s="617">
        <f t="shared" si="1"/>
        <v>109.44406393709943</v>
      </c>
      <c r="J86" s="420">
        <v>2.2525757126248269</v>
      </c>
      <c r="K86" s="414">
        <v>2777197</v>
      </c>
      <c r="L86" s="299"/>
    </row>
    <row r="87" spans="1:16" ht="15.5" x14ac:dyDescent="0.35">
      <c r="A87" s="418">
        <v>2025</v>
      </c>
      <c r="B87" s="409" t="s">
        <v>512</v>
      </c>
      <c r="C87" s="617">
        <f t="shared" si="0"/>
        <v>109.72511761910458</v>
      </c>
      <c r="D87" s="412">
        <v>1.7120682980283464</v>
      </c>
      <c r="E87" s="415">
        <v>2887034</v>
      </c>
      <c r="F87" s="415">
        <v>2887858</v>
      </c>
      <c r="H87" s="418">
        <v>2025</v>
      </c>
      <c r="I87" s="617">
        <f t="shared" si="1"/>
        <v>111.29800710001936</v>
      </c>
      <c r="J87" s="420">
        <v>1.6939641093604241</v>
      </c>
      <c r="K87" s="414">
        <v>2863239</v>
      </c>
      <c r="L87" s="299"/>
    </row>
    <row r="88" spans="1:16" ht="16" customHeight="1" x14ac:dyDescent="0.35">
      <c r="A88" s="418">
        <v>2026</v>
      </c>
      <c r="B88" s="409" t="s">
        <v>513</v>
      </c>
      <c r="C88" s="617">
        <f t="shared" si="0"/>
        <v>111.5075775742984</v>
      </c>
      <c r="D88" s="412">
        <v>1.6244775980841286</v>
      </c>
      <c r="E88" s="415">
        <v>2995053</v>
      </c>
      <c r="F88" s="415">
        <v>2994768</v>
      </c>
      <c r="H88" s="418">
        <v>2026</v>
      </c>
      <c r="I88" s="617">
        <f t="shared" si="1"/>
        <v>113.10753140579313</v>
      </c>
      <c r="J88" s="420">
        <v>1.6258371132805705</v>
      </c>
      <c r="K88" s="414">
        <v>2967103</v>
      </c>
      <c r="L88" s="299"/>
    </row>
    <row r="89" spans="1:16" ht="15.5" x14ac:dyDescent="0.35">
      <c r="A89" s="325">
        <v>2027</v>
      </c>
      <c r="B89" s="326" t="s">
        <v>514</v>
      </c>
      <c r="C89" s="618">
        <f t="shared" si="0"/>
        <v>113.48615486823597</v>
      </c>
      <c r="D89" s="327">
        <v>1.77438819583291</v>
      </c>
      <c r="E89" s="415">
        <v>3105804</v>
      </c>
      <c r="F89" s="416">
        <v>3105804</v>
      </c>
      <c r="H89" s="418">
        <v>2027</v>
      </c>
      <c r="I89" s="617">
        <f t="shared" si="1"/>
        <v>115.07457726947129</v>
      </c>
      <c r="J89" s="420">
        <v>1.7390936211144403</v>
      </c>
      <c r="K89" s="414">
        <v>3078047</v>
      </c>
      <c r="L89" s="299"/>
    </row>
    <row r="90" spans="1:16" ht="15.5" x14ac:dyDescent="0.35">
      <c r="A90" s="418">
        <v>2028</v>
      </c>
      <c r="B90" s="326" t="s">
        <v>515</v>
      </c>
      <c r="C90" s="618">
        <f t="shared" si="0"/>
        <v>115.62068503218745</v>
      </c>
      <c r="D90" s="327">
        <v>1.8808727517729329</v>
      </c>
      <c r="E90" s="415">
        <v>3218152</v>
      </c>
      <c r="F90" s="416">
        <v>3218152</v>
      </c>
      <c r="H90" s="418">
        <v>2028</v>
      </c>
      <c r="I90" s="617">
        <f t="shared" si="1"/>
        <v>117.2157167904361</v>
      </c>
      <c r="J90" s="420">
        <v>1.8606538227387004</v>
      </c>
      <c r="K90" s="414">
        <v>3189956</v>
      </c>
      <c r="L90" s="299"/>
    </row>
    <row r="91" spans="1:16" ht="32.5" customHeight="1" x14ac:dyDescent="0.35">
      <c r="B91" s="328" t="s">
        <v>516</v>
      </c>
      <c r="C91" s="324" t="s">
        <v>517</v>
      </c>
      <c r="D91" s="297"/>
      <c r="E91" s="329"/>
      <c r="F91" s="329"/>
      <c r="H91" s="328" t="s">
        <v>516</v>
      </c>
      <c r="I91" s="324" t="s">
        <v>517</v>
      </c>
      <c r="K91" s="330"/>
      <c r="L91" s="299"/>
    </row>
    <row r="92" spans="1:16" ht="32.15" customHeight="1" x14ac:dyDescent="0.35">
      <c r="B92" s="331" t="s">
        <v>518</v>
      </c>
      <c r="C92" s="332"/>
      <c r="D92" s="333"/>
      <c r="E92" s="334"/>
      <c r="F92" s="334"/>
      <c r="G92" s="335"/>
      <c r="H92" s="335"/>
      <c r="I92" s="335"/>
      <c r="J92" s="335"/>
      <c r="K92" s="335"/>
      <c r="L92" s="299"/>
    </row>
    <row r="93" spans="1:16" ht="15" customHeight="1" x14ac:dyDescent="0.35">
      <c r="B93" s="336" t="s">
        <v>519</v>
      </c>
      <c r="C93" s="708" t="s">
        <v>520</v>
      </c>
      <c r="D93" s="708"/>
      <c r="E93" s="708"/>
      <c r="F93" s="708"/>
      <c r="G93" s="708"/>
      <c r="H93" s="708"/>
      <c r="I93" s="708"/>
      <c r="J93" s="708"/>
      <c r="K93" s="708"/>
      <c r="L93" s="299"/>
    </row>
    <row r="94" spans="1:16" ht="15" customHeight="1" x14ac:dyDescent="0.35">
      <c r="B94" s="336"/>
      <c r="C94" s="707" t="s">
        <v>521</v>
      </c>
      <c r="D94" s="707"/>
      <c r="E94" s="707"/>
      <c r="F94" s="707"/>
      <c r="G94" s="707"/>
      <c r="H94" s="707"/>
      <c r="I94" s="707"/>
      <c r="J94" s="707"/>
      <c r="K94" s="707"/>
      <c r="L94" s="299"/>
      <c r="M94" s="338"/>
      <c r="N94" s="338"/>
      <c r="P94" s="338"/>
    </row>
    <row r="95" spans="1:16" ht="15" customHeight="1" x14ac:dyDescent="0.35">
      <c r="B95" s="336"/>
      <c r="C95" s="708" t="s">
        <v>522</v>
      </c>
      <c r="D95" s="708"/>
      <c r="E95" s="708"/>
      <c r="F95" s="708"/>
      <c r="G95" s="708"/>
      <c r="H95" s="708"/>
      <c r="I95" s="708"/>
      <c r="J95" s="708"/>
      <c r="K95" s="708"/>
      <c r="L95" s="299"/>
    </row>
    <row r="96" spans="1:16" ht="16" customHeight="1" x14ac:dyDescent="0.35">
      <c r="B96" s="336"/>
      <c r="C96" s="707" t="s">
        <v>521</v>
      </c>
      <c r="D96" s="707"/>
      <c r="E96" s="707"/>
      <c r="F96" s="707"/>
      <c r="G96" s="707"/>
      <c r="H96" s="707"/>
      <c r="I96" s="707"/>
      <c r="J96" s="707"/>
      <c r="K96" s="707"/>
      <c r="L96" s="299"/>
      <c r="M96" s="338"/>
      <c r="N96" s="338"/>
      <c r="P96" s="338"/>
    </row>
    <row r="97" spans="2:16" ht="15" customHeight="1" x14ac:dyDescent="0.35">
      <c r="B97" s="336"/>
      <c r="C97" s="708" t="s">
        <v>523</v>
      </c>
      <c r="D97" s="708"/>
      <c r="E97" s="708"/>
      <c r="F97" s="708"/>
      <c r="G97" s="708"/>
      <c r="H97" s="708"/>
      <c r="I97" s="708"/>
      <c r="J97" s="708"/>
      <c r="K97" s="708"/>
      <c r="L97" s="299"/>
    </row>
    <row r="98" spans="2:16" ht="15" customHeight="1" x14ac:dyDescent="0.35">
      <c r="B98" s="336"/>
      <c r="C98" s="707" t="s">
        <v>524</v>
      </c>
      <c r="D98" s="707"/>
      <c r="E98" s="707"/>
      <c r="F98" s="707"/>
      <c r="G98" s="707"/>
      <c r="H98" s="707"/>
      <c r="I98" s="707"/>
      <c r="J98" s="707"/>
      <c r="K98" s="707"/>
      <c r="L98" s="299"/>
    </row>
    <row r="99" spans="2:16" ht="16" customHeight="1" x14ac:dyDescent="0.35">
      <c r="B99" s="336" t="s">
        <v>525</v>
      </c>
      <c r="C99" s="708" t="s">
        <v>526</v>
      </c>
      <c r="D99" s="708"/>
      <c r="E99" s="708"/>
      <c r="F99" s="708"/>
      <c r="G99" s="708"/>
      <c r="H99" s="708"/>
      <c r="I99" s="708"/>
      <c r="J99" s="708"/>
      <c r="K99" s="708"/>
      <c r="L99" s="299"/>
    </row>
    <row r="100" spans="2:16" ht="15" customHeight="1" x14ac:dyDescent="0.35">
      <c r="B100" s="336"/>
      <c r="C100" s="707" t="s">
        <v>521</v>
      </c>
      <c r="D100" s="707"/>
      <c r="E100" s="707"/>
      <c r="F100" s="707"/>
      <c r="G100" s="707"/>
      <c r="H100" s="707"/>
      <c r="I100" s="707"/>
      <c r="J100" s="707"/>
      <c r="K100" s="707"/>
      <c r="L100" s="299"/>
    </row>
    <row r="101" spans="2:16" ht="34.75" customHeight="1" x14ac:dyDescent="0.35">
      <c r="B101" s="336"/>
      <c r="C101" s="708" t="s">
        <v>527</v>
      </c>
      <c r="D101" s="708"/>
      <c r="E101" s="708"/>
      <c r="F101" s="708"/>
      <c r="G101" s="708"/>
      <c r="H101" s="708"/>
      <c r="I101" s="708"/>
      <c r="J101" s="708"/>
      <c r="K101" s="708"/>
      <c r="L101" s="299"/>
      <c r="M101" s="338"/>
      <c r="N101" s="338"/>
      <c r="P101" s="338"/>
    </row>
    <row r="102" spans="2:16" ht="15" customHeight="1" x14ac:dyDescent="0.35">
      <c r="B102" s="336"/>
      <c r="C102" s="707" t="s">
        <v>521</v>
      </c>
      <c r="D102" s="707"/>
      <c r="E102" s="707"/>
      <c r="F102" s="707"/>
      <c r="G102" s="707"/>
      <c r="H102" s="707"/>
      <c r="I102" s="707"/>
      <c r="J102" s="707"/>
      <c r="K102" s="707"/>
      <c r="L102" s="299"/>
      <c r="M102" s="338"/>
      <c r="N102" s="338"/>
      <c r="P102" s="338"/>
    </row>
    <row r="103" spans="2:16" ht="34.75" customHeight="1" x14ac:dyDescent="0.35">
      <c r="B103" s="336"/>
      <c r="C103" s="708" t="s">
        <v>528</v>
      </c>
      <c r="D103" s="708"/>
      <c r="E103" s="708"/>
      <c r="F103" s="708"/>
      <c r="G103" s="708"/>
      <c r="H103" s="708"/>
      <c r="I103" s="708"/>
      <c r="J103" s="708"/>
      <c r="K103" s="708"/>
      <c r="L103" s="299"/>
      <c r="M103" s="338"/>
      <c r="N103" s="338"/>
      <c r="P103" s="338"/>
    </row>
    <row r="104" spans="2:16" ht="34.75" customHeight="1" x14ac:dyDescent="0.35">
      <c r="B104" s="336"/>
      <c r="C104" s="707" t="s">
        <v>524</v>
      </c>
      <c r="D104" s="707"/>
      <c r="E104" s="707"/>
      <c r="F104" s="707"/>
      <c r="G104" s="707"/>
      <c r="H104" s="707"/>
      <c r="I104" s="707"/>
      <c r="J104" s="707"/>
      <c r="K104" s="707"/>
      <c r="L104" s="299"/>
      <c r="M104" s="338"/>
      <c r="N104" s="338"/>
      <c r="P104" s="338"/>
    </row>
    <row r="105" spans="2:16" ht="17.149999999999999" customHeight="1" x14ac:dyDescent="0.35">
      <c r="B105" s="336" t="s">
        <v>529</v>
      </c>
      <c r="C105" s="339"/>
      <c r="D105" s="340"/>
      <c r="E105" s="341"/>
      <c r="F105" s="341"/>
      <c r="G105" s="337"/>
      <c r="H105" s="337"/>
      <c r="I105" s="339"/>
      <c r="J105" s="340"/>
      <c r="K105" s="341"/>
      <c r="L105" s="299"/>
      <c r="M105" s="338"/>
      <c r="N105" s="338"/>
      <c r="P105" s="338"/>
    </row>
    <row r="106" spans="2:16" ht="18.75" customHeight="1" x14ac:dyDescent="0.35">
      <c r="B106" s="342" t="s">
        <v>530</v>
      </c>
      <c r="C106" s="709" t="s">
        <v>531</v>
      </c>
      <c r="D106" s="709"/>
      <c r="E106" s="709"/>
      <c r="F106" s="709"/>
      <c r="G106" s="709"/>
      <c r="H106" s="709"/>
      <c r="I106" s="709"/>
      <c r="J106" s="709"/>
      <c r="K106" s="709"/>
      <c r="L106" s="299"/>
      <c r="M106" s="338"/>
      <c r="N106" s="338"/>
      <c r="P106" s="338"/>
    </row>
    <row r="107" spans="2:16" ht="16.5" customHeight="1" x14ac:dyDescent="0.35">
      <c r="B107" s="342" t="s">
        <v>532</v>
      </c>
      <c r="C107" s="708" t="s">
        <v>533</v>
      </c>
      <c r="D107" s="708"/>
      <c r="E107" s="708"/>
      <c r="F107" s="708"/>
      <c r="G107" s="708"/>
      <c r="H107" s="708"/>
      <c r="I107" s="708"/>
      <c r="J107" s="708"/>
      <c r="K107" s="708"/>
      <c r="L107" s="299"/>
      <c r="M107" s="338"/>
      <c r="N107" s="338"/>
      <c r="P107" s="338"/>
    </row>
    <row r="108" spans="2:16" ht="18.75" customHeight="1" x14ac:dyDescent="0.35">
      <c r="B108" s="342" t="s">
        <v>534</v>
      </c>
      <c r="C108" s="708" t="s">
        <v>535</v>
      </c>
      <c r="D108" s="708"/>
      <c r="E108" s="708"/>
      <c r="F108" s="708"/>
      <c r="G108" s="708"/>
      <c r="H108" s="708"/>
      <c r="I108" s="708"/>
      <c r="J108" s="708"/>
      <c r="K108" s="708"/>
      <c r="L108" s="299"/>
      <c r="M108" s="338"/>
      <c r="N108" s="338"/>
      <c r="P108" s="338"/>
    </row>
    <row r="109" spans="2:16" ht="16.5" customHeight="1" x14ac:dyDescent="0.35">
      <c r="B109" s="342" t="s">
        <v>536</v>
      </c>
      <c r="C109" s="708" t="s">
        <v>537</v>
      </c>
      <c r="D109" s="708"/>
      <c r="E109" s="708"/>
      <c r="F109" s="708"/>
      <c r="G109" s="708"/>
      <c r="H109" s="708"/>
      <c r="I109" s="708"/>
      <c r="J109" s="708"/>
      <c r="K109" s="708"/>
      <c r="L109" s="299"/>
    </row>
    <row r="110" spans="2:16" ht="16.5" customHeight="1" x14ac:dyDescent="0.35">
      <c r="B110" s="342" t="s">
        <v>538</v>
      </c>
      <c r="C110" s="708" t="s">
        <v>539</v>
      </c>
      <c r="D110" s="708"/>
      <c r="E110" s="708"/>
      <c r="F110" s="708"/>
      <c r="G110" s="708"/>
      <c r="H110" s="708"/>
      <c r="I110" s="708"/>
      <c r="J110" s="708"/>
      <c r="K110" s="708"/>
      <c r="L110" s="299"/>
    </row>
    <row r="111" spans="2:16" ht="15" customHeight="1" x14ac:dyDescent="0.35">
      <c r="B111" s="336"/>
      <c r="C111" s="707" t="s">
        <v>540</v>
      </c>
      <c r="D111" s="707"/>
      <c r="E111" s="707"/>
      <c r="F111" s="707"/>
      <c r="G111" s="707"/>
      <c r="H111" s="707"/>
      <c r="I111" s="707"/>
      <c r="J111" s="707"/>
      <c r="K111" s="707"/>
      <c r="L111" s="299"/>
    </row>
    <row r="112" spans="2:16" ht="16.5" customHeight="1" x14ac:dyDescent="0.35">
      <c r="B112" s="342" t="s">
        <v>541</v>
      </c>
      <c r="C112" s="708" t="s">
        <v>542</v>
      </c>
      <c r="D112" s="708"/>
      <c r="E112" s="708"/>
      <c r="F112" s="708"/>
      <c r="G112" s="708"/>
      <c r="H112" s="708"/>
      <c r="I112" s="708"/>
      <c r="J112" s="708"/>
      <c r="K112" s="708"/>
      <c r="L112" s="299"/>
    </row>
    <row r="113" spans="2:12" ht="15" customHeight="1" x14ac:dyDescent="0.35">
      <c r="B113" s="336"/>
      <c r="C113" s="707" t="s">
        <v>543</v>
      </c>
      <c r="D113" s="707"/>
      <c r="E113" s="707"/>
      <c r="F113" s="707"/>
      <c r="G113" s="707"/>
      <c r="H113" s="707"/>
      <c r="I113" s="707"/>
      <c r="J113" s="707"/>
      <c r="K113" s="707"/>
      <c r="L113" s="299"/>
    </row>
    <row r="114" spans="2:12" ht="15.5" x14ac:dyDescent="0.35">
      <c r="B114" s="299"/>
      <c r="C114" s="343"/>
      <c r="D114" s="344"/>
      <c r="E114" s="345"/>
      <c r="F114" s="345"/>
      <c r="G114" s="299"/>
      <c r="H114" s="308"/>
      <c r="I114" s="309"/>
      <c r="J114" s="310"/>
      <c r="K114" s="311"/>
      <c r="L114" s="299"/>
    </row>
    <row r="115" spans="2:12" ht="15.5" x14ac:dyDescent="0.35">
      <c r="B115" s="299"/>
      <c r="C115" s="343"/>
      <c r="D115" s="344"/>
      <c r="E115" s="345"/>
      <c r="F115" s="345"/>
      <c r="G115" s="299"/>
      <c r="H115" s="308"/>
      <c r="I115" s="309"/>
      <c r="J115" s="310"/>
      <c r="K115" s="311"/>
      <c r="L115" s="299"/>
    </row>
    <row r="116" spans="2:12" ht="15.5" x14ac:dyDescent="0.35">
      <c r="B116" s="299"/>
      <c r="C116" s="343"/>
      <c r="D116" s="344"/>
      <c r="E116" s="345"/>
      <c r="F116" s="345"/>
      <c r="G116" s="299"/>
      <c r="H116" s="308"/>
      <c r="I116" s="309"/>
      <c r="J116" s="310"/>
      <c r="K116" s="311"/>
      <c r="L116" s="299"/>
    </row>
    <row r="117" spans="2:12" ht="15.5" x14ac:dyDescent="0.35">
      <c r="B117" s="299"/>
      <c r="C117" s="343"/>
      <c r="D117" s="344"/>
      <c r="E117" s="345"/>
      <c r="F117" s="345"/>
      <c r="G117" s="299"/>
      <c r="H117" s="308"/>
      <c r="I117" s="309"/>
      <c r="J117" s="310"/>
      <c r="K117" s="311"/>
      <c r="L117" s="299"/>
    </row>
  </sheetData>
  <sheetProtection algorithmName="SHA-512" hashValue="8VHwDwVn4V/knx4w7txGJIqSe3R/wHdzxNL4Tzo4ep/IQou4CDPGsVva0zAKdDhDLSagWLX8BAjqp2CCWK/7vQ==" saltValue="xKoko6a7hxsCF20KIXhoTA==" spinCount="100000" sheet="1" formatRows="0"/>
  <mergeCells count="28">
    <mergeCell ref="I2:N2"/>
    <mergeCell ref="B5:L5"/>
    <mergeCell ref="B14:F14"/>
    <mergeCell ref="H14:K14"/>
    <mergeCell ref="C15:D15"/>
    <mergeCell ref="I15:J15"/>
    <mergeCell ref="C98:K98"/>
    <mergeCell ref="C104:K104"/>
    <mergeCell ref="B12:K12"/>
    <mergeCell ref="B13:K13"/>
    <mergeCell ref="C93:K93"/>
    <mergeCell ref="C94:K94"/>
    <mergeCell ref="C113:K113"/>
    <mergeCell ref="C112:K112"/>
    <mergeCell ref="C95:K95"/>
    <mergeCell ref="C96:K96"/>
    <mergeCell ref="C100:K100"/>
    <mergeCell ref="C101:K101"/>
    <mergeCell ref="C99:K99"/>
    <mergeCell ref="C108:K108"/>
    <mergeCell ref="C106:K106"/>
    <mergeCell ref="C111:K111"/>
    <mergeCell ref="C102:K102"/>
    <mergeCell ref="C103:K103"/>
    <mergeCell ref="C97:K97"/>
    <mergeCell ref="C110:K110"/>
    <mergeCell ref="C109:K109"/>
    <mergeCell ref="C107:K107"/>
  </mergeCells>
  <hyperlinks>
    <hyperlink ref="B8" r:id="rId1" xr:uid="{C0943CF4-8CDD-49AB-ACCB-5D3F86EFA042}"/>
    <hyperlink ref="I2" location="Welcome!A1" display="CLICK to return to Welcome screen" xr:uid="{CBDE1AC7-1E07-4A83-959A-210E91F2D5B1}"/>
    <hyperlink ref="C96:K96" r:id="rId2" display="https://www.ons.gov.uk/file?uri=/economy/grossdomesticproductgdp/datasets/uksecondestimateofgdpdatatables/quarter4octtodec2022quarterlynationalaccounts/quarterlynationalaccountsdatatables.xlsx" xr:uid="{86BB69F4-E6ED-40AE-A282-A4950D4AD9DF}"/>
    <hyperlink ref="C94:K94" r:id="rId3" display="https://www.ons.gov.uk/file?uri=/economy/grossdomesticproductgdp/datasets/uksecondestimateofgdpdatatables/quarter4octtodec2022quarterlynationalaccounts/quarterlynationalaccountsdatatables.xlsx" xr:uid="{660C7300-8E51-4631-9D8C-6A7CE5F8D72D}"/>
    <hyperlink ref="C98:K98" r:id="rId4" display="https://obr.uk/efo/economic-and-fiscal-outlook-march-2023/" xr:uid="{9290C7D2-1FB2-4C2F-855B-583FA5E510E9}"/>
    <hyperlink ref="C102:K102" r:id="rId5" display="https://www.ons.gov.uk/file?uri=/economy/grossdomesticproductgdp/datasets/uksecondestimateofgdpdatatables/quarter4octtodec2022quarterlynationalaccounts/quarterlynationalaccountsdatatables.xlsx" xr:uid="{AEDD1378-9482-49F4-8C38-12ABF1F35AA7}"/>
    <hyperlink ref="C100:K100" r:id="rId6" display="https://www.ons.gov.uk/file?uri=/economy/grossdomesticproductgdp/datasets/uksecondestimateofgdpdatatables/quarter4octtodec2022quarterlynationalaccounts/quarterlynationalaccountsdatatables.xlsx" xr:uid="{DB49858E-8B30-4A7D-B172-4B7BFE29E5CE}"/>
    <hyperlink ref="C104:K104" r:id="rId7" display="https://obr.uk/efo/economic-and-fiscal-outlook-march-2023/" xr:uid="{D82BE6A8-EDA4-4E74-A1E9-8B7CD929FDB6}"/>
    <hyperlink ref="C111" r:id="rId8" xr:uid="{D2FDA938-2B6B-4111-A02E-4CEFD555BA93}"/>
    <hyperlink ref="C113" r:id="rId9" xr:uid="{4D605154-8E56-4E79-A77F-6A78EB167714}"/>
  </hyperlinks>
  <pageMargins left="1.55" right="0.75" top="0.45" bottom="0.5" header="0.3" footer="0.23"/>
  <pageSetup paperSize="9" scale="10" orientation="portrait" horizontalDpi="300" verticalDpi="300" r:id="rId10"/>
  <headerFooter alignWithMargins="0">
    <oddFooter xml:space="preserve">&amp;C_x000D_&amp;1#&amp;"Calibri"&amp;12&amp;K0078D7 OFFICIAL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BDCF-F8F7-4F22-B943-1D06DCB6603A}">
  <sheetPr codeName="Sheet17">
    <tabColor theme="9"/>
  </sheetPr>
  <dimension ref="A1:DA13"/>
  <sheetViews>
    <sheetView showGridLines="0" workbookViewId="0">
      <selection activeCell="C27" sqref="C27"/>
    </sheetView>
  </sheetViews>
  <sheetFormatPr defaultColWidth="0" defaultRowHeight="14.5" x14ac:dyDescent="0.35"/>
  <cols>
    <col min="1" max="1" width="1.453125" customWidth="1"/>
    <col min="2" max="2" width="23.54296875" bestFit="1" customWidth="1"/>
    <col min="3" max="3" width="24" customWidth="1"/>
    <col min="4" max="4" width="13.26953125" bestFit="1" customWidth="1"/>
    <col min="5" max="64" width="8.54296875" customWidth="1"/>
    <col min="65" max="105" width="9.1796875" customWidth="1"/>
    <col min="106" max="16384" width="9.1796875" hidden="1"/>
  </cols>
  <sheetData>
    <row r="1" spans="1:105" ht="2.5" customHeight="1" x14ac:dyDescent="0.35"/>
    <row r="2" spans="1:105" s="106" customFormat="1" ht="18.5" x14ac:dyDescent="0.45">
      <c r="A2" s="288"/>
      <c r="B2" s="289" t="s">
        <v>362</v>
      </c>
      <c r="C2" s="289"/>
      <c r="D2" s="289"/>
      <c r="E2" s="288"/>
      <c r="F2" s="288"/>
      <c r="G2" s="288"/>
      <c r="H2" s="288"/>
      <c r="I2" s="705" t="s">
        <v>59</v>
      </c>
      <c r="J2" s="705"/>
      <c r="K2" s="705"/>
      <c r="L2" s="705"/>
      <c r="M2" s="705"/>
      <c r="N2" s="705"/>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row>
    <row r="3" spans="1:105" s="78" customFormat="1" ht="3" customHeight="1" x14ac:dyDescent="0.3">
      <c r="B3" s="79"/>
      <c r="C3" s="79"/>
      <c r="D3" s="79"/>
    </row>
    <row r="4" spans="1:105" s="106" customFormat="1" ht="13" x14ac:dyDescent="0.3">
      <c r="A4" s="290"/>
      <c r="B4" s="291" t="s">
        <v>544</v>
      </c>
      <c r="C4" s="291"/>
      <c r="D4" s="291"/>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row>
    <row r="5" spans="1:105" s="106" customFormat="1" ht="7.5" customHeight="1" thickBot="1" x14ac:dyDescent="0.35">
      <c r="B5" s="202"/>
      <c r="C5" s="202"/>
      <c r="D5" s="202"/>
    </row>
    <row r="6" spans="1:105" s="153" customFormat="1" ht="14.25" customHeight="1" thickBot="1" x14ac:dyDescent="0.35">
      <c r="C6" s="508" t="s">
        <v>545</v>
      </c>
      <c r="D6" s="425" cm="1">
        <f t="array" ref="D6:BK6">FinancialYearRange60</f>
        <v>0</v>
      </c>
      <c r="E6" s="425" t="e">
        <v>#N/A</v>
      </c>
      <c r="F6" s="421" t="e">
        <v>#N/A</v>
      </c>
      <c r="G6" s="421" t="e">
        <v>#N/A</v>
      </c>
      <c r="H6" s="421" t="e">
        <v>#N/A</v>
      </c>
      <c r="I6" s="421" t="e">
        <v>#N/A</v>
      </c>
      <c r="J6" s="421" t="e">
        <v>#N/A</v>
      </c>
      <c r="K6" s="421" t="e">
        <v>#N/A</v>
      </c>
      <c r="L6" s="421" t="e">
        <v>#N/A</v>
      </c>
      <c r="M6" s="421" t="e">
        <v>#N/A</v>
      </c>
      <c r="N6" s="421" t="e">
        <v>#N/A</v>
      </c>
      <c r="O6" s="421" t="e">
        <v>#N/A</v>
      </c>
      <c r="P6" s="421" t="e">
        <v>#N/A</v>
      </c>
      <c r="Q6" s="421" t="e">
        <v>#N/A</v>
      </c>
      <c r="R6" s="421" t="e">
        <v>#N/A</v>
      </c>
      <c r="S6" s="421" t="e">
        <v>#N/A</v>
      </c>
      <c r="T6" s="421" t="e">
        <v>#N/A</v>
      </c>
      <c r="U6" s="421" t="e">
        <v>#N/A</v>
      </c>
      <c r="V6" s="421" t="e">
        <v>#N/A</v>
      </c>
      <c r="W6" s="421" t="e">
        <v>#N/A</v>
      </c>
      <c r="X6" s="421" t="e">
        <v>#N/A</v>
      </c>
      <c r="Y6" s="421" t="e">
        <v>#N/A</v>
      </c>
      <c r="Z6" s="421" t="e">
        <v>#N/A</v>
      </c>
      <c r="AA6" s="421" t="e">
        <v>#N/A</v>
      </c>
      <c r="AB6" s="421" t="e">
        <v>#N/A</v>
      </c>
      <c r="AC6" s="421" t="e">
        <v>#N/A</v>
      </c>
      <c r="AD6" s="421" t="e">
        <v>#N/A</v>
      </c>
      <c r="AE6" s="421" t="e">
        <v>#N/A</v>
      </c>
      <c r="AF6" s="421" t="e">
        <v>#N/A</v>
      </c>
      <c r="AG6" s="421" t="e">
        <v>#N/A</v>
      </c>
      <c r="AH6" s="421" t="e">
        <v>#N/A</v>
      </c>
      <c r="AI6" s="421" t="e">
        <v>#N/A</v>
      </c>
      <c r="AJ6" s="421" t="e">
        <v>#N/A</v>
      </c>
      <c r="AK6" s="421" t="e">
        <v>#N/A</v>
      </c>
      <c r="AL6" s="421" t="e">
        <v>#N/A</v>
      </c>
      <c r="AM6" s="421" t="e">
        <v>#N/A</v>
      </c>
      <c r="AN6" s="421" t="e">
        <v>#N/A</v>
      </c>
      <c r="AO6" s="421" t="e">
        <v>#N/A</v>
      </c>
      <c r="AP6" s="421" t="e">
        <v>#N/A</v>
      </c>
      <c r="AQ6" s="421" t="e">
        <v>#N/A</v>
      </c>
      <c r="AR6" s="421" t="e">
        <v>#N/A</v>
      </c>
      <c r="AS6" s="421" t="e">
        <v>#N/A</v>
      </c>
      <c r="AT6" s="421" t="e">
        <v>#N/A</v>
      </c>
      <c r="AU6" s="421" t="e">
        <v>#N/A</v>
      </c>
      <c r="AV6" s="421" t="e">
        <v>#N/A</v>
      </c>
      <c r="AW6" s="421" t="e">
        <v>#N/A</v>
      </c>
      <c r="AX6" s="421" t="e">
        <v>#N/A</v>
      </c>
      <c r="AY6" s="421" t="e">
        <v>#N/A</v>
      </c>
      <c r="AZ6" s="421" t="e">
        <v>#N/A</v>
      </c>
      <c r="BA6" s="421" t="e">
        <v>#N/A</v>
      </c>
      <c r="BB6" s="421" t="e">
        <v>#N/A</v>
      </c>
      <c r="BC6" s="421" t="e">
        <v>#N/A</v>
      </c>
      <c r="BD6" s="421" t="e">
        <v>#N/A</v>
      </c>
      <c r="BE6" s="421" t="e">
        <v>#N/A</v>
      </c>
      <c r="BF6" s="421" t="e">
        <v>#N/A</v>
      </c>
      <c r="BG6" s="421" t="e">
        <v>#N/A</v>
      </c>
      <c r="BH6" s="421" t="e">
        <v>#N/A</v>
      </c>
      <c r="BI6" s="421" t="e">
        <v>#N/A</v>
      </c>
      <c r="BJ6" s="421" t="e">
        <v>#N/A</v>
      </c>
      <c r="BK6" s="514" t="e">
        <v>#N/A</v>
      </c>
      <c r="BL6" s="510"/>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row>
    <row r="7" spans="1:105" s="82" customFormat="1" ht="14.25" customHeight="1" thickBot="1" x14ac:dyDescent="0.35">
      <c r="C7" s="509" t="s">
        <v>546</v>
      </c>
      <c r="D7" s="426">
        <v>0</v>
      </c>
      <c r="E7" s="426">
        <v>1</v>
      </c>
      <c r="F7" s="422">
        <v>2</v>
      </c>
      <c r="G7" s="422">
        <v>3</v>
      </c>
      <c r="H7" s="422">
        <v>4</v>
      </c>
      <c r="I7" s="422">
        <v>5</v>
      </c>
      <c r="J7" s="422">
        <v>6</v>
      </c>
      <c r="K7" s="422">
        <v>7</v>
      </c>
      <c r="L7" s="422">
        <v>8</v>
      </c>
      <c r="M7" s="422">
        <v>9</v>
      </c>
      <c r="N7" s="422">
        <v>10</v>
      </c>
      <c r="O7" s="422">
        <v>11</v>
      </c>
      <c r="P7" s="422">
        <v>12</v>
      </c>
      <c r="Q7" s="422">
        <v>13</v>
      </c>
      <c r="R7" s="422">
        <v>14</v>
      </c>
      <c r="S7" s="422">
        <v>15</v>
      </c>
      <c r="T7" s="422">
        <v>16</v>
      </c>
      <c r="U7" s="422">
        <v>17</v>
      </c>
      <c r="V7" s="422">
        <v>18</v>
      </c>
      <c r="W7" s="422">
        <v>19</v>
      </c>
      <c r="X7" s="422">
        <v>20</v>
      </c>
      <c r="Y7" s="422">
        <v>21</v>
      </c>
      <c r="Z7" s="422">
        <v>22</v>
      </c>
      <c r="AA7" s="422">
        <v>23</v>
      </c>
      <c r="AB7" s="422">
        <v>24</v>
      </c>
      <c r="AC7" s="422">
        <v>25</v>
      </c>
      <c r="AD7" s="422">
        <v>26</v>
      </c>
      <c r="AE7" s="422">
        <v>27</v>
      </c>
      <c r="AF7" s="422">
        <v>28</v>
      </c>
      <c r="AG7" s="422">
        <v>29</v>
      </c>
      <c r="AH7" s="422">
        <v>30</v>
      </c>
      <c r="AI7" s="422">
        <v>31</v>
      </c>
      <c r="AJ7" s="422">
        <v>32</v>
      </c>
      <c r="AK7" s="422">
        <v>33</v>
      </c>
      <c r="AL7" s="422">
        <v>34</v>
      </c>
      <c r="AM7" s="422">
        <v>35</v>
      </c>
      <c r="AN7" s="422">
        <v>36</v>
      </c>
      <c r="AO7" s="422">
        <v>37</v>
      </c>
      <c r="AP7" s="422">
        <v>38</v>
      </c>
      <c r="AQ7" s="422">
        <v>39</v>
      </c>
      <c r="AR7" s="422">
        <v>40</v>
      </c>
      <c r="AS7" s="422">
        <v>41</v>
      </c>
      <c r="AT7" s="422">
        <v>42</v>
      </c>
      <c r="AU7" s="422">
        <v>43</v>
      </c>
      <c r="AV7" s="422">
        <v>44</v>
      </c>
      <c r="AW7" s="422">
        <v>45</v>
      </c>
      <c r="AX7" s="422">
        <v>46</v>
      </c>
      <c r="AY7" s="422">
        <v>47</v>
      </c>
      <c r="AZ7" s="422">
        <v>48</v>
      </c>
      <c r="BA7" s="422">
        <v>49</v>
      </c>
      <c r="BB7" s="422">
        <v>50</v>
      </c>
      <c r="BC7" s="422">
        <v>51</v>
      </c>
      <c r="BD7" s="422">
        <v>52</v>
      </c>
      <c r="BE7" s="422">
        <v>53</v>
      </c>
      <c r="BF7" s="422">
        <v>54</v>
      </c>
      <c r="BG7" s="422">
        <v>55</v>
      </c>
      <c r="BH7" s="422">
        <v>56</v>
      </c>
      <c r="BI7" s="422">
        <v>57</v>
      </c>
      <c r="BJ7" s="422">
        <v>58</v>
      </c>
      <c r="BK7" s="515">
        <v>59</v>
      </c>
      <c r="BL7" s="511">
        <v>60</v>
      </c>
      <c r="BM7" s="429">
        <v>61</v>
      </c>
      <c r="BN7" s="429">
        <v>62</v>
      </c>
      <c r="BO7" s="429">
        <v>63</v>
      </c>
      <c r="BP7" s="429">
        <v>64</v>
      </c>
      <c r="BQ7" s="429">
        <v>65</v>
      </c>
      <c r="BR7" s="429">
        <v>66</v>
      </c>
      <c r="BS7" s="429">
        <v>67</v>
      </c>
      <c r="BT7" s="429">
        <v>68</v>
      </c>
      <c r="BU7" s="429">
        <v>69</v>
      </c>
      <c r="BV7" s="429">
        <v>70</v>
      </c>
      <c r="BW7" s="429">
        <v>71</v>
      </c>
      <c r="BX7" s="429">
        <v>72</v>
      </c>
      <c r="BY7" s="429">
        <v>73</v>
      </c>
      <c r="BZ7" s="429">
        <v>74</v>
      </c>
      <c r="CA7" s="429">
        <v>75</v>
      </c>
      <c r="CB7" s="429">
        <v>76</v>
      </c>
      <c r="CC7" s="429">
        <v>77</v>
      </c>
      <c r="CD7" s="429">
        <v>78</v>
      </c>
      <c r="CE7" s="429">
        <v>79</v>
      </c>
      <c r="CF7" s="429">
        <v>80</v>
      </c>
      <c r="CG7" s="429">
        <v>81</v>
      </c>
      <c r="CH7" s="429">
        <v>82</v>
      </c>
      <c r="CI7" s="429">
        <v>83</v>
      </c>
      <c r="CJ7" s="429">
        <v>84</v>
      </c>
      <c r="CK7" s="429">
        <v>85</v>
      </c>
      <c r="CL7" s="429">
        <v>86</v>
      </c>
      <c r="CM7" s="429">
        <v>87</v>
      </c>
      <c r="CN7" s="429">
        <v>88</v>
      </c>
      <c r="CO7" s="429">
        <v>89</v>
      </c>
      <c r="CP7" s="429">
        <v>90</v>
      </c>
      <c r="CQ7" s="429">
        <v>91</v>
      </c>
      <c r="CR7" s="429">
        <v>92</v>
      </c>
      <c r="CS7" s="429">
        <v>93</v>
      </c>
      <c r="CT7" s="429">
        <v>94</v>
      </c>
      <c r="CU7" s="429">
        <v>95</v>
      </c>
      <c r="CV7" s="429">
        <v>96</v>
      </c>
      <c r="CW7" s="429">
        <v>97</v>
      </c>
      <c r="CX7" s="429">
        <v>98</v>
      </c>
      <c r="CY7" s="429">
        <v>99</v>
      </c>
      <c r="CZ7" s="429">
        <v>100</v>
      </c>
    </row>
    <row r="8" spans="1:105" s="82" customFormat="1" ht="13" x14ac:dyDescent="0.3">
      <c r="B8" s="721" t="s">
        <v>547</v>
      </c>
      <c r="C8" s="116" t="s">
        <v>548</v>
      </c>
      <c r="D8" s="427">
        <v>3.5000000000000003E-2</v>
      </c>
      <c r="E8" s="427">
        <v>3.5000000000000003E-2</v>
      </c>
      <c r="F8" s="423">
        <v>3.5000000000000003E-2</v>
      </c>
      <c r="G8" s="423">
        <v>3.5000000000000003E-2</v>
      </c>
      <c r="H8" s="423">
        <v>3.5000000000000003E-2</v>
      </c>
      <c r="I8" s="423">
        <v>3.5000000000000003E-2</v>
      </c>
      <c r="J8" s="423">
        <v>3.5000000000000003E-2</v>
      </c>
      <c r="K8" s="423">
        <v>3.5000000000000003E-2</v>
      </c>
      <c r="L8" s="423">
        <v>3.5000000000000003E-2</v>
      </c>
      <c r="M8" s="423">
        <v>3.5000000000000003E-2</v>
      </c>
      <c r="N8" s="423">
        <v>3.5000000000000003E-2</v>
      </c>
      <c r="O8" s="423">
        <v>3.5000000000000003E-2</v>
      </c>
      <c r="P8" s="423">
        <v>3.5000000000000003E-2</v>
      </c>
      <c r="Q8" s="423">
        <v>3.5000000000000003E-2</v>
      </c>
      <c r="R8" s="423">
        <v>3.5000000000000003E-2</v>
      </c>
      <c r="S8" s="423">
        <v>3.5000000000000003E-2</v>
      </c>
      <c r="T8" s="423">
        <v>3.5000000000000003E-2</v>
      </c>
      <c r="U8" s="423">
        <v>3.5000000000000003E-2</v>
      </c>
      <c r="V8" s="423">
        <v>3.5000000000000003E-2</v>
      </c>
      <c r="W8" s="423">
        <v>3.5000000000000003E-2</v>
      </c>
      <c r="X8" s="423">
        <v>3.5000000000000003E-2</v>
      </c>
      <c r="Y8" s="423">
        <v>3.5000000000000003E-2</v>
      </c>
      <c r="Z8" s="423">
        <v>3.5000000000000003E-2</v>
      </c>
      <c r="AA8" s="423">
        <v>3.5000000000000003E-2</v>
      </c>
      <c r="AB8" s="423">
        <v>3.5000000000000003E-2</v>
      </c>
      <c r="AC8" s="423">
        <v>3.5000000000000003E-2</v>
      </c>
      <c r="AD8" s="423">
        <v>3.5000000000000003E-2</v>
      </c>
      <c r="AE8" s="423">
        <v>3.5000000000000003E-2</v>
      </c>
      <c r="AF8" s="423">
        <v>3.5000000000000003E-2</v>
      </c>
      <c r="AG8" s="423">
        <v>3.5000000000000003E-2</v>
      </c>
      <c r="AH8" s="423">
        <v>3.5000000000000003E-2</v>
      </c>
      <c r="AI8" s="424">
        <v>0.03</v>
      </c>
      <c r="AJ8" s="424">
        <v>0.03</v>
      </c>
      <c r="AK8" s="424">
        <v>0.03</v>
      </c>
      <c r="AL8" s="424">
        <v>0.03</v>
      </c>
      <c r="AM8" s="424">
        <v>0.03</v>
      </c>
      <c r="AN8" s="424">
        <v>0.03</v>
      </c>
      <c r="AO8" s="424">
        <v>0.03</v>
      </c>
      <c r="AP8" s="424">
        <v>0.03</v>
      </c>
      <c r="AQ8" s="424">
        <v>0.03</v>
      </c>
      <c r="AR8" s="424">
        <v>0.03</v>
      </c>
      <c r="AS8" s="424">
        <v>0.03</v>
      </c>
      <c r="AT8" s="424">
        <v>0.03</v>
      </c>
      <c r="AU8" s="424">
        <v>0.03</v>
      </c>
      <c r="AV8" s="424">
        <v>0.03</v>
      </c>
      <c r="AW8" s="424">
        <v>0.03</v>
      </c>
      <c r="AX8" s="424">
        <v>0.03</v>
      </c>
      <c r="AY8" s="424">
        <v>0.03</v>
      </c>
      <c r="AZ8" s="424">
        <v>0.03</v>
      </c>
      <c r="BA8" s="424">
        <v>0.03</v>
      </c>
      <c r="BB8" s="424">
        <v>0.03</v>
      </c>
      <c r="BC8" s="424">
        <v>0.03</v>
      </c>
      <c r="BD8" s="424">
        <v>0.03</v>
      </c>
      <c r="BE8" s="424">
        <v>0.03</v>
      </c>
      <c r="BF8" s="424">
        <v>0.03</v>
      </c>
      <c r="BG8" s="424">
        <v>0.03</v>
      </c>
      <c r="BH8" s="424">
        <v>0.03</v>
      </c>
      <c r="BI8" s="424">
        <v>0.03</v>
      </c>
      <c r="BJ8" s="424">
        <v>0.03</v>
      </c>
      <c r="BK8" s="516">
        <v>0.03</v>
      </c>
      <c r="BL8" s="512">
        <v>0.03</v>
      </c>
      <c r="BM8" s="430">
        <v>0.03</v>
      </c>
      <c r="BN8" s="430">
        <v>0.03</v>
      </c>
      <c r="BO8" s="430">
        <v>0.03</v>
      </c>
      <c r="BP8" s="430">
        <v>0.03</v>
      </c>
      <c r="BQ8" s="430">
        <v>0.03</v>
      </c>
      <c r="BR8" s="430">
        <v>0.03</v>
      </c>
      <c r="BS8" s="430">
        <v>0.03</v>
      </c>
      <c r="BT8" s="430">
        <v>0.03</v>
      </c>
      <c r="BU8" s="430">
        <v>0.03</v>
      </c>
      <c r="BV8" s="430">
        <v>0.03</v>
      </c>
      <c r="BW8" s="430">
        <v>0.03</v>
      </c>
      <c r="BX8" s="430">
        <v>0.03</v>
      </c>
      <c r="BY8" s="430">
        <v>0.03</v>
      </c>
      <c r="BZ8" s="430">
        <v>0.03</v>
      </c>
      <c r="CA8" s="430">
        <v>0.03</v>
      </c>
      <c r="CB8" s="431">
        <v>2.5000000000000001E-2</v>
      </c>
      <c r="CC8" s="431">
        <v>2.5000000000000001E-2</v>
      </c>
      <c r="CD8" s="431">
        <v>2.5000000000000001E-2</v>
      </c>
      <c r="CE8" s="431">
        <v>2.5000000000000001E-2</v>
      </c>
      <c r="CF8" s="431">
        <v>2.5000000000000001E-2</v>
      </c>
      <c r="CG8" s="431">
        <v>2.5000000000000001E-2</v>
      </c>
      <c r="CH8" s="431">
        <v>2.5000000000000001E-2</v>
      </c>
      <c r="CI8" s="431">
        <v>2.5000000000000001E-2</v>
      </c>
      <c r="CJ8" s="431">
        <v>2.5000000000000001E-2</v>
      </c>
      <c r="CK8" s="431">
        <v>2.5000000000000001E-2</v>
      </c>
      <c r="CL8" s="431">
        <v>2.5000000000000001E-2</v>
      </c>
      <c r="CM8" s="431">
        <v>2.5000000000000001E-2</v>
      </c>
      <c r="CN8" s="431">
        <v>2.5000000000000001E-2</v>
      </c>
      <c r="CO8" s="431">
        <v>2.5000000000000001E-2</v>
      </c>
      <c r="CP8" s="431">
        <v>2.5000000000000001E-2</v>
      </c>
      <c r="CQ8" s="431">
        <v>2.5000000000000001E-2</v>
      </c>
      <c r="CR8" s="431">
        <v>2.5000000000000001E-2</v>
      </c>
      <c r="CS8" s="431">
        <v>2.5000000000000001E-2</v>
      </c>
      <c r="CT8" s="431">
        <v>2.5000000000000001E-2</v>
      </c>
      <c r="CU8" s="431">
        <v>2.5000000000000001E-2</v>
      </c>
      <c r="CV8" s="431">
        <v>2.5000000000000001E-2</v>
      </c>
      <c r="CW8" s="431">
        <v>2.5000000000000001E-2</v>
      </c>
      <c r="CX8" s="431">
        <v>2.5000000000000001E-2</v>
      </c>
      <c r="CY8" s="431">
        <v>2.5000000000000001E-2</v>
      </c>
      <c r="CZ8" s="431">
        <v>2.5000000000000001E-2</v>
      </c>
    </row>
    <row r="9" spans="1:105" s="153" customFormat="1" ht="16.5" customHeight="1" thickBot="1" x14ac:dyDescent="0.35">
      <c r="B9" s="722"/>
      <c r="C9" s="283" t="s">
        <v>549</v>
      </c>
      <c r="D9" s="517">
        <v>1</v>
      </c>
      <c r="E9" s="517">
        <f>D9/(1+E8)</f>
        <v>0.96618357487922713</v>
      </c>
      <c r="F9" s="518">
        <f t="shared" ref="F9:AH9" si="0">E9/(1+F8)</f>
        <v>0.93351070036640305</v>
      </c>
      <c r="G9" s="518">
        <f t="shared" si="0"/>
        <v>0.90194270566802237</v>
      </c>
      <c r="H9" s="518">
        <f t="shared" si="0"/>
        <v>0.87144222769857238</v>
      </c>
      <c r="I9" s="518">
        <f t="shared" si="0"/>
        <v>0.84197316685852408</v>
      </c>
      <c r="J9" s="518">
        <f t="shared" si="0"/>
        <v>0.81350064430775282</v>
      </c>
      <c r="K9" s="518">
        <f t="shared" si="0"/>
        <v>0.78599096068381924</v>
      </c>
      <c r="L9" s="518">
        <f t="shared" si="0"/>
        <v>0.75941155621625056</v>
      </c>
      <c r="M9" s="518">
        <f t="shared" si="0"/>
        <v>0.73373097218961414</v>
      </c>
      <c r="N9" s="518">
        <f t="shared" si="0"/>
        <v>0.70891881370977217</v>
      </c>
      <c r="O9" s="518">
        <f t="shared" si="0"/>
        <v>0.68494571372924851</v>
      </c>
      <c r="P9" s="518">
        <f t="shared" si="0"/>
        <v>0.66178329828912907</v>
      </c>
      <c r="Q9" s="518">
        <f t="shared" si="0"/>
        <v>0.63940415293635666</v>
      </c>
      <c r="R9" s="518">
        <f t="shared" si="0"/>
        <v>0.61778179027667313</v>
      </c>
      <c r="S9" s="518">
        <f t="shared" si="0"/>
        <v>0.59689061862480497</v>
      </c>
      <c r="T9" s="518">
        <f t="shared" si="0"/>
        <v>0.57670591171478747</v>
      </c>
      <c r="U9" s="518">
        <f t="shared" si="0"/>
        <v>0.55720377943457733</v>
      </c>
      <c r="V9" s="518">
        <f t="shared" si="0"/>
        <v>0.53836113955031628</v>
      </c>
      <c r="W9" s="518">
        <f t="shared" si="0"/>
        <v>0.520155690386779</v>
      </c>
      <c r="X9" s="518">
        <f t="shared" si="0"/>
        <v>0.50256588443167061</v>
      </c>
      <c r="Y9" s="518">
        <f t="shared" si="0"/>
        <v>0.48557090283253201</v>
      </c>
      <c r="Z9" s="518">
        <f t="shared" si="0"/>
        <v>0.46915063075606961</v>
      </c>
      <c r="AA9" s="518">
        <f t="shared" si="0"/>
        <v>0.45328563358074364</v>
      </c>
      <c r="AB9" s="518">
        <f t="shared" si="0"/>
        <v>0.43795713389443836</v>
      </c>
      <c r="AC9" s="518">
        <f t="shared" si="0"/>
        <v>0.42314698926998878</v>
      </c>
      <c r="AD9" s="518">
        <f t="shared" si="0"/>
        <v>0.40883767079225974</v>
      </c>
      <c r="AE9" s="518">
        <f t="shared" si="0"/>
        <v>0.39501224231136212</v>
      </c>
      <c r="AF9" s="518">
        <f t="shared" si="0"/>
        <v>0.38165434039745133</v>
      </c>
      <c r="AG9" s="518">
        <f t="shared" si="0"/>
        <v>0.36874815497338298</v>
      </c>
      <c r="AH9" s="518">
        <f t="shared" si="0"/>
        <v>0.35627841060230242</v>
      </c>
      <c r="AI9" s="518">
        <f t="shared" ref="AI9:BN9" si="1">AH9/(1+AI8)</f>
        <v>0.34590136951679845</v>
      </c>
      <c r="AJ9" s="518">
        <f t="shared" si="1"/>
        <v>0.33582657234640628</v>
      </c>
      <c r="AK9" s="518">
        <f t="shared" si="1"/>
        <v>0.32604521587029733</v>
      </c>
      <c r="AL9" s="518">
        <f t="shared" si="1"/>
        <v>0.31654875327213333</v>
      </c>
      <c r="AM9" s="518">
        <f t="shared" si="1"/>
        <v>0.30732888667197411</v>
      </c>
      <c r="AN9" s="518">
        <f t="shared" si="1"/>
        <v>0.29837755987570302</v>
      </c>
      <c r="AO9" s="518">
        <f t="shared" si="1"/>
        <v>0.28968695133563399</v>
      </c>
      <c r="AP9" s="518">
        <f t="shared" si="1"/>
        <v>0.28124946731614953</v>
      </c>
      <c r="AQ9" s="518">
        <f t="shared" si="1"/>
        <v>0.2730577352583976</v>
      </c>
      <c r="AR9" s="518">
        <f t="shared" si="1"/>
        <v>0.26510459733825009</v>
      </c>
      <c r="AS9" s="518">
        <f t="shared" si="1"/>
        <v>0.25738310421189331</v>
      </c>
      <c r="AT9" s="518">
        <f t="shared" si="1"/>
        <v>0.24988650894358574</v>
      </c>
      <c r="AU9" s="518">
        <f t="shared" si="1"/>
        <v>0.24260826111027742</v>
      </c>
      <c r="AV9" s="518">
        <f t="shared" si="1"/>
        <v>0.23554200107793924</v>
      </c>
      <c r="AW9" s="518">
        <f t="shared" si="1"/>
        <v>0.2286815544446012</v>
      </c>
      <c r="AX9" s="518">
        <f t="shared" si="1"/>
        <v>0.22202092664524387</v>
      </c>
      <c r="AY9" s="518">
        <f t="shared" si="1"/>
        <v>0.215554297713829</v>
      </c>
      <c r="AZ9" s="518">
        <f t="shared" si="1"/>
        <v>0.20927601719789224</v>
      </c>
      <c r="BA9" s="518">
        <f t="shared" si="1"/>
        <v>0.20318059922125459</v>
      </c>
      <c r="BB9" s="518">
        <f t="shared" si="1"/>
        <v>0.19726271769053844</v>
      </c>
      <c r="BC9" s="518">
        <f t="shared" si="1"/>
        <v>0.19151720164129946</v>
      </c>
      <c r="BD9" s="518">
        <f t="shared" si="1"/>
        <v>0.18593903071970821</v>
      </c>
      <c r="BE9" s="518">
        <f t="shared" si="1"/>
        <v>0.18052333079583321</v>
      </c>
      <c r="BF9" s="518">
        <f t="shared" si="1"/>
        <v>0.17526536970469245</v>
      </c>
      <c r="BG9" s="518">
        <f t="shared" si="1"/>
        <v>0.17016055311135189</v>
      </c>
      <c r="BH9" s="518">
        <f t="shared" si="1"/>
        <v>0.16520442049645814</v>
      </c>
      <c r="BI9" s="518">
        <f t="shared" si="1"/>
        <v>0.16039264125869723</v>
      </c>
      <c r="BJ9" s="518">
        <f t="shared" si="1"/>
        <v>0.15572101093077401</v>
      </c>
      <c r="BK9" s="519">
        <f t="shared" si="1"/>
        <v>0.15118544750560584</v>
      </c>
      <c r="BL9" s="513">
        <f t="shared" si="1"/>
        <v>0.14678198786952024</v>
      </c>
      <c r="BM9" s="432">
        <f t="shared" si="1"/>
        <v>0.14250678433934003</v>
      </c>
      <c r="BN9" s="432">
        <f t="shared" si="1"/>
        <v>0.13835610130033013</v>
      </c>
      <c r="BO9" s="432">
        <f t="shared" ref="BO9:CT9" si="2">BN9/(1+BO8)</f>
        <v>0.13432631194206809</v>
      </c>
      <c r="BP9" s="432">
        <f t="shared" si="2"/>
        <v>0.1304138950893865</v>
      </c>
      <c r="BQ9" s="432">
        <f t="shared" si="2"/>
        <v>0.12661543212561796</v>
      </c>
      <c r="BR9" s="432">
        <f t="shared" si="2"/>
        <v>0.12292760400545433</v>
      </c>
      <c r="BS9" s="432">
        <f t="shared" si="2"/>
        <v>0.11934718835481002</v>
      </c>
      <c r="BT9" s="432">
        <f t="shared" si="2"/>
        <v>0.11587105665515536</v>
      </c>
      <c r="BU9" s="432">
        <f t="shared" si="2"/>
        <v>0.11249617150985958</v>
      </c>
      <c r="BV9" s="432">
        <f t="shared" si="2"/>
        <v>0.10921958399015493</v>
      </c>
      <c r="BW9" s="432">
        <f t="shared" si="2"/>
        <v>0.10603843105840284</v>
      </c>
      <c r="BX9" s="432">
        <f t="shared" si="2"/>
        <v>0.10294993306641052</v>
      </c>
      <c r="BY9" s="432">
        <f t="shared" si="2"/>
        <v>9.9951391326612155E-2</v>
      </c>
      <c r="BZ9" s="432">
        <f t="shared" si="2"/>
        <v>9.7040185753992383E-2</v>
      </c>
      <c r="CA9" s="432">
        <f t="shared" si="2"/>
        <v>9.4213772576691626E-2</v>
      </c>
      <c r="CB9" s="432">
        <f t="shared" si="2"/>
        <v>9.1915875684577208E-2</v>
      </c>
      <c r="CC9" s="432">
        <f t="shared" si="2"/>
        <v>8.9674025058124107E-2</v>
      </c>
      <c r="CD9" s="432">
        <f t="shared" si="2"/>
        <v>8.7486853715243035E-2</v>
      </c>
      <c r="CE9" s="432">
        <f t="shared" si="2"/>
        <v>8.5353028014871254E-2</v>
      </c>
      <c r="CF9" s="432">
        <f t="shared" si="2"/>
        <v>8.3271246843776847E-2</v>
      </c>
      <c r="CG9" s="432">
        <f t="shared" si="2"/>
        <v>8.1240240823196933E-2</v>
      </c>
      <c r="CH9" s="432">
        <f t="shared" si="2"/>
        <v>7.9258771534826286E-2</v>
      </c>
      <c r="CI9" s="432">
        <f t="shared" si="2"/>
        <v>7.7325630765684189E-2</v>
      </c>
      <c r="CJ9" s="432">
        <f t="shared" si="2"/>
        <v>7.5439639771399211E-2</v>
      </c>
      <c r="CK9" s="432">
        <f t="shared" si="2"/>
        <v>7.3599648557462649E-2</v>
      </c>
      <c r="CL9" s="432">
        <f t="shared" si="2"/>
        <v>7.1804535178012344E-2</v>
      </c>
      <c r="CM9" s="432">
        <f t="shared" si="2"/>
        <v>7.0053205051719372E-2</v>
      </c>
      <c r="CN9" s="432">
        <f t="shared" si="2"/>
        <v>6.8344590294360366E-2</v>
      </c>
      <c r="CO9" s="432">
        <f t="shared" si="2"/>
        <v>6.6677649067668654E-2</v>
      </c>
      <c r="CP9" s="432">
        <f t="shared" si="2"/>
        <v>6.5051364944066992E-2</v>
      </c>
      <c r="CQ9" s="432">
        <f t="shared" si="2"/>
        <v>6.3464746286894635E-2</v>
      </c>
      <c r="CR9" s="432">
        <f t="shared" si="2"/>
        <v>6.1916825645750871E-2</v>
      </c>
      <c r="CS9" s="432">
        <f t="shared" si="2"/>
        <v>6.0406659166586218E-2</v>
      </c>
      <c r="CT9" s="432">
        <f t="shared" si="2"/>
        <v>5.8933326016181682E-2</v>
      </c>
      <c r="CU9" s="432">
        <f t="shared" ref="CU9:CZ9" si="3">CT9/(1+CU8)</f>
        <v>5.7495927820665059E-2</v>
      </c>
      <c r="CV9" s="432">
        <f t="shared" si="3"/>
        <v>5.6093588117722012E-2</v>
      </c>
      <c r="CW9" s="432">
        <f t="shared" si="3"/>
        <v>5.4725451822167821E-2</v>
      </c>
      <c r="CX9" s="432">
        <f t="shared" si="3"/>
        <v>5.3390684704553978E-2</v>
      </c>
      <c r="CY9" s="432">
        <f t="shared" si="3"/>
        <v>5.2088472882491688E-2</v>
      </c>
      <c r="CZ9" s="432">
        <f t="shared" si="3"/>
        <v>5.0818022324382137E-2</v>
      </c>
    </row>
    <row r="10" spans="1:105" ht="7.5" customHeight="1" x14ac:dyDescent="0.35"/>
    <row r="11" spans="1:105" ht="15" thickBot="1" x14ac:dyDescent="0.4">
      <c r="C11" s="269" t="s">
        <v>550</v>
      </c>
    </row>
    <row r="12" spans="1:105" ht="15" thickBot="1" x14ac:dyDescent="0.4">
      <c r="C12" s="489" t="s">
        <v>551</v>
      </c>
      <c r="D12" s="490" t="s">
        <v>549</v>
      </c>
    </row>
    <row r="13" spans="1:105" ht="15" thickBot="1" x14ac:dyDescent="0.4">
      <c r="C13" s="499">
        <f>Appraisal_Period</f>
        <v>0</v>
      </c>
      <c r="D13" s="500">
        <f>SUMIF($D$7:$CZ$7,"&lt;"&amp;$C$13,$D$9:$CZ$9)</f>
        <v>0</v>
      </c>
    </row>
  </sheetData>
  <sheetProtection algorithmName="SHA-512" hashValue="xnYV9CRoy/KuFkEg50blXt7E2bzHPnZmykh5c/qbUV4laM3WiTNv7TX4N9kkzP3nHhtvQtBXG+6QXrGt2oXcGg==" saltValue="UGIyTqCcv1eGeL4cgBVgDw==" spinCount="100000" sheet="1" formatRows="0"/>
  <mergeCells count="2">
    <mergeCell ref="I2:N2"/>
    <mergeCell ref="B8:B9"/>
  </mergeCells>
  <hyperlinks>
    <hyperlink ref="I2" location="Welcome!A1" display="CLICK to return to Welcome screen" xr:uid="{FCA24E25-2C1E-46C3-8839-0F2A6CDE9F3B}"/>
  </hyperlinks>
  <pageMargins left="0.7" right="0.7" top="0.75" bottom="0.75" header="0.3" footer="0.3"/>
  <pageSetup paperSize="9" orientation="portrait" r:id="rId1"/>
  <headerFooter>
    <oddFooter xml:space="preserve">&amp;C_x000D_&amp;1#&amp;"Calibri"&amp;12&amp;K0078D7 OFFICIAL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6EF5-3EDB-4DF2-B826-C68B8C69A60A}">
  <sheetPr codeName="Sheet21">
    <tabColor theme="9"/>
  </sheetPr>
  <dimension ref="A1:XFC316"/>
  <sheetViews>
    <sheetView showGridLines="0" workbookViewId="0"/>
  </sheetViews>
  <sheetFormatPr defaultColWidth="0" defaultRowHeight="14.5" x14ac:dyDescent="0.35"/>
  <cols>
    <col min="1" max="1" width="1.453125" customWidth="1"/>
    <col min="2" max="3" width="18.54296875" customWidth="1"/>
    <col min="4" max="4" width="14" customWidth="1"/>
    <col min="5" max="5" width="19.1796875" customWidth="1"/>
    <col min="6" max="6" width="15.453125" customWidth="1"/>
    <col min="7" max="7" width="19.1796875" customWidth="1"/>
    <col min="8" max="8" width="13.1796875" customWidth="1"/>
    <col min="9" max="9" width="11.7265625" customWidth="1"/>
    <col min="10" max="10" width="13.54296875" customWidth="1"/>
    <col min="11" max="12" width="9.1796875" customWidth="1"/>
    <col min="13" max="16383" width="9.1796875" hidden="1"/>
    <col min="16384" max="16384" width="8.81640625" hidden="1"/>
  </cols>
  <sheetData>
    <row r="1" spans="1:12" ht="2.5" customHeight="1" x14ac:dyDescent="0.35"/>
    <row r="2" spans="1:12" s="106" customFormat="1" ht="18.5" x14ac:dyDescent="0.45">
      <c r="A2" s="288"/>
      <c r="B2" s="289" t="s">
        <v>362</v>
      </c>
      <c r="C2" s="288"/>
      <c r="D2" s="288"/>
      <c r="E2" s="288"/>
      <c r="F2" s="288"/>
      <c r="G2" s="288"/>
      <c r="H2" s="723" t="s">
        <v>59</v>
      </c>
      <c r="I2" s="723"/>
      <c r="J2" s="723"/>
      <c r="K2" s="356"/>
      <c r="L2" s="357"/>
    </row>
    <row r="3" spans="1:12" s="78" customFormat="1" ht="3" customHeight="1" x14ac:dyDescent="0.3">
      <c r="B3" s="202"/>
    </row>
    <row r="4" spans="1:12" s="106" customFormat="1" ht="13" x14ac:dyDescent="0.3">
      <c r="A4" s="290"/>
      <c r="B4" s="291" t="s">
        <v>552</v>
      </c>
      <c r="C4" s="290"/>
      <c r="D4" s="290"/>
      <c r="E4" s="290"/>
      <c r="F4" s="290"/>
      <c r="G4" s="290"/>
      <c r="H4" s="290"/>
      <c r="I4" s="290"/>
      <c r="J4" s="290"/>
      <c r="K4" s="290"/>
    </row>
    <row r="5" spans="1:12" s="153" customFormat="1" ht="15" customHeight="1" x14ac:dyDescent="0.3">
      <c r="B5" s="643" t="s">
        <v>553</v>
      </c>
      <c r="C5" s="643"/>
      <c r="D5" s="643"/>
      <c r="E5" s="643"/>
      <c r="F5" s="643"/>
      <c r="G5" s="643"/>
      <c r="H5" s="643"/>
      <c r="I5" s="643"/>
      <c r="J5" s="643"/>
      <c r="K5" s="643"/>
    </row>
    <row r="6" spans="1:12" s="153" customFormat="1" ht="14.25" customHeight="1" thickBot="1" x14ac:dyDescent="0.35">
      <c r="D6" s="199"/>
      <c r="E6" s="199"/>
      <c r="F6" s="199"/>
      <c r="G6" s="199"/>
      <c r="H6" s="199"/>
      <c r="I6" s="199"/>
      <c r="J6" s="199"/>
    </row>
    <row r="7" spans="1:12" ht="26.5" thickBot="1" x14ac:dyDescent="0.4">
      <c r="A7" s="153"/>
      <c r="B7" s="348" t="s">
        <v>554</v>
      </c>
      <c r="C7" s="349" t="s">
        <v>555</v>
      </c>
      <c r="D7" s="358" t="s">
        <v>556</v>
      </c>
      <c r="E7" s="359" t="s">
        <v>557</v>
      </c>
      <c r="F7" s="359" t="s">
        <v>558</v>
      </c>
      <c r="G7" s="359" t="s">
        <v>559</v>
      </c>
      <c r="H7" s="359" t="s">
        <v>560</v>
      </c>
      <c r="I7" s="360" t="s">
        <v>561</v>
      </c>
      <c r="J7" s="349" t="s">
        <v>562</v>
      </c>
    </row>
    <row r="8" spans="1:12" x14ac:dyDescent="0.35">
      <c r="A8" s="153"/>
      <c r="B8" s="350" t="s">
        <v>563</v>
      </c>
      <c r="C8" s="350" t="s">
        <v>564</v>
      </c>
      <c r="D8" s="361">
        <v>23</v>
      </c>
      <c r="E8" s="362">
        <v>1.2999999999999999E-3</v>
      </c>
      <c r="F8" s="363">
        <v>54</v>
      </c>
      <c r="G8" s="362">
        <v>2.0999999999999999E-3</v>
      </c>
      <c r="H8" s="364">
        <v>1576</v>
      </c>
      <c r="I8" s="365">
        <v>1.5E-3</v>
      </c>
      <c r="J8" s="351" t="str">
        <f>IF(COUNTIF('6.6 - Lists and lookups'!$D$9:$L$72,C8)=1,"IN LIST","CHECK")</f>
        <v>IN LIST</v>
      </c>
    </row>
    <row r="9" spans="1:12" x14ac:dyDescent="0.35">
      <c r="A9" s="153"/>
      <c r="B9" s="352" t="s">
        <v>565</v>
      </c>
      <c r="C9" s="352" t="s">
        <v>566</v>
      </c>
      <c r="D9" s="366">
        <v>53</v>
      </c>
      <c r="E9" s="367">
        <v>2.8999999999999998E-3</v>
      </c>
      <c r="F9" s="368">
        <v>61</v>
      </c>
      <c r="G9" s="367">
        <v>2.3999999999999998E-3</v>
      </c>
      <c r="H9" s="369">
        <v>3143</v>
      </c>
      <c r="I9" s="370">
        <v>3.0000000000000001E-3</v>
      </c>
      <c r="J9" s="353" t="str">
        <f>IF(COUNTIF('6.6 - Lists and lookups'!$D$9:$L$72,C9)=1,"IN LIST","CHECK")</f>
        <v>IN LIST</v>
      </c>
    </row>
    <row r="10" spans="1:12" x14ac:dyDescent="0.35">
      <c r="A10" s="153"/>
      <c r="B10" s="352" t="s">
        <v>567</v>
      </c>
      <c r="C10" s="352" t="s">
        <v>568</v>
      </c>
      <c r="D10" s="366">
        <v>24</v>
      </c>
      <c r="E10" s="367">
        <v>1.2999999999999999E-3</v>
      </c>
      <c r="F10" s="368">
        <v>24</v>
      </c>
      <c r="G10" s="367">
        <v>8.9999999999999998E-4</v>
      </c>
      <c r="H10" s="368">
        <v>955</v>
      </c>
      <c r="I10" s="370">
        <v>8.9999999999999998E-4</v>
      </c>
      <c r="J10" s="353" t="str">
        <f>IF(COUNTIF('6.6 - Lists and lookups'!$D$9:$L$72,C10)=1,"IN LIST","CHECK")</f>
        <v>IN LIST</v>
      </c>
    </row>
    <row r="11" spans="1:12" x14ac:dyDescent="0.35">
      <c r="A11" s="153"/>
      <c r="B11" s="352" t="s">
        <v>569</v>
      </c>
      <c r="C11" s="352" t="s">
        <v>570</v>
      </c>
      <c r="D11" s="366">
        <v>19</v>
      </c>
      <c r="E11" s="367">
        <v>1.1000000000000001E-3</v>
      </c>
      <c r="F11" s="368">
        <v>74</v>
      </c>
      <c r="G11" s="367">
        <v>2.8999999999999998E-3</v>
      </c>
      <c r="H11" s="369">
        <v>2087</v>
      </c>
      <c r="I11" s="370">
        <v>2E-3</v>
      </c>
      <c r="J11" s="353" t="str">
        <f>IF(COUNTIF('6.6 - Lists and lookups'!$D$9:$L$72,C11)=1,"IN LIST","CHECK")</f>
        <v>IN LIST</v>
      </c>
    </row>
    <row r="12" spans="1:12" x14ac:dyDescent="0.35">
      <c r="A12" s="153"/>
      <c r="B12" s="352" t="s">
        <v>571</v>
      </c>
      <c r="C12" s="352" t="s">
        <v>572</v>
      </c>
      <c r="D12" s="366">
        <v>13</v>
      </c>
      <c r="E12" s="367">
        <v>6.9999999999999999E-4</v>
      </c>
      <c r="F12" s="368">
        <v>30</v>
      </c>
      <c r="G12" s="367">
        <v>1.1999999999999999E-3</v>
      </c>
      <c r="H12" s="368">
        <v>852</v>
      </c>
      <c r="I12" s="370">
        <v>8.0000000000000004E-4</v>
      </c>
      <c r="J12" s="353" t="str">
        <f>IF(COUNTIF('6.6 - Lists and lookups'!$D$9:$L$72,C12)=1,"IN LIST","CHECK")</f>
        <v>IN LIST</v>
      </c>
    </row>
    <row r="13" spans="1:12" x14ac:dyDescent="0.35">
      <c r="A13" s="153"/>
      <c r="B13" s="352" t="s">
        <v>573</v>
      </c>
      <c r="C13" s="352" t="s">
        <v>574</v>
      </c>
      <c r="D13" s="366">
        <v>34</v>
      </c>
      <c r="E13" s="367">
        <v>1.9E-3</v>
      </c>
      <c r="F13" s="368">
        <v>53</v>
      </c>
      <c r="G13" s="367">
        <v>2.0999999999999999E-3</v>
      </c>
      <c r="H13" s="369">
        <v>1198</v>
      </c>
      <c r="I13" s="370">
        <v>1.1000000000000001E-3</v>
      </c>
      <c r="J13" s="353" t="str">
        <f>IF(COUNTIF('6.6 - Lists and lookups'!$D$9:$L$72,C13)=1,"IN LIST","CHECK")</f>
        <v>IN LIST</v>
      </c>
    </row>
    <row r="14" spans="1:12" x14ac:dyDescent="0.35">
      <c r="A14" s="153"/>
      <c r="B14" s="352" t="s">
        <v>575</v>
      </c>
      <c r="C14" s="352" t="s">
        <v>576</v>
      </c>
      <c r="D14" s="366">
        <v>128</v>
      </c>
      <c r="E14" s="367">
        <v>7.1000000000000004E-3</v>
      </c>
      <c r="F14" s="368">
        <v>230</v>
      </c>
      <c r="G14" s="367">
        <v>9.1000000000000004E-3</v>
      </c>
      <c r="H14" s="369">
        <v>7320</v>
      </c>
      <c r="I14" s="370">
        <v>7.0000000000000001E-3</v>
      </c>
      <c r="J14" s="353" t="str">
        <f>IF(COUNTIF('6.6 - Lists and lookups'!$D$9:$L$72,C14)=1,"IN LIST","CHECK")</f>
        <v>IN LIST</v>
      </c>
    </row>
    <row r="15" spans="1:12" ht="26" x14ac:dyDescent="0.35">
      <c r="A15" s="153"/>
      <c r="B15" s="352" t="s">
        <v>577</v>
      </c>
      <c r="C15" s="352" t="s">
        <v>578</v>
      </c>
      <c r="D15" s="366">
        <v>31</v>
      </c>
      <c r="E15" s="367">
        <v>1.6999999999999999E-3</v>
      </c>
      <c r="F15" s="368">
        <v>36</v>
      </c>
      <c r="G15" s="367">
        <v>1.4E-3</v>
      </c>
      <c r="H15" s="369">
        <v>1085</v>
      </c>
      <c r="I15" s="370">
        <v>1E-3</v>
      </c>
      <c r="J15" s="353" t="str">
        <f>IF(COUNTIF('6.6 - Lists and lookups'!$D$9:$L$72,C15)=1,"IN LIST","CHECK")</f>
        <v>IN LIST</v>
      </c>
    </row>
    <row r="16" spans="1:12" x14ac:dyDescent="0.35">
      <c r="A16" s="153"/>
      <c r="B16" s="352" t="s">
        <v>579</v>
      </c>
      <c r="C16" s="352" t="s">
        <v>580</v>
      </c>
      <c r="D16" s="366">
        <v>22</v>
      </c>
      <c r="E16" s="367">
        <v>1.1999999999999999E-3</v>
      </c>
      <c r="F16" s="368">
        <v>10</v>
      </c>
      <c r="G16" s="367">
        <v>4.0000000000000002E-4</v>
      </c>
      <c r="H16" s="368">
        <v>535</v>
      </c>
      <c r="I16" s="370">
        <v>5.0000000000000001E-4</v>
      </c>
      <c r="J16" s="353" t="str">
        <f>IF(COUNTIF('6.6 - Lists and lookups'!$D$9:$L$72,C16)=1,"IN LIST","CHECK")</f>
        <v>IN LIST</v>
      </c>
    </row>
    <row r="17" spans="1:10" ht="26" x14ac:dyDescent="0.35">
      <c r="A17" s="153"/>
      <c r="B17" s="352" t="s">
        <v>581</v>
      </c>
      <c r="C17" s="352" t="s">
        <v>582</v>
      </c>
      <c r="D17" s="366">
        <v>47</v>
      </c>
      <c r="E17" s="367">
        <v>2.5999999999999999E-3</v>
      </c>
      <c r="F17" s="368">
        <v>16</v>
      </c>
      <c r="G17" s="367">
        <v>5.9999999999999995E-4</v>
      </c>
      <c r="H17" s="369">
        <v>1742</v>
      </c>
      <c r="I17" s="370">
        <v>1.6999999999999999E-3</v>
      </c>
      <c r="J17" s="353" t="str">
        <f>IF(COUNTIF('6.6 - Lists and lookups'!$D$9:$L$72,C17)=1,"IN LIST","CHECK")</f>
        <v>IN LIST</v>
      </c>
    </row>
    <row r="18" spans="1:10" ht="26" x14ac:dyDescent="0.35">
      <c r="A18" s="153"/>
      <c r="B18" s="352" t="s">
        <v>583</v>
      </c>
      <c r="C18" s="352" t="s">
        <v>584</v>
      </c>
      <c r="D18" s="366">
        <v>99</v>
      </c>
      <c r="E18" s="367">
        <v>5.4999999999999997E-3</v>
      </c>
      <c r="F18" s="368">
        <v>111</v>
      </c>
      <c r="G18" s="367">
        <v>4.4000000000000003E-3</v>
      </c>
      <c r="H18" s="369">
        <v>2663</v>
      </c>
      <c r="I18" s="370">
        <v>2.5999999999999999E-3</v>
      </c>
      <c r="J18" s="353" t="str">
        <f>IF(COUNTIF('6.6 - Lists and lookups'!$D$9:$L$72,C18)=1,"IN LIST","CHECK")</f>
        <v>IN LIST</v>
      </c>
    </row>
    <row r="19" spans="1:10" ht="26" x14ac:dyDescent="0.35">
      <c r="A19" s="153"/>
      <c r="B19" s="352" t="s">
        <v>585</v>
      </c>
      <c r="C19" s="352" t="s">
        <v>586</v>
      </c>
      <c r="D19" s="366">
        <v>36</v>
      </c>
      <c r="E19" s="367">
        <v>2E-3</v>
      </c>
      <c r="F19" s="368">
        <v>36</v>
      </c>
      <c r="G19" s="367">
        <v>1.4E-3</v>
      </c>
      <c r="H19" s="369">
        <v>1536</v>
      </c>
      <c r="I19" s="370">
        <v>1.5E-3</v>
      </c>
      <c r="J19" s="353" t="str">
        <f>IF(COUNTIF('6.6 - Lists and lookups'!$D$9:$L$72,C19)=1,"IN LIST","CHECK")</f>
        <v>IN LIST</v>
      </c>
    </row>
    <row r="20" spans="1:10" x14ac:dyDescent="0.35">
      <c r="A20" s="153"/>
      <c r="B20" s="352" t="s">
        <v>587</v>
      </c>
      <c r="C20" s="352" t="s">
        <v>588</v>
      </c>
      <c r="D20" s="366">
        <v>61</v>
      </c>
      <c r="E20" s="367">
        <v>3.3999999999999998E-3</v>
      </c>
      <c r="F20" s="368">
        <v>82</v>
      </c>
      <c r="G20" s="367">
        <v>3.2000000000000002E-3</v>
      </c>
      <c r="H20" s="369">
        <v>2481</v>
      </c>
      <c r="I20" s="370">
        <v>2.3999999999999998E-3</v>
      </c>
      <c r="J20" s="353" t="str">
        <f>IF(COUNTIF('6.6 - Lists and lookups'!$D$9:$L$72,C20)=1,"IN LIST","CHECK")</f>
        <v>IN LIST</v>
      </c>
    </row>
    <row r="21" spans="1:10" x14ac:dyDescent="0.35">
      <c r="A21" s="153"/>
      <c r="B21" s="352" t="s">
        <v>589</v>
      </c>
      <c r="C21" s="352" t="s">
        <v>590</v>
      </c>
      <c r="D21" s="366">
        <v>41</v>
      </c>
      <c r="E21" s="367">
        <v>2.3E-3</v>
      </c>
      <c r="F21" s="368">
        <v>64</v>
      </c>
      <c r="G21" s="367">
        <v>2.5000000000000001E-3</v>
      </c>
      <c r="H21" s="369">
        <v>5913</v>
      </c>
      <c r="I21" s="370">
        <v>5.7000000000000002E-3</v>
      </c>
      <c r="J21" s="353" t="str">
        <f>IF(COUNTIF('6.6 - Lists and lookups'!$D$9:$L$72,C21)=1,"IN LIST","CHECK")</f>
        <v>IN LIST</v>
      </c>
    </row>
    <row r="22" spans="1:10" x14ac:dyDescent="0.35">
      <c r="A22" s="153"/>
      <c r="B22" s="352" t="s">
        <v>591</v>
      </c>
      <c r="C22" s="352" t="s">
        <v>592</v>
      </c>
      <c r="D22" s="366">
        <v>37</v>
      </c>
      <c r="E22" s="367">
        <v>2.0999999999999999E-3</v>
      </c>
      <c r="F22" s="368">
        <v>42</v>
      </c>
      <c r="G22" s="367">
        <v>1.6999999999999999E-3</v>
      </c>
      <c r="H22" s="369">
        <v>2628</v>
      </c>
      <c r="I22" s="370">
        <v>2.5000000000000001E-3</v>
      </c>
      <c r="J22" s="353" t="str">
        <f>IF(COUNTIF('6.6 - Lists and lookups'!$D$9:$L$72,C22)=1,"IN LIST","CHECK")</f>
        <v>IN LIST</v>
      </c>
    </row>
    <row r="23" spans="1:10" x14ac:dyDescent="0.35">
      <c r="A23" s="153"/>
      <c r="B23" s="352" t="s">
        <v>593</v>
      </c>
      <c r="C23" s="352" t="s">
        <v>594</v>
      </c>
      <c r="D23" s="366">
        <v>66</v>
      </c>
      <c r="E23" s="367">
        <v>3.7000000000000002E-3</v>
      </c>
      <c r="F23" s="368">
        <v>39</v>
      </c>
      <c r="G23" s="367">
        <v>1.5E-3</v>
      </c>
      <c r="H23" s="369">
        <v>4927</v>
      </c>
      <c r="I23" s="370">
        <v>4.7000000000000002E-3</v>
      </c>
      <c r="J23" s="353" t="str">
        <f>IF(COUNTIF('6.6 - Lists and lookups'!$D$9:$L$72,C23)=1,"IN LIST","CHECK")</f>
        <v>IN LIST</v>
      </c>
    </row>
    <row r="24" spans="1:10" x14ac:dyDescent="0.35">
      <c r="A24" s="153"/>
      <c r="B24" s="352" t="s">
        <v>595</v>
      </c>
      <c r="C24" s="352" t="s">
        <v>596</v>
      </c>
      <c r="D24" s="366">
        <v>5</v>
      </c>
      <c r="E24" s="367">
        <v>2.9999999999999997E-4</v>
      </c>
      <c r="F24" s="368">
        <v>2</v>
      </c>
      <c r="G24" s="367">
        <v>1E-4</v>
      </c>
      <c r="H24" s="368">
        <v>59</v>
      </c>
      <c r="I24" s="370">
        <v>1E-4</v>
      </c>
      <c r="J24" s="353" t="str">
        <f>IF(COUNTIF('6.6 - Lists and lookups'!$D$9:$L$72,C24)=1,"IN LIST","CHECK")</f>
        <v>IN LIST</v>
      </c>
    </row>
    <row r="25" spans="1:10" x14ac:dyDescent="0.35">
      <c r="A25" s="153"/>
      <c r="B25" s="352" t="s">
        <v>597</v>
      </c>
      <c r="C25" s="352" t="s">
        <v>598</v>
      </c>
      <c r="D25" s="366">
        <v>166</v>
      </c>
      <c r="E25" s="367">
        <v>9.1999999999999998E-3</v>
      </c>
      <c r="F25" s="368">
        <v>185</v>
      </c>
      <c r="G25" s="367">
        <v>0</v>
      </c>
      <c r="H25" s="369">
        <v>8720</v>
      </c>
      <c r="I25" s="370">
        <v>8.3999999999999995E-3</v>
      </c>
      <c r="J25" s="353" t="str">
        <f>IF(COUNTIF('6.6 - Lists and lookups'!$D$9:$L$72,C25)=1,"IN LIST","CHECK")</f>
        <v>IN LIST</v>
      </c>
    </row>
    <row r="26" spans="1:10" ht="26" x14ac:dyDescent="0.35">
      <c r="A26" s="153"/>
      <c r="B26" s="352" t="s">
        <v>599</v>
      </c>
      <c r="C26" s="352" t="s">
        <v>600</v>
      </c>
      <c r="D26" s="366">
        <v>60</v>
      </c>
      <c r="E26" s="367">
        <v>3.3E-3</v>
      </c>
      <c r="F26" s="368">
        <v>8</v>
      </c>
      <c r="G26" s="367">
        <v>2.9999999999999997E-4</v>
      </c>
      <c r="H26" s="368">
        <v>500</v>
      </c>
      <c r="I26" s="370">
        <v>5.0000000000000001E-4</v>
      </c>
      <c r="J26" s="353" t="str">
        <f>IF(COUNTIF('6.6 - Lists and lookups'!$D$9:$L$72,C26)=1,"IN LIST","CHECK")</f>
        <v>IN LIST</v>
      </c>
    </row>
    <row r="27" spans="1:10" x14ac:dyDescent="0.35">
      <c r="A27" s="153"/>
      <c r="B27" s="352" t="s">
        <v>601</v>
      </c>
      <c r="C27" s="352" t="s">
        <v>602</v>
      </c>
      <c r="D27" s="366">
        <v>41</v>
      </c>
      <c r="E27" s="367">
        <v>2.3E-3</v>
      </c>
      <c r="F27" s="368">
        <v>127</v>
      </c>
      <c r="G27" s="367">
        <v>5.0000000000000001E-3</v>
      </c>
      <c r="H27" s="369">
        <v>3199</v>
      </c>
      <c r="I27" s="370">
        <v>3.0999999999999999E-3</v>
      </c>
      <c r="J27" s="353" t="str">
        <f>IF(COUNTIF('6.6 - Lists and lookups'!$D$9:$L$72,C27)=1,"IN LIST","CHECK")</f>
        <v>IN LIST</v>
      </c>
    </row>
    <row r="28" spans="1:10" x14ac:dyDescent="0.35">
      <c r="A28" s="153"/>
      <c r="B28" s="352" t="s">
        <v>603</v>
      </c>
      <c r="C28" s="352" t="s">
        <v>604</v>
      </c>
      <c r="D28" s="366">
        <v>104</v>
      </c>
      <c r="E28" s="367">
        <v>5.7999999999999996E-3</v>
      </c>
      <c r="F28" s="368">
        <v>130</v>
      </c>
      <c r="G28" s="367">
        <v>5.1000000000000004E-3</v>
      </c>
      <c r="H28" s="369">
        <v>6230</v>
      </c>
      <c r="I28" s="370">
        <v>6.0000000000000001E-3</v>
      </c>
      <c r="J28" s="353" t="str">
        <f>IF(COUNTIF('6.6 - Lists and lookups'!$D$9:$L$72,C28)=1,"IN LIST","CHECK")</f>
        <v>IN LIST</v>
      </c>
    </row>
    <row r="29" spans="1:10" ht="26" x14ac:dyDescent="0.35">
      <c r="A29" s="153"/>
      <c r="B29" s="352" t="s">
        <v>605</v>
      </c>
      <c r="C29" s="352" t="s">
        <v>606</v>
      </c>
      <c r="D29" s="366">
        <v>43</v>
      </c>
      <c r="E29" s="367">
        <v>2.3999999999999998E-3</v>
      </c>
      <c r="F29" s="368">
        <v>38</v>
      </c>
      <c r="G29" s="367">
        <v>1.5E-3</v>
      </c>
      <c r="H29" s="368">
        <v>936</v>
      </c>
      <c r="I29" s="370">
        <v>8.9999999999999998E-4</v>
      </c>
      <c r="J29" s="353" t="str">
        <f>IF(COUNTIF('6.6 - Lists and lookups'!$D$9:$L$72,C29)=1,"IN LIST","CHECK")</f>
        <v>IN LIST</v>
      </c>
    </row>
    <row r="30" spans="1:10" x14ac:dyDescent="0.35">
      <c r="A30" s="153"/>
      <c r="B30" s="352" t="s">
        <v>607</v>
      </c>
      <c r="C30" s="352" t="s">
        <v>608</v>
      </c>
      <c r="D30" s="366">
        <v>215</v>
      </c>
      <c r="E30" s="367">
        <v>1.2E-2</v>
      </c>
      <c r="F30" s="368">
        <v>120</v>
      </c>
      <c r="G30" s="367">
        <v>4.7000000000000002E-3</v>
      </c>
      <c r="H30" s="369">
        <v>9330</v>
      </c>
      <c r="I30" s="370">
        <v>8.9999999999999993E-3</v>
      </c>
      <c r="J30" s="353" t="str">
        <f>IF(COUNTIF('6.6 - Lists and lookups'!$D$9:$L$72,C30)=1,"IN LIST","CHECK")</f>
        <v>IN LIST</v>
      </c>
    </row>
    <row r="31" spans="1:10" x14ac:dyDescent="0.35">
      <c r="A31" s="153"/>
      <c r="B31" s="352" t="s">
        <v>609</v>
      </c>
      <c r="C31" s="352" t="s">
        <v>610</v>
      </c>
      <c r="D31" s="366">
        <v>64</v>
      </c>
      <c r="E31" s="367">
        <v>3.5999999999999999E-3</v>
      </c>
      <c r="F31" s="368">
        <v>77</v>
      </c>
      <c r="G31" s="367">
        <v>3.0000000000000001E-3</v>
      </c>
      <c r="H31" s="369">
        <v>3093</v>
      </c>
      <c r="I31" s="370">
        <v>3.0000000000000001E-3</v>
      </c>
      <c r="J31" s="353" t="str">
        <f>IF(COUNTIF('6.6 - Lists and lookups'!$D$9:$L$72,C31)=1,"IN LIST","CHECK")</f>
        <v>IN LIST</v>
      </c>
    </row>
    <row r="32" spans="1:10" x14ac:dyDescent="0.35">
      <c r="A32" s="153"/>
      <c r="B32" s="352" t="s">
        <v>611</v>
      </c>
      <c r="C32" s="352" t="s">
        <v>612</v>
      </c>
      <c r="D32" s="366">
        <v>64</v>
      </c>
      <c r="E32" s="367">
        <v>3.5999999999999999E-3</v>
      </c>
      <c r="F32" s="368">
        <v>293</v>
      </c>
      <c r="G32" s="367">
        <v>1.1599999999999999E-2</v>
      </c>
      <c r="H32" s="369">
        <v>4399</v>
      </c>
      <c r="I32" s="370">
        <v>4.1999999999999997E-3</v>
      </c>
      <c r="J32" s="353" t="str">
        <f>IF(COUNTIF('6.6 - Lists and lookups'!$D$9:$L$72,C32)=1,"IN LIST","CHECK")</f>
        <v>IN LIST</v>
      </c>
    </row>
    <row r="33" spans="1:10" x14ac:dyDescent="0.35">
      <c r="A33" s="153"/>
      <c r="B33" s="352" t="s">
        <v>613</v>
      </c>
      <c r="C33" s="352" t="s">
        <v>614</v>
      </c>
      <c r="D33" s="366">
        <v>88</v>
      </c>
      <c r="E33" s="367">
        <v>4.8999999999999998E-3</v>
      </c>
      <c r="F33" s="368">
        <v>186</v>
      </c>
      <c r="G33" s="367">
        <v>7.3000000000000001E-3</v>
      </c>
      <c r="H33" s="369">
        <v>8807</v>
      </c>
      <c r="I33" s="370">
        <v>8.5000000000000006E-3</v>
      </c>
      <c r="J33" s="353" t="str">
        <f>IF(COUNTIF('6.6 - Lists and lookups'!$D$9:$L$72,C33)=1,"IN LIST","CHECK")</f>
        <v>IN LIST</v>
      </c>
    </row>
    <row r="34" spans="1:10" x14ac:dyDescent="0.35">
      <c r="A34" s="153"/>
      <c r="B34" s="352" t="s">
        <v>615</v>
      </c>
      <c r="C34" s="352" t="s">
        <v>616</v>
      </c>
      <c r="D34" s="366">
        <v>76</v>
      </c>
      <c r="E34" s="367">
        <v>4.1999999999999997E-3</v>
      </c>
      <c r="F34" s="368">
        <v>37</v>
      </c>
      <c r="G34" s="367">
        <v>1.4E-3</v>
      </c>
      <c r="H34" s="369">
        <v>1064</v>
      </c>
      <c r="I34" s="370">
        <v>1E-3</v>
      </c>
      <c r="J34" s="353" t="str">
        <f>IF(COUNTIF('6.6 - Lists and lookups'!$D$9:$L$72,C34)=1,"IN LIST","CHECK")</f>
        <v>IN LIST</v>
      </c>
    </row>
    <row r="35" spans="1:10" x14ac:dyDescent="0.35">
      <c r="A35" s="153"/>
      <c r="B35" s="352" t="s">
        <v>617</v>
      </c>
      <c r="C35" s="352" t="s">
        <v>618</v>
      </c>
      <c r="D35" s="366">
        <v>47</v>
      </c>
      <c r="E35" s="367">
        <v>2.5999999999999999E-3</v>
      </c>
      <c r="F35" s="368">
        <v>47</v>
      </c>
      <c r="G35" s="367">
        <v>1.8E-3</v>
      </c>
      <c r="H35" s="369">
        <v>2147</v>
      </c>
      <c r="I35" s="370">
        <v>2.0999999999999999E-3</v>
      </c>
      <c r="J35" s="353" t="str">
        <f>IF(COUNTIF('6.6 - Lists and lookups'!$D$9:$L$72,C35)=1,"IN LIST","CHECK")</f>
        <v>IN LIST</v>
      </c>
    </row>
    <row r="36" spans="1:10" x14ac:dyDescent="0.35">
      <c r="A36" s="153"/>
      <c r="B36" s="352" t="s">
        <v>619</v>
      </c>
      <c r="C36" s="352" t="s">
        <v>620</v>
      </c>
      <c r="D36" s="366">
        <v>69</v>
      </c>
      <c r="E36" s="367">
        <v>3.8E-3</v>
      </c>
      <c r="F36" s="369">
        <v>1034</v>
      </c>
      <c r="G36" s="367">
        <v>4.0800000000000003E-2</v>
      </c>
      <c r="H36" s="369">
        <v>6444</v>
      </c>
      <c r="I36" s="370">
        <v>6.1999999999999998E-3</v>
      </c>
      <c r="J36" s="353" t="str">
        <f>IF(COUNTIF('6.6 - Lists and lookups'!$D$9:$L$72,C36)=1,"IN LIST","CHECK")</f>
        <v>IN LIST</v>
      </c>
    </row>
    <row r="37" spans="1:10" x14ac:dyDescent="0.35">
      <c r="A37" s="153"/>
      <c r="B37" s="352" t="s">
        <v>621</v>
      </c>
      <c r="C37" s="352" t="s">
        <v>622</v>
      </c>
      <c r="D37" s="366">
        <v>114</v>
      </c>
      <c r="E37" s="367">
        <v>6.3E-3</v>
      </c>
      <c r="F37" s="368">
        <v>73</v>
      </c>
      <c r="G37" s="367">
        <v>2.8999999999999998E-3</v>
      </c>
      <c r="H37" s="369">
        <v>6360</v>
      </c>
      <c r="I37" s="370">
        <v>6.1000000000000004E-3</v>
      </c>
      <c r="J37" s="353" t="str">
        <f>IF(COUNTIF('6.6 - Lists and lookups'!$D$9:$L$72,C37)=1,"IN LIST","CHECK")</f>
        <v>IN LIST</v>
      </c>
    </row>
    <row r="38" spans="1:10" x14ac:dyDescent="0.35">
      <c r="A38" s="153"/>
      <c r="B38" s="352" t="s">
        <v>623</v>
      </c>
      <c r="C38" s="352" t="s">
        <v>624</v>
      </c>
      <c r="D38" s="366">
        <v>55</v>
      </c>
      <c r="E38" s="367">
        <v>3.0999999999999999E-3</v>
      </c>
      <c r="F38" s="368">
        <v>50</v>
      </c>
      <c r="G38" s="367">
        <v>2E-3</v>
      </c>
      <c r="H38" s="369">
        <v>4376</v>
      </c>
      <c r="I38" s="370">
        <v>4.1999999999999997E-3</v>
      </c>
      <c r="J38" s="353" t="str">
        <f>IF(COUNTIF('6.6 - Lists and lookups'!$D$9:$L$72,C38)=1,"IN LIST","CHECK")</f>
        <v>IN LIST</v>
      </c>
    </row>
    <row r="39" spans="1:10" x14ac:dyDescent="0.35">
      <c r="A39" s="153"/>
      <c r="B39" s="352" t="s">
        <v>625</v>
      </c>
      <c r="C39" s="352" t="s">
        <v>626</v>
      </c>
      <c r="D39" s="366">
        <v>59</v>
      </c>
      <c r="E39" s="367">
        <v>3.3E-3</v>
      </c>
      <c r="F39" s="368">
        <v>127</v>
      </c>
      <c r="G39" s="367">
        <v>5.0000000000000001E-3</v>
      </c>
      <c r="H39" s="369">
        <v>4312</v>
      </c>
      <c r="I39" s="370">
        <v>4.1000000000000003E-3</v>
      </c>
      <c r="J39" s="353" t="str">
        <f>IF(COUNTIF('6.6 - Lists and lookups'!$D$9:$L$72,C39)=1,"IN LIST","CHECK")</f>
        <v>IN LIST</v>
      </c>
    </row>
    <row r="40" spans="1:10" x14ac:dyDescent="0.35">
      <c r="A40" s="153"/>
      <c r="B40" s="352" t="s">
        <v>627</v>
      </c>
      <c r="C40" s="352" t="s">
        <v>628</v>
      </c>
      <c r="D40" s="366">
        <v>28</v>
      </c>
      <c r="E40" s="367">
        <v>1.6000000000000001E-3</v>
      </c>
      <c r="F40" s="368">
        <v>11</v>
      </c>
      <c r="G40" s="367">
        <v>4.0000000000000002E-4</v>
      </c>
      <c r="H40" s="368">
        <v>783</v>
      </c>
      <c r="I40" s="370">
        <v>8.0000000000000004E-4</v>
      </c>
      <c r="J40" s="353" t="str">
        <f>IF(COUNTIF('6.6 - Lists and lookups'!$D$9:$L$72,C40)=1,"IN LIST","CHECK")</f>
        <v>IN LIST</v>
      </c>
    </row>
    <row r="41" spans="1:10" x14ac:dyDescent="0.35">
      <c r="A41" s="153"/>
      <c r="B41" s="352" t="s">
        <v>629</v>
      </c>
      <c r="C41" s="352" t="s">
        <v>630</v>
      </c>
      <c r="D41" s="366">
        <v>31</v>
      </c>
      <c r="E41" s="367">
        <v>1.6999999999999999E-3</v>
      </c>
      <c r="F41" s="368">
        <v>47</v>
      </c>
      <c r="G41" s="367">
        <v>1.8E-3</v>
      </c>
      <c r="H41" s="369">
        <v>2462</v>
      </c>
      <c r="I41" s="370">
        <v>2.3999999999999998E-3</v>
      </c>
      <c r="J41" s="353" t="str">
        <f>IF(COUNTIF('6.6 - Lists and lookups'!$D$9:$L$72,C41)=1,"IN LIST","CHECK")</f>
        <v>IN LIST</v>
      </c>
    </row>
    <row r="42" spans="1:10" x14ac:dyDescent="0.35">
      <c r="A42" s="153"/>
      <c r="B42" s="352" t="s">
        <v>631</v>
      </c>
      <c r="C42" s="352" t="s">
        <v>632</v>
      </c>
      <c r="D42" s="366">
        <v>52</v>
      </c>
      <c r="E42" s="367">
        <v>2.8999999999999998E-3</v>
      </c>
      <c r="F42" s="368">
        <v>47</v>
      </c>
      <c r="G42" s="367">
        <v>1.8E-3</v>
      </c>
      <c r="H42" s="369">
        <v>2471</v>
      </c>
      <c r="I42" s="370">
        <v>2.3999999999999998E-3</v>
      </c>
      <c r="J42" s="353" t="str">
        <f>IF(COUNTIF('6.6 - Lists and lookups'!$D$9:$L$72,C42)=1,"IN LIST","CHECK")</f>
        <v>IN LIST</v>
      </c>
    </row>
    <row r="43" spans="1:10" x14ac:dyDescent="0.35">
      <c r="A43" s="153"/>
      <c r="B43" s="352" t="s">
        <v>633</v>
      </c>
      <c r="C43" s="352" t="s">
        <v>634</v>
      </c>
      <c r="D43" s="366">
        <v>139</v>
      </c>
      <c r="E43" s="367">
        <v>7.7000000000000002E-3</v>
      </c>
      <c r="F43" s="368">
        <v>150</v>
      </c>
      <c r="G43" s="367">
        <v>5.8999999999999999E-3</v>
      </c>
      <c r="H43" s="369">
        <v>10383</v>
      </c>
      <c r="I43" s="370">
        <v>0.01</v>
      </c>
      <c r="J43" s="353" t="str">
        <f>IF(COUNTIF('6.6 - Lists and lookups'!$D$9:$L$72,C43)=1,"IN LIST","CHECK")</f>
        <v>IN LIST</v>
      </c>
    </row>
    <row r="44" spans="1:10" x14ac:dyDescent="0.35">
      <c r="A44" s="153"/>
      <c r="B44" s="352" t="s">
        <v>635</v>
      </c>
      <c r="C44" s="352" t="s">
        <v>636</v>
      </c>
      <c r="D44" s="366">
        <v>70</v>
      </c>
      <c r="E44" s="367">
        <v>3.8999999999999998E-3</v>
      </c>
      <c r="F44" s="368">
        <v>70</v>
      </c>
      <c r="G44" s="367">
        <v>2.8E-3</v>
      </c>
      <c r="H44" s="369">
        <v>7401</v>
      </c>
      <c r="I44" s="370">
        <v>7.1000000000000004E-3</v>
      </c>
      <c r="J44" s="353" t="str">
        <f>IF(COUNTIF('6.6 - Lists and lookups'!$D$9:$L$72,C44)=1,"IN LIST","CHECK")</f>
        <v>IN LIST</v>
      </c>
    </row>
    <row r="45" spans="1:10" ht="26" x14ac:dyDescent="0.35">
      <c r="A45" s="153"/>
      <c r="B45" s="352" t="s">
        <v>637</v>
      </c>
      <c r="C45" s="352" t="s">
        <v>638</v>
      </c>
      <c r="D45" s="366">
        <v>32</v>
      </c>
      <c r="E45" s="367">
        <v>1.8E-3</v>
      </c>
      <c r="F45" s="368">
        <v>72</v>
      </c>
      <c r="G45" s="367">
        <v>2.8E-3</v>
      </c>
      <c r="H45" s="369">
        <v>1808</v>
      </c>
      <c r="I45" s="370">
        <v>1.6999999999999999E-3</v>
      </c>
      <c r="J45" s="353" t="str">
        <f>IF(COUNTIF('6.6 - Lists and lookups'!$D$9:$L$72,C45)=1,"IN LIST","CHECK")</f>
        <v>IN LIST</v>
      </c>
    </row>
    <row r="46" spans="1:10" x14ac:dyDescent="0.35">
      <c r="A46" s="153"/>
      <c r="B46" s="352" t="s">
        <v>639</v>
      </c>
      <c r="C46" s="352" t="s">
        <v>640</v>
      </c>
      <c r="D46" s="366">
        <v>48</v>
      </c>
      <c r="E46" s="367">
        <v>2.7000000000000001E-3</v>
      </c>
      <c r="F46" s="368">
        <v>194</v>
      </c>
      <c r="G46" s="367">
        <v>7.7000000000000002E-3</v>
      </c>
      <c r="H46" s="369">
        <v>2650</v>
      </c>
      <c r="I46" s="370">
        <v>2.5000000000000001E-3</v>
      </c>
      <c r="J46" s="353" t="str">
        <f>IF(COUNTIF('6.6 - Lists and lookups'!$D$9:$L$72,C46)=1,"IN LIST","CHECK")</f>
        <v>IN LIST</v>
      </c>
    </row>
    <row r="47" spans="1:10" x14ac:dyDescent="0.35">
      <c r="A47" s="153"/>
      <c r="B47" s="352" t="s">
        <v>641</v>
      </c>
      <c r="C47" s="352" t="s">
        <v>642</v>
      </c>
      <c r="D47" s="366">
        <v>54</v>
      </c>
      <c r="E47" s="367">
        <v>3.0000000000000001E-3</v>
      </c>
      <c r="F47" s="368">
        <v>51</v>
      </c>
      <c r="G47" s="367">
        <v>2E-3</v>
      </c>
      <c r="H47" s="369">
        <v>3040</v>
      </c>
      <c r="I47" s="370">
        <v>2.8999999999999998E-3</v>
      </c>
      <c r="J47" s="353" t="str">
        <f>IF(COUNTIF('6.6 - Lists and lookups'!$D$9:$L$72,C47)=1,"IN LIST","CHECK")</f>
        <v>IN LIST</v>
      </c>
    </row>
    <row r="48" spans="1:10" x14ac:dyDescent="0.35">
      <c r="A48" s="153"/>
      <c r="B48" s="352" t="s">
        <v>643</v>
      </c>
      <c r="C48" s="352" t="s">
        <v>644</v>
      </c>
      <c r="D48" s="366">
        <v>166</v>
      </c>
      <c r="E48" s="367">
        <v>9.1999999999999998E-3</v>
      </c>
      <c r="F48" s="368">
        <v>74</v>
      </c>
      <c r="G48" s="367">
        <v>2.8999999999999998E-3</v>
      </c>
      <c r="H48" s="369">
        <v>8462</v>
      </c>
      <c r="I48" s="370">
        <v>8.0999999999999996E-3</v>
      </c>
      <c r="J48" s="353" t="str">
        <f>IF(COUNTIF('6.6 - Lists and lookups'!$D$9:$L$72,C48)=1,"IN LIST","CHECK")</f>
        <v>IN LIST</v>
      </c>
    </row>
    <row r="49" spans="1:10" x14ac:dyDescent="0.35">
      <c r="A49" s="153"/>
      <c r="B49" s="352" t="s">
        <v>645</v>
      </c>
      <c r="C49" s="352" t="s">
        <v>646</v>
      </c>
      <c r="D49" s="366">
        <v>62</v>
      </c>
      <c r="E49" s="367">
        <v>3.3999999999999998E-3</v>
      </c>
      <c r="F49" s="368">
        <v>119</v>
      </c>
      <c r="G49" s="367">
        <v>4.7000000000000002E-3</v>
      </c>
      <c r="H49" s="369">
        <v>5269</v>
      </c>
      <c r="I49" s="370">
        <v>5.1000000000000004E-3</v>
      </c>
      <c r="J49" s="353" t="str">
        <f>IF(COUNTIF('6.6 - Lists and lookups'!$D$9:$L$72,C49)=1,"IN LIST","CHECK")</f>
        <v>IN LIST</v>
      </c>
    </row>
    <row r="50" spans="1:10" x14ac:dyDescent="0.35">
      <c r="A50" s="153"/>
      <c r="B50" s="352" t="s">
        <v>647</v>
      </c>
      <c r="C50" s="352" t="s">
        <v>648</v>
      </c>
      <c r="D50" s="366">
        <v>36</v>
      </c>
      <c r="E50" s="367">
        <v>2E-3</v>
      </c>
      <c r="F50" s="368">
        <v>71</v>
      </c>
      <c r="G50" s="367">
        <v>2.8E-3</v>
      </c>
      <c r="H50" s="369">
        <v>3548</v>
      </c>
      <c r="I50" s="370">
        <v>3.3999999999999998E-3</v>
      </c>
      <c r="J50" s="353" t="str">
        <f>IF(COUNTIF('6.6 - Lists and lookups'!$D$9:$L$72,C50)=1,"IN LIST","CHECK")</f>
        <v>IN LIST</v>
      </c>
    </row>
    <row r="51" spans="1:10" x14ac:dyDescent="0.35">
      <c r="A51" s="153"/>
      <c r="B51" s="352" t="s">
        <v>649</v>
      </c>
      <c r="C51" s="352" t="s">
        <v>650</v>
      </c>
      <c r="D51" s="366">
        <v>46</v>
      </c>
      <c r="E51" s="367">
        <v>2.5999999999999999E-3</v>
      </c>
      <c r="F51" s="368">
        <v>46</v>
      </c>
      <c r="G51" s="367">
        <v>1.8E-3</v>
      </c>
      <c r="H51" s="369">
        <v>1215</v>
      </c>
      <c r="I51" s="370">
        <v>1.1999999999999999E-3</v>
      </c>
      <c r="J51" s="353" t="str">
        <f>IF(COUNTIF('6.6 - Lists and lookups'!$D$9:$L$72,C51)=1,"IN LIST","CHECK")</f>
        <v>IN LIST</v>
      </c>
    </row>
    <row r="52" spans="1:10" x14ac:dyDescent="0.35">
      <c r="A52" s="153"/>
      <c r="B52" s="352" t="s">
        <v>651</v>
      </c>
      <c r="C52" s="352" t="s">
        <v>652</v>
      </c>
      <c r="D52" s="366">
        <v>63</v>
      </c>
      <c r="E52" s="367">
        <v>3.5000000000000001E-3</v>
      </c>
      <c r="F52" s="368">
        <v>150</v>
      </c>
      <c r="G52" s="367">
        <v>5.8999999999999999E-3</v>
      </c>
      <c r="H52" s="369">
        <v>3411</v>
      </c>
      <c r="I52" s="370">
        <v>3.3E-3</v>
      </c>
      <c r="J52" s="353" t="str">
        <f>IF(COUNTIF('6.6 - Lists and lookups'!$D$9:$L$72,C52)=1,"IN LIST","CHECK")</f>
        <v>IN LIST</v>
      </c>
    </row>
    <row r="53" spans="1:10" x14ac:dyDescent="0.35">
      <c r="A53" s="153"/>
      <c r="B53" s="352" t="s">
        <v>653</v>
      </c>
      <c r="C53" s="352" t="s">
        <v>654</v>
      </c>
      <c r="D53" s="366">
        <v>68</v>
      </c>
      <c r="E53" s="367">
        <v>3.8E-3</v>
      </c>
      <c r="F53" s="368">
        <v>42</v>
      </c>
      <c r="G53" s="367">
        <v>1.6000000000000001E-3</v>
      </c>
      <c r="H53" s="369">
        <v>1574</v>
      </c>
      <c r="I53" s="370">
        <v>1.5E-3</v>
      </c>
      <c r="J53" s="353" t="str">
        <f>IF(COUNTIF('6.6 - Lists and lookups'!$D$9:$L$72,C53)=1,"IN LIST","CHECK")</f>
        <v>IN LIST</v>
      </c>
    </row>
    <row r="54" spans="1:10" ht="26" x14ac:dyDescent="0.35">
      <c r="A54" s="153"/>
      <c r="B54" s="352" t="s">
        <v>655</v>
      </c>
      <c r="C54" s="352" t="s">
        <v>656</v>
      </c>
      <c r="D54" s="366">
        <v>195</v>
      </c>
      <c r="E54" s="367">
        <v>1.0800000000000001E-2</v>
      </c>
      <c r="F54" s="368">
        <v>260</v>
      </c>
      <c r="G54" s="367">
        <v>1.0200000000000001E-2</v>
      </c>
      <c r="H54" s="369">
        <v>7692</v>
      </c>
      <c r="I54" s="370">
        <v>7.4000000000000003E-3</v>
      </c>
      <c r="J54" s="353" t="str">
        <f>IF(COUNTIF('6.6 - Lists and lookups'!$D$9:$L$72,C54)=1,"IN LIST","CHECK")</f>
        <v>IN LIST</v>
      </c>
    </row>
    <row r="55" spans="1:10" x14ac:dyDescent="0.35">
      <c r="A55" s="153"/>
      <c r="B55" s="352" t="s">
        <v>657</v>
      </c>
      <c r="C55" s="352" t="s">
        <v>658</v>
      </c>
      <c r="D55" s="366">
        <v>81</v>
      </c>
      <c r="E55" s="367">
        <v>4.4999999999999997E-3</v>
      </c>
      <c r="F55" s="368">
        <v>100</v>
      </c>
      <c r="G55" s="367">
        <v>4.0000000000000001E-3</v>
      </c>
      <c r="H55" s="369">
        <v>1956</v>
      </c>
      <c r="I55" s="370">
        <v>1.9E-3</v>
      </c>
      <c r="J55" s="353" t="str">
        <f>IF(COUNTIF('6.6 - Lists and lookups'!$D$9:$L$72,C55)=1,"IN LIST","CHECK")</f>
        <v>IN LIST</v>
      </c>
    </row>
    <row r="56" spans="1:10" x14ac:dyDescent="0.35">
      <c r="A56" s="153"/>
      <c r="B56" s="352" t="s">
        <v>659</v>
      </c>
      <c r="C56" s="352" t="s">
        <v>660</v>
      </c>
      <c r="D56" s="366">
        <v>121</v>
      </c>
      <c r="E56" s="367">
        <v>6.7000000000000002E-3</v>
      </c>
      <c r="F56" s="368">
        <v>105</v>
      </c>
      <c r="G56" s="367">
        <v>4.1000000000000003E-3</v>
      </c>
      <c r="H56" s="369">
        <v>2828</v>
      </c>
      <c r="I56" s="370">
        <v>2.7000000000000001E-3</v>
      </c>
      <c r="J56" s="353" t="str">
        <f>IF(COUNTIF('6.6 - Lists and lookups'!$D$9:$L$72,C56)=1,"IN LIST","CHECK")</f>
        <v>IN LIST</v>
      </c>
    </row>
    <row r="57" spans="1:10" x14ac:dyDescent="0.35">
      <c r="A57" s="153"/>
      <c r="B57" s="352" t="s">
        <v>661</v>
      </c>
      <c r="C57" s="352" t="s">
        <v>662</v>
      </c>
      <c r="D57" s="366">
        <v>1</v>
      </c>
      <c r="E57" s="367">
        <v>1E-4</v>
      </c>
      <c r="F57" s="368">
        <v>1</v>
      </c>
      <c r="G57" s="367">
        <v>0</v>
      </c>
      <c r="H57" s="368">
        <v>26</v>
      </c>
      <c r="I57" s="370">
        <v>0</v>
      </c>
      <c r="J57" s="353" t="str">
        <f>IF(COUNTIF('6.6 - Lists and lookups'!$D$9:$L$72,C57)=1,"IN LIST","CHECK")</f>
        <v>IN LIST</v>
      </c>
    </row>
    <row r="58" spans="1:10" x14ac:dyDescent="0.35">
      <c r="A58" s="153"/>
      <c r="B58" s="352" t="s">
        <v>663</v>
      </c>
      <c r="C58" s="352" t="s">
        <v>664</v>
      </c>
      <c r="D58" s="366">
        <v>68</v>
      </c>
      <c r="E58" s="367">
        <v>3.8E-3</v>
      </c>
      <c r="F58" s="368">
        <v>99</v>
      </c>
      <c r="G58" s="367">
        <v>3.8999999999999998E-3</v>
      </c>
      <c r="H58" s="369">
        <v>3121</v>
      </c>
      <c r="I58" s="370">
        <v>3.0000000000000001E-3</v>
      </c>
      <c r="J58" s="353" t="str">
        <f>IF(COUNTIF('6.6 - Lists and lookups'!$D$9:$L$72,C58)=1,"IN LIST","CHECK")</f>
        <v>IN LIST</v>
      </c>
    </row>
    <row r="59" spans="1:10" x14ac:dyDescent="0.35">
      <c r="A59" s="153"/>
      <c r="B59" s="352" t="s">
        <v>665</v>
      </c>
      <c r="C59" s="352" t="s">
        <v>666</v>
      </c>
      <c r="D59" s="366">
        <v>65</v>
      </c>
      <c r="E59" s="367">
        <v>3.5999999999999999E-3</v>
      </c>
      <c r="F59" s="368">
        <v>325</v>
      </c>
      <c r="G59" s="367">
        <v>1.2800000000000001E-2</v>
      </c>
      <c r="H59" s="369">
        <v>5647</v>
      </c>
      <c r="I59" s="370">
        <v>5.4000000000000003E-3</v>
      </c>
      <c r="J59" s="353" t="str">
        <f>IF(COUNTIF('6.6 - Lists and lookups'!$D$9:$L$72,C59)=1,"IN LIST","CHECK")</f>
        <v>IN LIST</v>
      </c>
    </row>
    <row r="60" spans="1:10" x14ac:dyDescent="0.35">
      <c r="A60" s="153"/>
      <c r="B60" s="352" t="s">
        <v>667</v>
      </c>
      <c r="C60" s="352" t="s">
        <v>668</v>
      </c>
      <c r="D60" s="366">
        <v>38</v>
      </c>
      <c r="E60" s="367">
        <v>2.0999999999999999E-3</v>
      </c>
      <c r="F60" s="368">
        <v>287</v>
      </c>
      <c r="G60" s="367">
        <v>1.1299999999999999E-2</v>
      </c>
      <c r="H60" s="369">
        <v>2968</v>
      </c>
      <c r="I60" s="370">
        <v>2.8E-3</v>
      </c>
      <c r="J60" s="353" t="str">
        <f>IF(COUNTIF('6.6 - Lists and lookups'!$D$9:$L$72,C60)=1,"IN LIST","CHECK")</f>
        <v>IN LIST</v>
      </c>
    </row>
    <row r="61" spans="1:10" x14ac:dyDescent="0.35">
      <c r="A61" s="153"/>
      <c r="B61" s="352" t="s">
        <v>669</v>
      </c>
      <c r="C61" s="352" t="s">
        <v>670</v>
      </c>
      <c r="D61" s="366">
        <v>179</v>
      </c>
      <c r="E61" s="367">
        <v>0.01</v>
      </c>
      <c r="F61" s="368">
        <v>221</v>
      </c>
      <c r="G61" s="367">
        <v>8.6999999999999994E-3</v>
      </c>
      <c r="H61" s="369">
        <v>4205</v>
      </c>
      <c r="I61" s="370">
        <v>4.0000000000000001E-3</v>
      </c>
      <c r="J61" s="353" t="str">
        <f>IF(COUNTIF('6.6 - Lists and lookups'!$D$9:$L$72,C61)=1,"IN LIST","CHECK")</f>
        <v>IN LIST</v>
      </c>
    </row>
    <row r="62" spans="1:10" ht="39" x14ac:dyDescent="0.35">
      <c r="A62" s="153"/>
      <c r="B62" s="352" t="s">
        <v>671</v>
      </c>
      <c r="C62" s="352" t="s">
        <v>672</v>
      </c>
      <c r="D62" s="366">
        <v>236</v>
      </c>
      <c r="E62" s="367">
        <v>1.3100000000000001E-2</v>
      </c>
      <c r="F62" s="368">
        <v>123</v>
      </c>
      <c r="G62" s="367">
        <v>4.7999999999999996E-3</v>
      </c>
      <c r="H62" s="369">
        <v>9789</v>
      </c>
      <c r="I62" s="370">
        <v>9.4000000000000004E-3</v>
      </c>
      <c r="J62" s="353" t="str">
        <f>IF(COUNTIF('6.6 - Lists and lookups'!$D$9:$L$72,C62)=1,"IN LIST","CHECK")</f>
        <v>IN LIST</v>
      </c>
    </row>
    <row r="63" spans="1:10" x14ac:dyDescent="0.35">
      <c r="A63" s="153"/>
      <c r="B63" s="352" t="s">
        <v>673</v>
      </c>
      <c r="C63" s="352" t="s">
        <v>674</v>
      </c>
      <c r="D63" s="366">
        <v>157</v>
      </c>
      <c r="E63" s="367">
        <v>8.6999999999999994E-3</v>
      </c>
      <c r="F63" s="368">
        <v>114</v>
      </c>
      <c r="G63" s="367">
        <v>4.4999999999999997E-3</v>
      </c>
      <c r="H63" s="369">
        <v>4343</v>
      </c>
      <c r="I63" s="370">
        <v>4.1999999999999997E-3</v>
      </c>
      <c r="J63" s="353" t="str">
        <f>IF(COUNTIF('6.6 - Lists and lookups'!$D$9:$L$72,C63)=1,"IN LIST","CHECK")</f>
        <v>IN LIST</v>
      </c>
    </row>
    <row r="64" spans="1:10" ht="26" x14ac:dyDescent="0.35">
      <c r="A64" s="153"/>
      <c r="B64" s="352" t="s">
        <v>675</v>
      </c>
      <c r="C64" s="352" t="s">
        <v>676</v>
      </c>
      <c r="D64" s="366">
        <v>144</v>
      </c>
      <c r="E64" s="367" t="s">
        <v>677</v>
      </c>
      <c r="F64" s="368">
        <v>264</v>
      </c>
      <c r="G64" s="367" t="s">
        <v>677</v>
      </c>
      <c r="H64" s="369">
        <v>4433</v>
      </c>
      <c r="I64" s="367" t="s">
        <v>677</v>
      </c>
      <c r="J64" s="353" t="str">
        <f>IF(COUNTIF('6.6 - Lists and lookups'!$D$9:$L$72,C64)=1,"IN LIST","CHECK")</f>
        <v>IN LIST</v>
      </c>
    </row>
    <row r="65" spans="1:10" ht="26" x14ac:dyDescent="0.35">
      <c r="A65" s="153"/>
      <c r="B65" s="352" t="s">
        <v>678</v>
      </c>
      <c r="C65" s="352" t="s">
        <v>679</v>
      </c>
      <c r="D65" s="366">
        <v>26</v>
      </c>
      <c r="E65" s="367" t="s">
        <v>677</v>
      </c>
      <c r="F65" s="368">
        <v>41</v>
      </c>
      <c r="G65" s="367" t="s">
        <v>677</v>
      </c>
      <c r="H65" s="368">
        <v>1351</v>
      </c>
      <c r="I65" s="367" t="s">
        <v>677</v>
      </c>
      <c r="J65" s="353" t="str">
        <f>IF(COUNTIF('6.6 - Lists and lookups'!$D$9:$L$72,C65)=1,"IN LIST","CHECK")</f>
        <v>IN LIST</v>
      </c>
    </row>
    <row r="66" spans="1:10" ht="26" x14ac:dyDescent="0.35">
      <c r="A66" s="153"/>
      <c r="B66" s="352" t="s">
        <v>680</v>
      </c>
      <c r="C66" s="352" t="s">
        <v>681</v>
      </c>
      <c r="D66" s="366">
        <v>90</v>
      </c>
      <c r="E66" s="367" t="s">
        <v>677</v>
      </c>
      <c r="F66" s="368">
        <v>153</v>
      </c>
      <c r="G66" s="367" t="s">
        <v>677</v>
      </c>
      <c r="H66" s="368">
        <v>4745</v>
      </c>
      <c r="I66" s="367" t="s">
        <v>677</v>
      </c>
      <c r="J66" s="353" t="str">
        <f>IF(COUNTIF('6.6 - Lists and lookups'!$D$9:$L$72,C66)=1,"IN LIST","CHECK")</f>
        <v>IN LIST</v>
      </c>
    </row>
    <row r="67" spans="1:10" ht="26" x14ac:dyDescent="0.35">
      <c r="A67" s="153"/>
      <c r="B67" s="352" t="s">
        <v>682</v>
      </c>
      <c r="C67" s="352" t="s">
        <v>683</v>
      </c>
      <c r="D67" s="366">
        <v>76</v>
      </c>
      <c r="E67" s="367" t="s">
        <v>677</v>
      </c>
      <c r="F67" s="368">
        <v>749</v>
      </c>
      <c r="G67" s="367" t="s">
        <v>677</v>
      </c>
      <c r="H67" s="367" t="s">
        <v>677</v>
      </c>
      <c r="I67" s="367" t="s">
        <v>677</v>
      </c>
      <c r="J67" s="353" t="str">
        <f>IF(COUNTIF('6.6 - Lists and lookups'!$D$9:$L$72,C67)=1,"IN LIST","CHECK")</f>
        <v>IN LIST</v>
      </c>
    </row>
    <row r="68" spans="1:10" x14ac:dyDescent="0.35">
      <c r="A68" s="153"/>
      <c r="B68" s="352" t="s">
        <v>684</v>
      </c>
      <c r="C68" s="352" t="s">
        <v>685</v>
      </c>
      <c r="D68" s="366">
        <v>23</v>
      </c>
      <c r="E68" s="367">
        <v>1.2999999999999999E-3</v>
      </c>
      <c r="F68" s="368">
        <v>40</v>
      </c>
      <c r="G68" s="367">
        <v>1.6000000000000001E-3</v>
      </c>
      <c r="H68" s="368">
        <v>748</v>
      </c>
      <c r="I68" s="370">
        <v>6.9999999999999999E-4</v>
      </c>
      <c r="J68" s="353" t="str">
        <f>IF(COUNTIF('6.6 - Lists and lookups'!$D$9:$L$72,C68)=1,"IN LIST","CHECK")</f>
        <v>IN LIST</v>
      </c>
    </row>
    <row r="69" spans="1:10" x14ac:dyDescent="0.35">
      <c r="A69" s="153"/>
      <c r="B69" s="352" t="s">
        <v>686</v>
      </c>
      <c r="C69" s="352" t="s">
        <v>687</v>
      </c>
      <c r="D69" s="366">
        <v>18</v>
      </c>
      <c r="E69" s="367">
        <v>1E-3</v>
      </c>
      <c r="F69" s="368">
        <v>55</v>
      </c>
      <c r="G69" s="367">
        <v>2.2000000000000001E-3</v>
      </c>
      <c r="H69" s="368">
        <v>758</v>
      </c>
      <c r="I69" s="370">
        <v>6.9999999999999999E-4</v>
      </c>
      <c r="J69" s="353" t="str">
        <f>IF(COUNTIF('6.6 - Lists and lookups'!$D$9:$L$72,C69)=1,"IN LIST","CHECK")</f>
        <v>IN LIST</v>
      </c>
    </row>
    <row r="70" spans="1:10" x14ac:dyDescent="0.35">
      <c r="A70" s="153"/>
      <c r="B70" s="352" t="s">
        <v>688</v>
      </c>
      <c r="C70" s="352" t="s">
        <v>689</v>
      </c>
      <c r="D70" s="366">
        <v>17</v>
      </c>
      <c r="E70" s="367">
        <v>8.9999999999999998E-4</v>
      </c>
      <c r="F70" s="368">
        <v>127</v>
      </c>
      <c r="G70" s="367">
        <v>5.0000000000000001E-3</v>
      </c>
      <c r="H70" s="369">
        <v>2655</v>
      </c>
      <c r="I70" s="370">
        <v>2.5000000000000001E-3</v>
      </c>
      <c r="J70" s="353" t="str">
        <f>IF(COUNTIF('6.6 - Lists and lookups'!$D$9:$L$72,C70)=1,"IN LIST","CHECK")</f>
        <v>IN LIST</v>
      </c>
    </row>
    <row r="71" spans="1:10" x14ac:dyDescent="0.35">
      <c r="A71" s="153"/>
      <c r="B71" s="352" t="s">
        <v>690</v>
      </c>
      <c r="C71" s="352" t="s">
        <v>691</v>
      </c>
      <c r="D71" s="366">
        <v>50</v>
      </c>
      <c r="E71" s="367">
        <v>2.8E-3</v>
      </c>
      <c r="F71" s="368">
        <v>863</v>
      </c>
      <c r="G71" s="367">
        <v>3.4000000000000002E-2</v>
      </c>
      <c r="H71" s="369">
        <v>17287</v>
      </c>
      <c r="I71" s="370">
        <v>1.66E-2</v>
      </c>
      <c r="J71" s="353" t="str">
        <f>IF(COUNTIF('6.6 - Lists and lookups'!$D$9:$L$72,C71)=1,"IN LIST","CHECK")</f>
        <v>IN LIST</v>
      </c>
    </row>
    <row r="72" spans="1:10" x14ac:dyDescent="0.35">
      <c r="A72" s="153"/>
      <c r="B72" s="352" t="s">
        <v>692</v>
      </c>
      <c r="C72" s="352" t="s">
        <v>693</v>
      </c>
      <c r="D72" s="366">
        <v>22</v>
      </c>
      <c r="E72" s="367">
        <v>1.1999999999999999E-3</v>
      </c>
      <c r="F72" s="368">
        <v>28</v>
      </c>
      <c r="G72" s="367">
        <v>1.1000000000000001E-3</v>
      </c>
      <c r="H72" s="368">
        <v>594</v>
      </c>
      <c r="I72" s="370">
        <v>5.9999999999999995E-4</v>
      </c>
      <c r="J72" s="353" t="str">
        <f>IF(COUNTIF('6.6 - Lists and lookups'!$D$9:$L$72,C72)=1,"IN LIST","CHECK")</f>
        <v>IN LIST</v>
      </c>
    </row>
    <row r="73" spans="1:10" x14ac:dyDescent="0.35">
      <c r="A73" s="153"/>
      <c r="B73" s="352" t="s">
        <v>694</v>
      </c>
      <c r="C73" s="352" t="s">
        <v>695</v>
      </c>
      <c r="D73" s="366">
        <v>26</v>
      </c>
      <c r="E73" s="367">
        <v>1.4E-3</v>
      </c>
      <c r="F73" s="368">
        <v>70</v>
      </c>
      <c r="G73" s="367">
        <v>2.8E-3</v>
      </c>
      <c r="H73" s="369">
        <v>1827</v>
      </c>
      <c r="I73" s="370">
        <v>1.8E-3</v>
      </c>
      <c r="J73" s="353" t="str">
        <f>IF(COUNTIF('6.6 - Lists and lookups'!$D$9:$L$72,C73)=1,"IN LIST","CHECK")</f>
        <v>IN LIST</v>
      </c>
    </row>
    <row r="74" spans="1:10" x14ac:dyDescent="0.35">
      <c r="A74" s="153"/>
      <c r="B74" s="352" t="s">
        <v>696</v>
      </c>
      <c r="C74" s="352" t="s">
        <v>697</v>
      </c>
      <c r="D74" s="366">
        <v>14</v>
      </c>
      <c r="E74" s="367">
        <v>8.0000000000000004E-4</v>
      </c>
      <c r="F74" s="368">
        <v>37</v>
      </c>
      <c r="G74" s="367">
        <v>1.4E-3</v>
      </c>
      <c r="H74" s="369">
        <v>1014</v>
      </c>
      <c r="I74" s="370">
        <v>1E-3</v>
      </c>
      <c r="J74" s="353" t="str">
        <f>IF(COUNTIF('6.6 - Lists and lookups'!$D$9:$L$72,C74)=1,"IN LIST","CHECK")</f>
        <v>IN LIST</v>
      </c>
    </row>
    <row r="75" spans="1:10" x14ac:dyDescent="0.35">
      <c r="A75" s="153"/>
      <c r="B75" s="352" t="s">
        <v>698</v>
      </c>
      <c r="C75" s="352" t="s">
        <v>699</v>
      </c>
      <c r="D75" s="366">
        <v>23</v>
      </c>
      <c r="E75" s="367">
        <v>1.2999999999999999E-3</v>
      </c>
      <c r="F75" s="368">
        <v>25</v>
      </c>
      <c r="G75" s="367">
        <v>1E-3</v>
      </c>
      <c r="H75" s="368">
        <v>658</v>
      </c>
      <c r="I75" s="370">
        <v>5.9999999999999995E-4</v>
      </c>
      <c r="J75" s="353" t="str">
        <f>IF(COUNTIF('6.6 - Lists and lookups'!$D$9:$L$72,C75)=1,"IN LIST","CHECK")</f>
        <v>IN LIST</v>
      </c>
    </row>
    <row r="76" spans="1:10" x14ac:dyDescent="0.35">
      <c r="A76" s="153"/>
      <c r="B76" s="352" t="s">
        <v>700</v>
      </c>
      <c r="C76" s="352" t="s">
        <v>701</v>
      </c>
      <c r="D76" s="366">
        <v>40</v>
      </c>
      <c r="E76" s="367">
        <v>2.2000000000000001E-3</v>
      </c>
      <c r="F76" s="368">
        <v>36</v>
      </c>
      <c r="G76" s="367">
        <v>1.4E-3</v>
      </c>
      <c r="H76" s="368">
        <v>409</v>
      </c>
      <c r="I76" s="370">
        <v>4.0000000000000002E-4</v>
      </c>
      <c r="J76" s="353" t="str">
        <f>IF(COUNTIF('6.6 - Lists and lookups'!$D$9:$L$72,C76)=1,"IN LIST","CHECK")</f>
        <v>IN LIST</v>
      </c>
    </row>
    <row r="77" spans="1:10" x14ac:dyDescent="0.35">
      <c r="A77" s="153"/>
      <c r="B77" s="352" t="s">
        <v>702</v>
      </c>
      <c r="C77" s="352" t="s">
        <v>703</v>
      </c>
      <c r="D77" s="366">
        <v>31</v>
      </c>
      <c r="E77" s="367">
        <v>1.6999999999999999E-3</v>
      </c>
      <c r="F77" s="368">
        <v>14</v>
      </c>
      <c r="G77" s="367">
        <v>5.0000000000000001E-4</v>
      </c>
      <c r="H77" s="368">
        <v>459</v>
      </c>
      <c r="I77" s="370">
        <v>4.0000000000000002E-4</v>
      </c>
      <c r="J77" s="353" t="str">
        <f>IF(COUNTIF('6.6 - Lists and lookups'!$D$9:$L$72,C77)=1,"IN LIST","CHECK")</f>
        <v>IN LIST</v>
      </c>
    </row>
    <row r="78" spans="1:10" x14ac:dyDescent="0.35">
      <c r="A78" s="153"/>
      <c r="B78" s="352" t="s">
        <v>704</v>
      </c>
      <c r="C78" s="352" t="s">
        <v>705</v>
      </c>
      <c r="D78" s="366">
        <v>31</v>
      </c>
      <c r="E78" s="367">
        <v>1.6999999999999999E-3</v>
      </c>
      <c r="F78" s="368">
        <v>145</v>
      </c>
      <c r="G78" s="367">
        <v>5.7000000000000002E-3</v>
      </c>
      <c r="H78" s="369">
        <v>2629</v>
      </c>
      <c r="I78" s="370">
        <v>2.5000000000000001E-3</v>
      </c>
      <c r="J78" s="353" t="str">
        <f>IF(COUNTIF('6.6 - Lists and lookups'!$D$9:$L$72,C78)=1,"IN LIST","CHECK")</f>
        <v>IN LIST</v>
      </c>
    </row>
    <row r="79" spans="1:10" x14ac:dyDescent="0.35">
      <c r="A79" s="153"/>
      <c r="B79" s="352" t="s">
        <v>706</v>
      </c>
      <c r="C79" s="352" t="s">
        <v>707</v>
      </c>
      <c r="D79" s="366">
        <v>20</v>
      </c>
      <c r="E79" s="367">
        <v>1.1000000000000001E-3</v>
      </c>
      <c r="F79" s="368">
        <v>18</v>
      </c>
      <c r="G79" s="367">
        <v>6.9999999999999999E-4</v>
      </c>
      <c r="H79" s="368">
        <v>553</v>
      </c>
      <c r="I79" s="370">
        <v>5.0000000000000001E-4</v>
      </c>
      <c r="J79" s="353" t="str">
        <f>IF(COUNTIF('6.6 - Lists and lookups'!$D$9:$L$72,C79)=1,"IN LIST","CHECK")</f>
        <v>IN LIST</v>
      </c>
    </row>
    <row r="80" spans="1:10" ht="26" x14ac:dyDescent="0.35">
      <c r="A80" s="153"/>
      <c r="B80" s="352" t="s">
        <v>708</v>
      </c>
      <c r="C80" s="352" t="s">
        <v>709</v>
      </c>
      <c r="D80" s="366">
        <v>55</v>
      </c>
      <c r="E80" s="367" t="s">
        <v>677</v>
      </c>
      <c r="F80" s="368">
        <v>60</v>
      </c>
      <c r="G80" s="367" t="s">
        <v>677</v>
      </c>
      <c r="H80" s="367" t="s">
        <v>677</v>
      </c>
      <c r="I80" s="367" t="s">
        <v>677</v>
      </c>
      <c r="J80" s="353" t="str">
        <f>IF(COUNTIF('6.6 - Lists and lookups'!$D$9:$L$72,C80)=1,"IN LIST","CHECK")</f>
        <v>IN LIST</v>
      </c>
    </row>
    <row r="81" spans="1:10" x14ac:dyDescent="0.35">
      <c r="A81" s="153"/>
      <c r="B81" s="352" t="s">
        <v>710</v>
      </c>
      <c r="C81" s="352" t="s">
        <v>711</v>
      </c>
      <c r="D81" s="366">
        <v>27</v>
      </c>
      <c r="E81" s="367">
        <v>1.5E-3</v>
      </c>
      <c r="F81" s="368">
        <v>216</v>
      </c>
      <c r="G81" s="367">
        <v>8.5000000000000006E-3</v>
      </c>
      <c r="H81" s="369">
        <v>3538</v>
      </c>
      <c r="I81" s="370">
        <v>3.3999999999999998E-3</v>
      </c>
      <c r="J81" s="353" t="str">
        <f>IF(COUNTIF('6.6 - Lists and lookups'!$D$9:$L$72,C81)=1,"IN LIST","CHECK")</f>
        <v>IN LIST</v>
      </c>
    </row>
    <row r="82" spans="1:10" x14ac:dyDescent="0.35">
      <c r="A82" s="153"/>
      <c r="B82" s="352" t="s">
        <v>712</v>
      </c>
      <c r="C82" s="352" t="s">
        <v>713</v>
      </c>
      <c r="D82" s="366">
        <v>28</v>
      </c>
      <c r="E82" s="367">
        <v>1.6000000000000001E-3</v>
      </c>
      <c r="F82" s="368">
        <v>74</v>
      </c>
      <c r="G82" s="367">
        <v>2.8999999999999998E-3</v>
      </c>
      <c r="H82" s="369">
        <v>2668</v>
      </c>
      <c r="I82" s="370">
        <v>2.5999999999999999E-3</v>
      </c>
      <c r="J82" s="353" t="str">
        <f>IF(COUNTIF('6.6 - Lists and lookups'!$D$9:$L$72,C82)=1,"IN LIST","CHECK")</f>
        <v>IN LIST</v>
      </c>
    </row>
    <row r="83" spans="1:10" x14ac:dyDescent="0.35">
      <c r="A83" s="153"/>
      <c r="B83" s="352" t="s">
        <v>714</v>
      </c>
      <c r="C83" s="352" t="s">
        <v>715</v>
      </c>
      <c r="D83" s="366">
        <v>23</v>
      </c>
      <c r="E83" s="367">
        <v>1.2999999999999999E-3</v>
      </c>
      <c r="F83" s="368">
        <v>56</v>
      </c>
      <c r="G83" s="367">
        <v>2.2000000000000001E-3</v>
      </c>
      <c r="H83" s="369">
        <v>1291</v>
      </c>
      <c r="I83" s="370">
        <v>1.1999999999999999E-3</v>
      </c>
      <c r="J83" s="353" t="str">
        <f>IF(COUNTIF('6.6 - Lists and lookups'!$D$9:$L$72,C83)=1,"IN LIST","CHECK")</f>
        <v>IN LIST</v>
      </c>
    </row>
    <row r="84" spans="1:10" x14ac:dyDescent="0.35">
      <c r="A84" s="153"/>
      <c r="B84" s="352" t="s">
        <v>716</v>
      </c>
      <c r="C84" s="352" t="s">
        <v>717</v>
      </c>
      <c r="D84" s="366">
        <v>30</v>
      </c>
      <c r="E84" s="367">
        <v>1.6999999999999999E-3</v>
      </c>
      <c r="F84" s="368">
        <v>101</v>
      </c>
      <c r="G84" s="367">
        <v>4.0000000000000001E-3</v>
      </c>
      <c r="H84" s="369">
        <v>2049</v>
      </c>
      <c r="I84" s="370">
        <v>2E-3</v>
      </c>
      <c r="J84" s="353" t="str">
        <f>IF(COUNTIF('6.6 - Lists and lookups'!$D$9:$L$72,C84)=1,"IN LIST","CHECK")</f>
        <v>IN LIST</v>
      </c>
    </row>
    <row r="85" spans="1:10" x14ac:dyDescent="0.35">
      <c r="A85" s="153"/>
      <c r="B85" s="352" t="s">
        <v>718</v>
      </c>
      <c r="C85" s="352" t="s">
        <v>719</v>
      </c>
      <c r="D85" s="366">
        <v>19</v>
      </c>
      <c r="E85" s="367">
        <v>1.1000000000000001E-3</v>
      </c>
      <c r="F85" s="368">
        <v>71</v>
      </c>
      <c r="G85" s="367">
        <v>2.8E-3</v>
      </c>
      <c r="H85" s="369">
        <v>2394</v>
      </c>
      <c r="I85" s="370">
        <v>2.3E-3</v>
      </c>
      <c r="J85" s="353" t="str">
        <f>IF(COUNTIF('6.6 - Lists and lookups'!$D$9:$L$72,C85)=1,"IN LIST","CHECK")</f>
        <v>IN LIST</v>
      </c>
    </row>
    <row r="86" spans="1:10" x14ac:dyDescent="0.35">
      <c r="A86" s="153"/>
      <c r="B86" s="352" t="s">
        <v>720</v>
      </c>
      <c r="C86" s="352" t="s">
        <v>721</v>
      </c>
      <c r="D86" s="366">
        <v>31</v>
      </c>
      <c r="E86" s="367">
        <v>1.6999999999999999E-3</v>
      </c>
      <c r="F86" s="368">
        <v>27</v>
      </c>
      <c r="G86" s="367">
        <v>1.1000000000000001E-3</v>
      </c>
      <c r="H86" s="368">
        <v>985</v>
      </c>
      <c r="I86" s="370">
        <v>8.9999999999999998E-4</v>
      </c>
      <c r="J86" s="353" t="str">
        <f>IF(COUNTIF('6.6 - Lists and lookups'!$D$9:$L$72,C86)=1,"IN LIST","CHECK")</f>
        <v>IN LIST</v>
      </c>
    </row>
    <row r="87" spans="1:10" x14ac:dyDescent="0.35">
      <c r="A87" s="153"/>
      <c r="B87" s="352" t="s">
        <v>722</v>
      </c>
      <c r="C87" s="352" t="s">
        <v>723</v>
      </c>
      <c r="D87" s="366">
        <v>28</v>
      </c>
      <c r="E87" s="367">
        <v>1.6000000000000001E-3</v>
      </c>
      <c r="F87" s="368">
        <v>19</v>
      </c>
      <c r="G87" s="367">
        <v>8.0000000000000004E-4</v>
      </c>
      <c r="H87" s="368">
        <v>631</v>
      </c>
      <c r="I87" s="370">
        <v>5.9999999999999995E-4</v>
      </c>
      <c r="J87" s="353" t="str">
        <f>IF(COUNTIF('6.6 - Lists and lookups'!$D$9:$L$72,C87)=1,"IN LIST","CHECK")</f>
        <v>IN LIST</v>
      </c>
    </row>
    <row r="88" spans="1:10" x14ac:dyDescent="0.35">
      <c r="A88" s="153"/>
      <c r="B88" s="352" t="s">
        <v>724</v>
      </c>
      <c r="C88" s="352" t="s">
        <v>725</v>
      </c>
      <c r="D88" s="366">
        <v>17</v>
      </c>
      <c r="E88" s="367">
        <v>8.9999999999999998E-4</v>
      </c>
      <c r="F88" s="368">
        <v>15</v>
      </c>
      <c r="G88" s="367">
        <v>5.9999999999999995E-4</v>
      </c>
      <c r="H88" s="368">
        <v>272</v>
      </c>
      <c r="I88" s="370">
        <v>2.9999999999999997E-4</v>
      </c>
      <c r="J88" s="353" t="str">
        <f>IF(COUNTIF('6.6 - Lists and lookups'!$D$9:$L$72,C88)=1,"IN LIST","CHECK")</f>
        <v>IN LIST</v>
      </c>
    </row>
    <row r="89" spans="1:10" x14ac:dyDescent="0.35">
      <c r="A89" s="153"/>
      <c r="B89" s="352" t="s">
        <v>726</v>
      </c>
      <c r="C89" s="352" t="s">
        <v>727</v>
      </c>
      <c r="D89" s="366">
        <v>39</v>
      </c>
      <c r="E89" s="367">
        <v>2.2000000000000001E-3</v>
      </c>
      <c r="F89" s="368">
        <v>30</v>
      </c>
      <c r="G89" s="367">
        <v>1.1999999999999999E-3</v>
      </c>
      <c r="H89" s="368">
        <v>779</v>
      </c>
      <c r="I89" s="370">
        <v>6.9999999999999999E-4</v>
      </c>
      <c r="J89" s="353" t="str">
        <f>IF(COUNTIF('6.6 - Lists and lookups'!$D$9:$L$72,C89)=1,"IN LIST","CHECK")</f>
        <v>IN LIST</v>
      </c>
    </row>
    <row r="90" spans="1:10" x14ac:dyDescent="0.35">
      <c r="A90" s="153"/>
      <c r="B90" s="352" t="s">
        <v>728</v>
      </c>
      <c r="C90" s="352" t="s">
        <v>729</v>
      </c>
      <c r="D90" s="366">
        <v>14</v>
      </c>
      <c r="E90" s="367">
        <v>8.0000000000000004E-4</v>
      </c>
      <c r="F90" s="368">
        <v>27</v>
      </c>
      <c r="G90" s="367">
        <v>1.1000000000000001E-3</v>
      </c>
      <c r="H90" s="368">
        <v>591</v>
      </c>
      <c r="I90" s="370">
        <v>5.9999999999999995E-4</v>
      </c>
      <c r="J90" s="353" t="str">
        <f>IF(COUNTIF('6.6 - Lists and lookups'!$D$9:$L$72,C90)=1,"IN LIST","CHECK")</f>
        <v>IN LIST</v>
      </c>
    </row>
    <row r="91" spans="1:10" x14ac:dyDescent="0.35">
      <c r="A91" s="153"/>
      <c r="B91" s="352" t="s">
        <v>730</v>
      </c>
      <c r="C91" s="352" t="s">
        <v>731</v>
      </c>
      <c r="D91" s="366">
        <v>30</v>
      </c>
      <c r="E91" s="367">
        <v>1.6999999999999999E-3</v>
      </c>
      <c r="F91" s="368">
        <v>69</v>
      </c>
      <c r="G91" s="367">
        <v>2.7000000000000001E-3</v>
      </c>
      <c r="H91" s="368">
        <v>783</v>
      </c>
      <c r="I91" s="370">
        <v>8.0000000000000004E-4</v>
      </c>
      <c r="J91" s="353" t="str">
        <f>IF(COUNTIF('6.6 - Lists and lookups'!$D$9:$L$72,C91)=1,"IN LIST","CHECK")</f>
        <v>IN LIST</v>
      </c>
    </row>
    <row r="92" spans="1:10" x14ac:dyDescent="0.35">
      <c r="A92" s="153"/>
      <c r="B92" s="352" t="s">
        <v>732</v>
      </c>
      <c r="C92" s="352" t="s">
        <v>733</v>
      </c>
      <c r="D92" s="366">
        <v>17</v>
      </c>
      <c r="E92" s="367">
        <v>8.9999999999999998E-4</v>
      </c>
      <c r="F92" s="368">
        <v>22</v>
      </c>
      <c r="G92" s="367">
        <v>8.9999999999999998E-4</v>
      </c>
      <c r="H92" s="368">
        <v>642</v>
      </c>
      <c r="I92" s="370">
        <v>5.9999999999999995E-4</v>
      </c>
      <c r="J92" s="353" t="str">
        <f>IF(COUNTIF('6.6 - Lists and lookups'!$D$9:$L$72,C92)=1,"IN LIST","CHECK")</f>
        <v>IN LIST</v>
      </c>
    </row>
    <row r="93" spans="1:10" x14ac:dyDescent="0.35">
      <c r="A93" s="153"/>
      <c r="B93" s="352" t="s">
        <v>734</v>
      </c>
      <c r="C93" s="352" t="s">
        <v>735</v>
      </c>
      <c r="D93" s="366">
        <v>5</v>
      </c>
      <c r="E93" s="367">
        <v>2.9999999999999997E-4</v>
      </c>
      <c r="F93" s="368">
        <v>9</v>
      </c>
      <c r="G93" s="367">
        <v>2.9999999999999997E-4</v>
      </c>
      <c r="H93" s="368">
        <v>206</v>
      </c>
      <c r="I93" s="370">
        <v>2.0000000000000001E-4</v>
      </c>
      <c r="J93" s="353" t="str">
        <f>IF(COUNTIF('6.6 - Lists and lookups'!$D$9:$L$72,C93)=1,"IN LIST","CHECK")</f>
        <v>IN LIST</v>
      </c>
    </row>
    <row r="94" spans="1:10" x14ac:dyDescent="0.35">
      <c r="A94" s="153"/>
      <c r="B94" s="352" t="s">
        <v>736</v>
      </c>
      <c r="C94" s="352" t="s">
        <v>737</v>
      </c>
      <c r="D94" s="366">
        <v>59</v>
      </c>
      <c r="E94" s="367">
        <v>3.3E-3</v>
      </c>
      <c r="F94" s="368">
        <v>13</v>
      </c>
      <c r="G94" s="367">
        <v>5.0000000000000001E-4</v>
      </c>
      <c r="H94" s="369">
        <v>1218</v>
      </c>
      <c r="I94" s="370">
        <v>1.1999999999999999E-3</v>
      </c>
      <c r="J94" s="353" t="str">
        <f>IF(COUNTIF('6.6 - Lists and lookups'!$D$9:$L$72,C94)=1,"IN LIST","CHECK")</f>
        <v>IN LIST</v>
      </c>
    </row>
    <row r="95" spans="1:10" x14ac:dyDescent="0.35">
      <c r="A95" s="153"/>
      <c r="B95" s="352" t="s">
        <v>738</v>
      </c>
      <c r="C95" s="352" t="s">
        <v>739</v>
      </c>
      <c r="D95" s="366">
        <v>29</v>
      </c>
      <c r="E95" s="367">
        <v>1.6000000000000001E-3</v>
      </c>
      <c r="F95" s="368">
        <v>32</v>
      </c>
      <c r="G95" s="367">
        <v>1.2999999999999999E-3</v>
      </c>
      <c r="H95" s="369">
        <v>1395</v>
      </c>
      <c r="I95" s="370">
        <v>1.2999999999999999E-3</v>
      </c>
      <c r="J95" s="353" t="str">
        <f>IF(COUNTIF('6.6 - Lists and lookups'!$D$9:$L$72,C95)=1,"IN LIST","CHECK")</f>
        <v>IN LIST</v>
      </c>
    </row>
    <row r="96" spans="1:10" x14ac:dyDescent="0.35">
      <c r="A96" s="153"/>
      <c r="B96" s="352" t="s">
        <v>740</v>
      </c>
      <c r="C96" s="352" t="s">
        <v>741</v>
      </c>
      <c r="D96" s="366">
        <v>58</v>
      </c>
      <c r="E96" s="367">
        <v>3.2000000000000002E-3</v>
      </c>
      <c r="F96" s="368">
        <v>46</v>
      </c>
      <c r="G96" s="367">
        <v>1.8E-3</v>
      </c>
      <c r="H96" s="369">
        <v>1554</v>
      </c>
      <c r="I96" s="370">
        <v>1.5E-3</v>
      </c>
      <c r="J96" s="353" t="str">
        <f>IF(COUNTIF('6.6 - Lists and lookups'!$D$9:$L$72,C96)=1,"IN LIST","CHECK")</f>
        <v>IN LIST</v>
      </c>
    </row>
    <row r="97" spans="1:10" x14ac:dyDescent="0.35">
      <c r="A97" s="153"/>
      <c r="B97" s="352" t="s">
        <v>742</v>
      </c>
      <c r="C97" s="352" t="s">
        <v>743</v>
      </c>
      <c r="D97" s="366">
        <v>35</v>
      </c>
      <c r="E97" s="367">
        <v>1.9E-3</v>
      </c>
      <c r="F97" s="368">
        <v>19</v>
      </c>
      <c r="G97" s="367">
        <v>8.0000000000000004E-4</v>
      </c>
      <c r="H97" s="368">
        <v>552</v>
      </c>
      <c r="I97" s="370">
        <v>5.0000000000000001E-4</v>
      </c>
      <c r="J97" s="353" t="str">
        <f>IF(COUNTIF('6.6 - Lists and lookups'!$D$9:$L$72,C97)=1,"IN LIST","CHECK")</f>
        <v>IN LIST</v>
      </c>
    </row>
    <row r="98" spans="1:10" x14ac:dyDescent="0.35">
      <c r="A98" s="153"/>
      <c r="B98" s="352" t="s">
        <v>744</v>
      </c>
      <c r="C98" s="352" t="s">
        <v>745</v>
      </c>
      <c r="D98" s="366">
        <v>20</v>
      </c>
      <c r="E98" s="367">
        <v>1.1000000000000001E-3</v>
      </c>
      <c r="F98" s="368">
        <v>16</v>
      </c>
      <c r="G98" s="367">
        <v>5.9999999999999995E-4</v>
      </c>
      <c r="H98" s="368">
        <v>288</v>
      </c>
      <c r="I98" s="370">
        <v>2.9999999999999997E-4</v>
      </c>
      <c r="J98" s="353" t="str">
        <f>IF(COUNTIF('6.6 - Lists and lookups'!$D$9:$L$72,C98)=1,"IN LIST","CHECK")</f>
        <v>IN LIST</v>
      </c>
    </row>
    <row r="99" spans="1:10" x14ac:dyDescent="0.35">
      <c r="A99" s="153"/>
      <c r="B99" s="352" t="s">
        <v>746</v>
      </c>
      <c r="C99" s="352" t="s">
        <v>747</v>
      </c>
      <c r="D99" s="366">
        <v>62</v>
      </c>
      <c r="E99" s="367">
        <v>3.3999999999999998E-3</v>
      </c>
      <c r="F99" s="368">
        <v>75</v>
      </c>
      <c r="G99" s="367">
        <v>3.0000000000000001E-3</v>
      </c>
      <c r="H99" s="369">
        <v>2153</v>
      </c>
      <c r="I99" s="370">
        <v>2.0999999999999999E-3</v>
      </c>
      <c r="J99" s="353" t="str">
        <f>IF(COUNTIF('6.6 - Lists and lookups'!$D$9:$L$72,C99)=1,"IN LIST","CHECK")</f>
        <v>IN LIST</v>
      </c>
    </row>
    <row r="100" spans="1:10" x14ac:dyDescent="0.35">
      <c r="A100" s="153"/>
      <c r="B100" s="352" t="s">
        <v>748</v>
      </c>
      <c r="C100" s="352" t="s">
        <v>749</v>
      </c>
      <c r="D100" s="366">
        <v>23</v>
      </c>
      <c r="E100" s="367">
        <v>1.2999999999999999E-3</v>
      </c>
      <c r="F100" s="368">
        <v>15</v>
      </c>
      <c r="G100" s="367">
        <v>5.9999999999999995E-4</v>
      </c>
      <c r="H100" s="368">
        <v>516</v>
      </c>
      <c r="I100" s="370">
        <v>5.0000000000000001E-4</v>
      </c>
      <c r="J100" s="353" t="str">
        <f>IF(COUNTIF('6.6 - Lists and lookups'!$D$9:$L$72,C100)=1,"IN LIST","CHECK")</f>
        <v>IN LIST</v>
      </c>
    </row>
    <row r="101" spans="1:10" x14ac:dyDescent="0.35">
      <c r="A101" s="153"/>
      <c r="B101" s="352" t="s">
        <v>750</v>
      </c>
      <c r="C101" s="352" t="s">
        <v>751</v>
      </c>
      <c r="D101" s="366">
        <v>44</v>
      </c>
      <c r="E101" s="367">
        <v>2.3999999999999998E-3</v>
      </c>
      <c r="F101" s="368">
        <v>49</v>
      </c>
      <c r="G101" s="367">
        <v>1.9E-3</v>
      </c>
      <c r="H101" s="369">
        <v>2445</v>
      </c>
      <c r="I101" s="370">
        <v>2.3E-3</v>
      </c>
      <c r="J101" s="353" t="str">
        <f>IF(COUNTIF('6.6 - Lists and lookups'!$D$9:$L$72,C101)=1,"IN LIST","CHECK")</f>
        <v>IN LIST</v>
      </c>
    </row>
    <row r="102" spans="1:10" x14ac:dyDescent="0.35">
      <c r="A102" s="153"/>
      <c r="B102" s="352" t="s">
        <v>752</v>
      </c>
      <c r="C102" s="352" t="s">
        <v>753</v>
      </c>
      <c r="D102" s="366">
        <v>41</v>
      </c>
      <c r="E102" s="367">
        <v>2.3E-3</v>
      </c>
      <c r="F102" s="368">
        <v>8</v>
      </c>
      <c r="G102" s="367">
        <v>2.9999999999999997E-4</v>
      </c>
      <c r="H102" s="368">
        <v>519</v>
      </c>
      <c r="I102" s="370">
        <v>5.0000000000000001E-4</v>
      </c>
      <c r="J102" s="353" t="str">
        <f>IF(COUNTIF('6.6 - Lists and lookups'!$D$9:$L$72,C102)=1,"IN LIST","CHECK")</f>
        <v>IN LIST</v>
      </c>
    </row>
    <row r="103" spans="1:10" x14ac:dyDescent="0.35">
      <c r="A103" s="153"/>
      <c r="B103" s="352" t="s">
        <v>754</v>
      </c>
      <c r="C103" s="352" t="s">
        <v>755</v>
      </c>
      <c r="D103" s="366">
        <v>55</v>
      </c>
      <c r="E103" s="367">
        <v>3.0999999999999999E-3</v>
      </c>
      <c r="F103" s="368">
        <v>34</v>
      </c>
      <c r="G103" s="367">
        <v>1.2999999999999999E-3</v>
      </c>
      <c r="H103" s="369">
        <v>1212</v>
      </c>
      <c r="I103" s="370">
        <v>1.1999999999999999E-3</v>
      </c>
      <c r="J103" s="353" t="str">
        <f>IF(COUNTIF('6.6 - Lists and lookups'!$D$9:$L$72,C103)=1,"IN LIST","CHECK")</f>
        <v>IN LIST</v>
      </c>
    </row>
    <row r="104" spans="1:10" x14ac:dyDescent="0.35">
      <c r="A104" s="153"/>
      <c r="B104" s="352" t="s">
        <v>756</v>
      </c>
      <c r="C104" s="352" t="s">
        <v>757</v>
      </c>
      <c r="D104" s="366">
        <v>34</v>
      </c>
      <c r="E104" s="367">
        <v>1.9E-3</v>
      </c>
      <c r="F104" s="368">
        <v>45</v>
      </c>
      <c r="G104" s="367">
        <v>1.8E-3</v>
      </c>
      <c r="H104" s="369">
        <v>2150</v>
      </c>
      <c r="I104" s="370">
        <v>2.0999999999999999E-3</v>
      </c>
      <c r="J104" s="353" t="str">
        <f>IF(COUNTIF('6.6 - Lists and lookups'!$D$9:$L$72,C104)=1,"IN LIST","CHECK")</f>
        <v>IN LIST</v>
      </c>
    </row>
    <row r="105" spans="1:10" x14ac:dyDescent="0.35">
      <c r="A105" s="153"/>
      <c r="B105" s="352" t="s">
        <v>758</v>
      </c>
      <c r="C105" s="352" t="s">
        <v>759</v>
      </c>
      <c r="D105" s="366">
        <v>90</v>
      </c>
      <c r="E105" s="367">
        <v>5.0000000000000001E-3</v>
      </c>
      <c r="F105" s="368">
        <v>67</v>
      </c>
      <c r="G105" s="367">
        <v>2.5999999999999999E-3</v>
      </c>
      <c r="H105" s="369">
        <v>2131</v>
      </c>
      <c r="I105" s="370">
        <v>2E-3</v>
      </c>
      <c r="J105" s="353" t="str">
        <f>IF(COUNTIF('6.6 - Lists and lookups'!$D$9:$L$72,C105)=1,"IN LIST","CHECK")</f>
        <v>IN LIST</v>
      </c>
    </row>
    <row r="106" spans="1:10" x14ac:dyDescent="0.35">
      <c r="A106" s="153"/>
      <c r="B106" s="352" t="s">
        <v>760</v>
      </c>
      <c r="C106" s="352" t="s">
        <v>761</v>
      </c>
      <c r="D106" s="366">
        <v>37</v>
      </c>
      <c r="E106" s="367">
        <v>2.0999999999999999E-3</v>
      </c>
      <c r="F106" s="368">
        <v>48</v>
      </c>
      <c r="G106" s="367">
        <v>1.9E-3</v>
      </c>
      <c r="H106" s="369">
        <v>1995</v>
      </c>
      <c r="I106" s="370">
        <v>1.9E-3</v>
      </c>
      <c r="J106" s="353" t="str">
        <f>IF(COUNTIF('6.6 - Lists and lookups'!$D$9:$L$72,C106)=1,"IN LIST","CHECK")</f>
        <v>IN LIST</v>
      </c>
    </row>
    <row r="107" spans="1:10" x14ac:dyDescent="0.35">
      <c r="A107" s="153"/>
      <c r="B107" s="352" t="s">
        <v>762</v>
      </c>
      <c r="C107" s="352" t="s">
        <v>763</v>
      </c>
      <c r="D107" s="366">
        <v>6</v>
      </c>
      <c r="E107" s="367">
        <v>2.9999999999999997E-4</v>
      </c>
      <c r="F107" s="368">
        <v>3</v>
      </c>
      <c r="G107" s="367">
        <v>1E-4</v>
      </c>
      <c r="H107" s="368">
        <v>240</v>
      </c>
      <c r="I107" s="370">
        <v>2.0000000000000001E-4</v>
      </c>
      <c r="J107" s="353" t="str">
        <f>IF(COUNTIF('6.6 - Lists and lookups'!$D$9:$L$72,C107)=1,"IN LIST","CHECK")</f>
        <v>IN LIST</v>
      </c>
    </row>
    <row r="108" spans="1:10" x14ac:dyDescent="0.35">
      <c r="A108" s="153"/>
      <c r="B108" s="352" t="s">
        <v>764</v>
      </c>
      <c r="C108" s="352" t="s">
        <v>765</v>
      </c>
      <c r="D108" s="366">
        <v>20</v>
      </c>
      <c r="E108" s="367">
        <v>1.1000000000000001E-3</v>
      </c>
      <c r="F108" s="368">
        <v>23</v>
      </c>
      <c r="G108" s="367">
        <v>8.9999999999999998E-4</v>
      </c>
      <c r="H108" s="368">
        <v>611</v>
      </c>
      <c r="I108" s="370">
        <v>5.9999999999999995E-4</v>
      </c>
      <c r="J108" s="353" t="str">
        <f>IF(COUNTIF('6.6 - Lists and lookups'!$D$9:$L$72,C108)=1,"IN LIST","CHECK")</f>
        <v>IN LIST</v>
      </c>
    </row>
    <row r="109" spans="1:10" x14ac:dyDescent="0.35">
      <c r="A109" s="153"/>
      <c r="B109" s="352" t="s">
        <v>766</v>
      </c>
      <c r="C109" s="352" t="s">
        <v>767</v>
      </c>
      <c r="D109" s="366">
        <v>44</v>
      </c>
      <c r="E109" s="367">
        <v>2.3999999999999998E-3</v>
      </c>
      <c r="F109" s="368">
        <v>26</v>
      </c>
      <c r="G109" s="367">
        <v>1E-3</v>
      </c>
      <c r="H109" s="369">
        <v>1136</v>
      </c>
      <c r="I109" s="370">
        <v>1.1000000000000001E-3</v>
      </c>
      <c r="J109" s="353" t="str">
        <f>IF(COUNTIF('6.6 - Lists and lookups'!$D$9:$L$72,C109)=1,"IN LIST","CHECK")</f>
        <v>IN LIST</v>
      </c>
    </row>
    <row r="110" spans="1:10" x14ac:dyDescent="0.35">
      <c r="A110" s="153"/>
      <c r="B110" s="352" t="s">
        <v>768</v>
      </c>
      <c r="C110" s="352" t="s">
        <v>769</v>
      </c>
      <c r="D110" s="366">
        <v>17</v>
      </c>
      <c r="E110" s="367">
        <v>8.9999999999999998E-4</v>
      </c>
      <c r="F110" s="368">
        <v>9</v>
      </c>
      <c r="G110" s="367">
        <v>4.0000000000000002E-4</v>
      </c>
      <c r="H110" s="368">
        <v>249</v>
      </c>
      <c r="I110" s="370">
        <v>2.0000000000000001E-4</v>
      </c>
      <c r="J110" s="353" t="str">
        <f>IF(COUNTIF('6.6 - Lists and lookups'!$D$9:$L$72,C110)=1,"IN LIST","CHECK")</f>
        <v>IN LIST</v>
      </c>
    </row>
    <row r="111" spans="1:10" x14ac:dyDescent="0.35">
      <c r="A111" s="153"/>
      <c r="B111" s="352" t="s">
        <v>770</v>
      </c>
      <c r="C111" s="352" t="s">
        <v>771</v>
      </c>
      <c r="D111" s="366">
        <v>25</v>
      </c>
      <c r="E111" s="367">
        <v>1.4E-3</v>
      </c>
      <c r="F111" s="368">
        <v>9</v>
      </c>
      <c r="G111" s="367">
        <v>4.0000000000000002E-4</v>
      </c>
      <c r="H111" s="368">
        <v>495</v>
      </c>
      <c r="I111" s="370">
        <v>5.0000000000000001E-4</v>
      </c>
      <c r="J111" s="353" t="str">
        <f>IF(COUNTIF('6.6 - Lists and lookups'!$D$9:$L$72,C111)=1,"IN LIST","CHECK")</f>
        <v>IN LIST</v>
      </c>
    </row>
    <row r="112" spans="1:10" x14ac:dyDescent="0.35">
      <c r="A112" s="153"/>
      <c r="B112" s="352" t="s">
        <v>772</v>
      </c>
      <c r="C112" s="352" t="s">
        <v>773</v>
      </c>
      <c r="D112" s="366">
        <v>24</v>
      </c>
      <c r="E112" s="367">
        <v>1.2999999999999999E-3</v>
      </c>
      <c r="F112" s="368">
        <v>20</v>
      </c>
      <c r="G112" s="367">
        <v>8.0000000000000004E-4</v>
      </c>
      <c r="H112" s="368">
        <v>522</v>
      </c>
      <c r="I112" s="370">
        <v>5.0000000000000001E-4</v>
      </c>
      <c r="J112" s="353" t="str">
        <f>IF(COUNTIF('6.6 - Lists and lookups'!$D$9:$L$72,C112)=1,"IN LIST","CHECK")</f>
        <v>IN LIST</v>
      </c>
    </row>
    <row r="113" spans="1:10" x14ac:dyDescent="0.35">
      <c r="A113" s="153"/>
      <c r="B113" s="352" t="s">
        <v>774</v>
      </c>
      <c r="C113" s="352" t="s">
        <v>775</v>
      </c>
      <c r="D113" s="366">
        <v>45</v>
      </c>
      <c r="E113" s="367">
        <v>2.5000000000000001E-3</v>
      </c>
      <c r="F113" s="368">
        <v>49</v>
      </c>
      <c r="G113" s="367">
        <v>1.9E-3</v>
      </c>
      <c r="H113" s="368">
        <v>799</v>
      </c>
      <c r="I113" s="370">
        <v>8.0000000000000004E-4</v>
      </c>
      <c r="J113" s="353" t="str">
        <f>IF(COUNTIF('6.6 - Lists and lookups'!$D$9:$L$72,C113)=1,"IN LIST","CHECK")</f>
        <v>IN LIST</v>
      </c>
    </row>
    <row r="114" spans="1:10" x14ac:dyDescent="0.35">
      <c r="A114" s="153"/>
      <c r="B114" s="352" t="s">
        <v>776</v>
      </c>
      <c r="C114" s="352" t="s">
        <v>777</v>
      </c>
      <c r="D114" s="366">
        <v>24</v>
      </c>
      <c r="E114" s="367">
        <v>1.2999999999999999E-3</v>
      </c>
      <c r="F114" s="368">
        <v>38</v>
      </c>
      <c r="G114" s="367">
        <v>1.5E-3</v>
      </c>
      <c r="H114" s="369">
        <v>1925</v>
      </c>
      <c r="I114" s="370">
        <v>1.8E-3</v>
      </c>
      <c r="J114" s="353" t="str">
        <f>IF(COUNTIF('6.6 - Lists and lookups'!$D$9:$L$72,C114)=1,"IN LIST","CHECK")</f>
        <v>IN LIST</v>
      </c>
    </row>
    <row r="115" spans="1:10" x14ac:dyDescent="0.35">
      <c r="A115" s="153"/>
      <c r="B115" s="352" t="s">
        <v>778</v>
      </c>
      <c r="C115" s="352" t="s">
        <v>779</v>
      </c>
      <c r="D115" s="366">
        <v>75</v>
      </c>
      <c r="E115" s="367">
        <v>4.1999999999999997E-3</v>
      </c>
      <c r="F115" s="368">
        <v>70</v>
      </c>
      <c r="G115" s="367">
        <v>2.8E-3</v>
      </c>
      <c r="H115" s="369">
        <v>1967</v>
      </c>
      <c r="I115" s="370">
        <v>1.9E-3</v>
      </c>
      <c r="J115" s="353" t="str">
        <f>IF(COUNTIF('6.6 - Lists and lookups'!$D$9:$L$72,C115)=1,"IN LIST","CHECK")</f>
        <v>IN LIST</v>
      </c>
    </row>
    <row r="116" spans="1:10" x14ac:dyDescent="0.35">
      <c r="A116" s="153"/>
      <c r="B116" s="352" t="s">
        <v>780</v>
      </c>
      <c r="C116" s="352" t="s">
        <v>781</v>
      </c>
      <c r="D116" s="366">
        <v>13</v>
      </c>
      <c r="E116" s="367">
        <v>6.9999999999999999E-4</v>
      </c>
      <c r="F116" s="368">
        <v>201</v>
      </c>
      <c r="G116" s="367">
        <v>7.9000000000000008E-3</v>
      </c>
      <c r="H116" s="369">
        <v>3149</v>
      </c>
      <c r="I116" s="370">
        <v>3.0000000000000001E-3</v>
      </c>
      <c r="J116" s="353" t="str">
        <f>IF(COUNTIF('6.6 - Lists and lookups'!$D$9:$L$72,C116)=1,"IN LIST","CHECK")</f>
        <v>IN LIST</v>
      </c>
    </row>
    <row r="117" spans="1:10" ht="26" x14ac:dyDescent="0.35">
      <c r="A117" s="153"/>
      <c r="B117" s="352" t="s">
        <v>782</v>
      </c>
      <c r="C117" s="352" t="s">
        <v>783</v>
      </c>
      <c r="D117" s="366">
        <v>47</v>
      </c>
      <c r="E117" s="367">
        <v>2.5999999999999999E-3</v>
      </c>
      <c r="F117" s="368">
        <v>51</v>
      </c>
      <c r="G117" s="367">
        <v>2E-3</v>
      </c>
      <c r="H117" s="369">
        <v>1784</v>
      </c>
      <c r="I117" s="370">
        <v>1.6999999999999999E-3</v>
      </c>
      <c r="J117" s="353" t="str">
        <f>IF(COUNTIF('6.6 - Lists and lookups'!$D$9:$L$72,C117)=1,"IN LIST","CHECK")</f>
        <v>IN LIST</v>
      </c>
    </row>
    <row r="118" spans="1:10" x14ac:dyDescent="0.35">
      <c r="A118" s="153"/>
      <c r="B118" s="352" t="s">
        <v>784</v>
      </c>
      <c r="C118" s="352" t="s">
        <v>785</v>
      </c>
      <c r="D118" s="366">
        <v>13</v>
      </c>
      <c r="E118" s="367">
        <v>6.9999999999999999E-4</v>
      </c>
      <c r="F118" s="368">
        <v>12</v>
      </c>
      <c r="G118" s="367">
        <v>5.0000000000000001E-4</v>
      </c>
      <c r="H118" s="368">
        <v>255</v>
      </c>
      <c r="I118" s="370">
        <v>2.0000000000000001E-4</v>
      </c>
      <c r="J118" s="353" t="str">
        <f>IF(COUNTIF('6.6 - Lists and lookups'!$D$9:$L$72,C118)=1,"IN LIST","CHECK")</f>
        <v>IN LIST</v>
      </c>
    </row>
    <row r="119" spans="1:10" x14ac:dyDescent="0.35">
      <c r="A119" s="153"/>
      <c r="B119" s="352" t="s">
        <v>786</v>
      </c>
      <c r="C119" s="352" t="s">
        <v>787</v>
      </c>
      <c r="D119" s="366">
        <v>20</v>
      </c>
      <c r="E119" s="367">
        <v>1.1000000000000001E-3</v>
      </c>
      <c r="F119" s="368">
        <v>17</v>
      </c>
      <c r="G119" s="367">
        <v>6.9999999999999999E-4</v>
      </c>
      <c r="H119" s="368">
        <v>577</v>
      </c>
      <c r="I119" s="370">
        <v>5.9999999999999995E-4</v>
      </c>
      <c r="J119" s="353" t="str">
        <f>IF(COUNTIF('6.6 - Lists and lookups'!$D$9:$L$72,C119)=1,"IN LIST","CHECK")</f>
        <v>IN LIST</v>
      </c>
    </row>
    <row r="120" spans="1:10" x14ac:dyDescent="0.35">
      <c r="A120" s="153"/>
      <c r="B120" s="352" t="s">
        <v>788</v>
      </c>
      <c r="C120" s="352" t="s">
        <v>789</v>
      </c>
      <c r="D120" s="366">
        <v>33</v>
      </c>
      <c r="E120" s="367">
        <v>1.8E-3</v>
      </c>
      <c r="F120" s="368">
        <v>23</v>
      </c>
      <c r="G120" s="367">
        <v>8.9999999999999998E-4</v>
      </c>
      <c r="H120" s="369">
        <v>1082</v>
      </c>
      <c r="I120" s="370">
        <v>1E-3</v>
      </c>
      <c r="J120" s="353" t="str">
        <f>IF(COUNTIF('6.6 - Lists and lookups'!$D$9:$L$72,C120)=1,"IN LIST","CHECK")</f>
        <v>IN LIST</v>
      </c>
    </row>
    <row r="121" spans="1:10" x14ac:dyDescent="0.35">
      <c r="A121" s="153"/>
      <c r="B121" s="352" t="s">
        <v>790</v>
      </c>
      <c r="C121" s="352" t="s">
        <v>791</v>
      </c>
      <c r="D121" s="366">
        <v>23</v>
      </c>
      <c r="E121" s="367">
        <v>1.2999999999999999E-3</v>
      </c>
      <c r="F121" s="368">
        <v>115</v>
      </c>
      <c r="G121" s="367">
        <v>4.4999999999999997E-3</v>
      </c>
      <c r="H121" s="369">
        <v>1151</v>
      </c>
      <c r="I121" s="370">
        <v>1.1000000000000001E-3</v>
      </c>
      <c r="J121" s="353" t="str">
        <f>IF(COUNTIF('6.6 - Lists and lookups'!$D$9:$L$72,C121)=1,"IN LIST","CHECK")</f>
        <v>IN LIST</v>
      </c>
    </row>
    <row r="122" spans="1:10" x14ac:dyDescent="0.35">
      <c r="A122" s="153"/>
      <c r="B122" s="352" t="s">
        <v>792</v>
      </c>
      <c r="C122" s="352" t="s">
        <v>793</v>
      </c>
      <c r="D122" s="366">
        <v>40</v>
      </c>
      <c r="E122" s="367">
        <v>2.2000000000000001E-3</v>
      </c>
      <c r="F122" s="368">
        <v>88</v>
      </c>
      <c r="G122" s="367">
        <v>3.5000000000000001E-3</v>
      </c>
      <c r="H122" s="369">
        <v>2947</v>
      </c>
      <c r="I122" s="370">
        <v>2.8E-3</v>
      </c>
      <c r="J122" s="353" t="str">
        <f>IF(COUNTIF('6.6 - Lists and lookups'!$D$9:$L$72,C122)=1,"IN LIST","CHECK")</f>
        <v>IN LIST</v>
      </c>
    </row>
    <row r="123" spans="1:10" x14ac:dyDescent="0.35">
      <c r="A123" s="153"/>
      <c r="B123" s="352" t="s">
        <v>794</v>
      </c>
      <c r="C123" s="352" t="s">
        <v>795</v>
      </c>
      <c r="D123" s="366">
        <v>51</v>
      </c>
      <c r="E123" s="367">
        <v>2.8E-3</v>
      </c>
      <c r="F123" s="368">
        <v>132</v>
      </c>
      <c r="G123" s="367">
        <v>5.1999999999999998E-3</v>
      </c>
      <c r="H123" s="369">
        <v>3543</v>
      </c>
      <c r="I123" s="370">
        <v>3.3999999999999998E-3</v>
      </c>
      <c r="J123" s="353" t="str">
        <f>IF(COUNTIF('6.6 - Lists and lookups'!$D$9:$L$72,C123)=1,"IN LIST","CHECK")</f>
        <v>IN LIST</v>
      </c>
    </row>
    <row r="124" spans="1:10" x14ac:dyDescent="0.35">
      <c r="A124" s="153"/>
      <c r="B124" s="352" t="s">
        <v>796</v>
      </c>
      <c r="C124" s="352" t="s">
        <v>797</v>
      </c>
      <c r="D124" s="366">
        <v>59</v>
      </c>
      <c r="E124" s="367">
        <v>3.3E-3</v>
      </c>
      <c r="F124" s="368">
        <v>85</v>
      </c>
      <c r="G124" s="367">
        <v>3.3999999999999998E-3</v>
      </c>
      <c r="H124" s="369">
        <v>2668</v>
      </c>
      <c r="I124" s="370">
        <v>2.5999999999999999E-3</v>
      </c>
      <c r="J124" s="353" t="str">
        <f>IF(COUNTIF('6.6 - Lists and lookups'!$D$9:$L$72,C124)=1,"IN LIST","CHECK")</f>
        <v>IN LIST</v>
      </c>
    </row>
    <row r="125" spans="1:10" x14ac:dyDescent="0.35">
      <c r="A125" s="153"/>
      <c r="B125" s="352" t="s">
        <v>798</v>
      </c>
      <c r="C125" s="352" t="s">
        <v>799</v>
      </c>
      <c r="D125" s="366">
        <v>36</v>
      </c>
      <c r="E125" s="367">
        <v>2E-3</v>
      </c>
      <c r="F125" s="368">
        <v>34</v>
      </c>
      <c r="G125" s="367">
        <v>1.4E-3</v>
      </c>
      <c r="H125" s="369">
        <v>2566</v>
      </c>
      <c r="I125" s="370">
        <v>2.5000000000000001E-3</v>
      </c>
      <c r="J125" s="353" t="str">
        <f>IF(COUNTIF('6.6 - Lists and lookups'!$D$9:$L$72,C125)=1,"IN LIST","CHECK")</f>
        <v>IN LIST</v>
      </c>
    </row>
    <row r="126" spans="1:10" x14ac:dyDescent="0.35">
      <c r="A126" s="153"/>
      <c r="B126" s="352" t="s">
        <v>800</v>
      </c>
      <c r="C126" s="352" t="s">
        <v>801</v>
      </c>
      <c r="D126" s="366">
        <v>10</v>
      </c>
      <c r="E126" s="367">
        <v>5.9999999999999995E-4</v>
      </c>
      <c r="F126" s="368">
        <v>14</v>
      </c>
      <c r="G126" s="367">
        <v>5.9999999999999995E-4</v>
      </c>
      <c r="H126" s="368">
        <v>659</v>
      </c>
      <c r="I126" s="370">
        <v>5.9999999999999995E-4</v>
      </c>
      <c r="J126" s="353" t="str">
        <f>IF(COUNTIF('6.6 - Lists and lookups'!$D$9:$L$72,C126)=1,"IN LIST","CHECK")</f>
        <v>IN LIST</v>
      </c>
    </row>
    <row r="127" spans="1:10" x14ac:dyDescent="0.35">
      <c r="A127" s="153"/>
      <c r="B127" s="352" t="s">
        <v>802</v>
      </c>
      <c r="C127" s="352" t="s">
        <v>803</v>
      </c>
      <c r="D127" s="366">
        <v>24</v>
      </c>
      <c r="E127" s="367">
        <v>1.2999999999999999E-3</v>
      </c>
      <c r="F127" s="368">
        <v>6</v>
      </c>
      <c r="G127" s="367">
        <v>2.0000000000000001E-4</v>
      </c>
      <c r="H127" s="368">
        <v>439</v>
      </c>
      <c r="I127" s="370">
        <v>4.0000000000000002E-4</v>
      </c>
      <c r="J127" s="353" t="str">
        <f>IF(COUNTIF('6.6 - Lists and lookups'!$D$9:$L$72,C127)=1,"IN LIST","CHECK")</f>
        <v>IN LIST</v>
      </c>
    </row>
    <row r="128" spans="1:10" x14ac:dyDescent="0.35">
      <c r="A128" s="153"/>
      <c r="B128" s="352" t="s">
        <v>804</v>
      </c>
      <c r="C128" s="352" t="s">
        <v>805</v>
      </c>
      <c r="D128" s="366">
        <v>40</v>
      </c>
      <c r="E128" s="367">
        <v>2.2000000000000001E-3</v>
      </c>
      <c r="F128" s="368">
        <v>47</v>
      </c>
      <c r="G128" s="367">
        <v>1.9E-3</v>
      </c>
      <c r="H128" s="369">
        <v>3229</v>
      </c>
      <c r="I128" s="370">
        <v>3.0999999999999999E-3</v>
      </c>
      <c r="J128" s="353" t="str">
        <f>IF(COUNTIF('6.6 - Lists and lookups'!$D$9:$L$72,C128)=1,"IN LIST","CHECK")</f>
        <v>IN LIST</v>
      </c>
    </row>
    <row r="129" spans="1:10" x14ac:dyDescent="0.35">
      <c r="A129" s="153"/>
      <c r="B129" s="352" t="s">
        <v>806</v>
      </c>
      <c r="C129" s="352" t="s">
        <v>807</v>
      </c>
      <c r="D129" s="366">
        <v>33</v>
      </c>
      <c r="E129" s="367">
        <v>1.8E-3</v>
      </c>
      <c r="F129" s="368">
        <v>65</v>
      </c>
      <c r="G129" s="367">
        <v>2.5999999999999999E-3</v>
      </c>
      <c r="H129" s="369">
        <v>2236</v>
      </c>
      <c r="I129" s="370">
        <v>2.0999999999999999E-3</v>
      </c>
      <c r="J129" s="353" t="str">
        <f>IF(COUNTIF('6.6 - Lists and lookups'!$D$9:$L$72,C129)=1,"IN LIST","CHECK")</f>
        <v>IN LIST</v>
      </c>
    </row>
    <row r="130" spans="1:10" x14ac:dyDescent="0.35">
      <c r="A130" s="153"/>
      <c r="B130" s="352" t="s">
        <v>808</v>
      </c>
      <c r="C130" s="352" t="s">
        <v>809</v>
      </c>
      <c r="D130" s="366">
        <v>37</v>
      </c>
      <c r="E130" s="367">
        <v>2.0999999999999999E-3</v>
      </c>
      <c r="F130" s="368">
        <v>20</v>
      </c>
      <c r="G130" s="367">
        <v>8.0000000000000004E-4</v>
      </c>
      <c r="H130" s="369">
        <v>1630</v>
      </c>
      <c r="I130" s="370">
        <v>1.6000000000000001E-3</v>
      </c>
      <c r="J130" s="353" t="str">
        <f>IF(COUNTIF('6.6 - Lists and lookups'!$D$9:$L$72,C130)=1,"IN LIST","CHECK")</f>
        <v>IN LIST</v>
      </c>
    </row>
    <row r="131" spans="1:10" x14ac:dyDescent="0.35">
      <c r="A131" s="153"/>
      <c r="B131" s="352" t="s">
        <v>810</v>
      </c>
      <c r="C131" s="352" t="s">
        <v>811</v>
      </c>
      <c r="D131" s="366">
        <v>30</v>
      </c>
      <c r="E131" s="367">
        <v>1.6999999999999999E-3</v>
      </c>
      <c r="F131" s="368">
        <v>26</v>
      </c>
      <c r="G131" s="367">
        <v>1E-3</v>
      </c>
      <c r="H131" s="369">
        <v>1066</v>
      </c>
      <c r="I131" s="370">
        <v>1E-3</v>
      </c>
      <c r="J131" s="353" t="str">
        <f>IF(COUNTIF('6.6 - Lists and lookups'!$D$9:$L$72,C131)=1,"IN LIST","CHECK")</f>
        <v>IN LIST</v>
      </c>
    </row>
    <row r="132" spans="1:10" x14ac:dyDescent="0.35">
      <c r="A132" s="153"/>
      <c r="B132" s="352" t="s">
        <v>812</v>
      </c>
      <c r="C132" s="352" t="s">
        <v>813</v>
      </c>
      <c r="D132" s="366">
        <v>38</v>
      </c>
      <c r="E132" s="367">
        <v>2.0999999999999999E-3</v>
      </c>
      <c r="F132" s="368">
        <v>53</v>
      </c>
      <c r="G132" s="367">
        <v>2.0999999999999999E-3</v>
      </c>
      <c r="H132" s="369">
        <v>1331</v>
      </c>
      <c r="I132" s="370">
        <v>1.2999999999999999E-3</v>
      </c>
      <c r="J132" s="353" t="str">
        <f>IF(COUNTIF('6.6 - Lists and lookups'!$D$9:$L$72,C132)=1,"IN LIST","CHECK")</f>
        <v>IN LIST</v>
      </c>
    </row>
    <row r="133" spans="1:10" x14ac:dyDescent="0.35">
      <c r="A133" s="153"/>
      <c r="B133" s="352" t="s">
        <v>814</v>
      </c>
      <c r="C133" s="352" t="s">
        <v>815</v>
      </c>
      <c r="D133" s="366">
        <v>8</v>
      </c>
      <c r="E133" s="367">
        <v>4.0000000000000002E-4</v>
      </c>
      <c r="F133" s="368">
        <v>2</v>
      </c>
      <c r="G133" s="367">
        <v>1E-4</v>
      </c>
      <c r="H133" s="368">
        <v>81</v>
      </c>
      <c r="I133" s="370">
        <v>1E-4</v>
      </c>
      <c r="J133" s="353" t="str">
        <f>IF(COUNTIF('6.6 - Lists and lookups'!$D$9:$L$72,C133)=1,"IN LIST","CHECK")</f>
        <v>IN LIST</v>
      </c>
    </row>
    <row r="134" spans="1:10" x14ac:dyDescent="0.35">
      <c r="A134" s="153"/>
      <c r="B134" s="352" t="s">
        <v>816</v>
      </c>
      <c r="C134" s="352" t="s">
        <v>817</v>
      </c>
      <c r="D134" s="366">
        <v>27</v>
      </c>
      <c r="E134" s="367">
        <v>1.5E-3</v>
      </c>
      <c r="F134" s="368">
        <v>43</v>
      </c>
      <c r="G134" s="367">
        <v>1.6999999999999999E-3</v>
      </c>
      <c r="H134" s="369">
        <v>2229</v>
      </c>
      <c r="I134" s="370">
        <v>2.0999999999999999E-3</v>
      </c>
      <c r="J134" s="353" t="str">
        <f>IF(COUNTIF('6.6 - Lists and lookups'!$D$9:$L$72,C134)=1,"IN LIST","CHECK")</f>
        <v>IN LIST</v>
      </c>
    </row>
    <row r="135" spans="1:10" x14ac:dyDescent="0.35">
      <c r="A135" s="153"/>
      <c r="B135" s="352" t="s">
        <v>818</v>
      </c>
      <c r="C135" s="352" t="s">
        <v>819</v>
      </c>
      <c r="D135" s="366">
        <v>42</v>
      </c>
      <c r="E135" s="367">
        <v>2.3E-3</v>
      </c>
      <c r="F135" s="368">
        <v>44</v>
      </c>
      <c r="G135" s="367">
        <v>1.6999999999999999E-3</v>
      </c>
      <c r="H135" s="369">
        <v>1297</v>
      </c>
      <c r="I135" s="370">
        <v>1.1999999999999999E-3</v>
      </c>
      <c r="J135" s="353" t="str">
        <f>IF(COUNTIF('6.6 - Lists and lookups'!$D$9:$L$72,C135)=1,"IN LIST","CHECK")</f>
        <v>IN LIST</v>
      </c>
    </row>
    <row r="136" spans="1:10" x14ac:dyDescent="0.35">
      <c r="A136" s="153"/>
      <c r="B136" s="352" t="s">
        <v>820</v>
      </c>
      <c r="C136" s="352" t="s">
        <v>821</v>
      </c>
      <c r="D136" s="366">
        <v>28</v>
      </c>
      <c r="E136" s="367">
        <v>1.6000000000000001E-3</v>
      </c>
      <c r="F136" s="368">
        <v>64</v>
      </c>
      <c r="G136" s="367">
        <v>2.5000000000000001E-3</v>
      </c>
      <c r="H136" s="369">
        <v>2213</v>
      </c>
      <c r="I136" s="370">
        <v>2.0999999999999999E-3</v>
      </c>
      <c r="J136" s="353" t="str">
        <f>IF(COUNTIF('6.6 - Lists and lookups'!$D$9:$L$72,C136)=1,"IN LIST","CHECK")</f>
        <v>IN LIST</v>
      </c>
    </row>
    <row r="137" spans="1:10" x14ac:dyDescent="0.35">
      <c r="A137" s="153"/>
      <c r="B137" s="352" t="s">
        <v>822</v>
      </c>
      <c r="C137" s="352" t="s">
        <v>823</v>
      </c>
      <c r="D137" s="366">
        <v>44</v>
      </c>
      <c r="E137" s="367">
        <v>2.3999999999999998E-3</v>
      </c>
      <c r="F137" s="368">
        <v>136</v>
      </c>
      <c r="G137" s="367">
        <v>5.4000000000000003E-3</v>
      </c>
      <c r="H137" s="369">
        <v>2630</v>
      </c>
      <c r="I137" s="370">
        <v>2.5000000000000001E-3</v>
      </c>
      <c r="J137" s="353" t="str">
        <f>IF(COUNTIF('6.6 - Lists and lookups'!$D$9:$L$72,C137)=1,"IN LIST","CHECK")</f>
        <v>IN LIST</v>
      </c>
    </row>
    <row r="138" spans="1:10" x14ac:dyDescent="0.35">
      <c r="A138" s="153"/>
      <c r="B138" s="352" t="s">
        <v>824</v>
      </c>
      <c r="C138" s="352" t="s">
        <v>825</v>
      </c>
      <c r="D138" s="366">
        <v>48</v>
      </c>
      <c r="E138" s="367">
        <v>2.7000000000000001E-3</v>
      </c>
      <c r="F138" s="368">
        <v>63</v>
      </c>
      <c r="G138" s="367">
        <v>2.5000000000000001E-3</v>
      </c>
      <c r="H138" s="369">
        <v>2865</v>
      </c>
      <c r="I138" s="370">
        <v>2.7000000000000001E-3</v>
      </c>
      <c r="J138" s="353" t="str">
        <f>IF(COUNTIF('6.6 - Lists and lookups'!$D$9:$L$72,C138)=1,"IN LIST","CHECK")</f>
        <v>IN LIST</v>
      </c>
    </row>
    <row r="139" spans="1:10" x14ac:dyDescent="0.35">
      <c r="A139" s="153"/>
      <c r="B139" s="352" t="s">
        <v>826</v>
      </c>
      <c r="C139" s="352" t="s">
        <v>827</v>
      </c>
      <c r="D139" s="366">
        <v>131</v>
      </c>
      <c r="E139" s="367">
        <v>7.3000000000000001E-3</v>
      </c>
      <c r="F139" s="368">
        <v>133</v>
      </c>
      <c r="G139" s="367">
        <v>5.1999999999999998E-3</v>
      </c>
      <c r="H139" s="369">
        <v>2878</v>
      </c>
      <c r="I139" s="370">
        <v>2.8E-3</v>
      </c>
      <c r="J139" s="353" t="str">
        <f>IF(COUNTIF('6.6 - Lists and lookups'!$D$9:$L$72,C139)=1,"IN LIST","CHECK")</f>
        <v>IN LIST</v>
      </c>
    </row>
    <row r="140" spans="1:10" x14ac:dyDescent="0.35">
      <c r="A140" s="153"/>
      <c r="B140" s="352" t="s">
        <v>828</v>
      </c>
      <c r="C140" s="352" t="s">
        <v>829</v>
      </c>
      <c r="D140" s="366">
        <v>79</v>
      </c>
      <c r="E140" s="367">
        <v>4.4000000000000003E-3</v>
      </c>
      <c r="F140" s="368">
        <v>144</v>
      </c>
      <c r="G140" s="367">
        <v>5.7000000000000002E-3</v>
      </c>
      <c r="H140" s="369">
        <v>4252</v>
      </c>
      <c r="I140" s="370">
        <v>4.1000000000000003E-3</v>
      </c>
      <c r="J140" s="353" t="str">
        <f>IF(COUNTIF('6.6 - Lists and lookups'!$D$9:$L$72,C140)=1,"IN LIST","CHECK")</f>
        <v>IN LIST</v>
      </c>
    </row>
    <row r="141" spans="1:10" x14ac:dyDescent="0.35">
      <c r="A141" s="153"/>
      <c r="B141" s="352" t="s">
        <v>830</v>
      </c>
      <c r="C141" s="352" t="s">
        <v>831</v>
      </c>
      <c r="D141" s="366">
        <v>46</v>
      </c>
      <c r="E141" s="367">
        <v>2.5999999999999999E-3</v>
      </c>
      <c r="F141" s="368">
        <v>57</v>
      </c>
      <c r="G141" s="367">
        <v>2.3E-3</v>
      </c>
      <c r="H141" s="369">
        <v>2353</v>
      </c>
      <c r="I141" s="370">
        <v>2.3E-3</v>
      </c>
      <c r="J141" s="353" t="str">
        <f>IF(COUNTIF('6.6 - Lists and lookups'!$D$9:$L$72,C141)=1,"IN LIST","CHECK")</f>
        <v>IN LIST</v>
      </c>
    </row>
    <row r="142" spans="1:10" x14ac:dyDescent="0.35">
      <c r="A142" s="153"/>
      <c r="B142" s="352" t="s">
        <v>832</v>
      </c>
      <c r="C142" s="352" t="s">
        <v>833</v>
      </c>
      <c r="D142" s="366">
        <v>14</v>
      </c>
      <c r="E142" s="367">
        <v>8.0000000000000004E-4</v>
      </c>
      <c r="F142" s="368">
        <v>43</v>
      </c>
      <c r="G142" s="367">
        <v>1.6999999999999999E-3</v>
      </c>
      <c r="H142" s="369">
        <v>1754</v>
      </c>
      <c r="I142" s="370">
        <v>1.6999999999999999E-3</v>
      </c>
      <c r="J142" s="353" t="str">
        <f>IF(COUNTIF('6.6 - Lists and lookups'!$D$9:$L$72,C142)=1,"IN LIST","CHECK")</f>
        <v>IN LIST</v>
      </c>
    </row>
    <row r="143" spans="1:10" x14ac:dyDescent="0.35">
      <c r="A143" s="153"/>
      <c r="B143" s="352" t="s">
        <v>834</v>
      </c>
      <c r="C143" s="352" t="s">
        <v>835</v>
      </c>
      <c r="D143" s="366">
        <v>84</v>
      </c>
      <c r="E143" s="367">
        <v>4.7000000000000002E-3</v>
      </c>
      <c r="F143" s="368">
        <v>38</v>
      </c>
      <c r="G143" s="367">
        <v>1.5E-3</v>
      </c>
      <c r="H143" s="369">
        <v>1680</v>
      </c>
      <c r="I143" s="370">
        <v>1.6000000000000001E-3</v>
      </c>
      <c r="J143" s="353" t="str">
        <f>IF(COUNTIF('6.6 - Lists and lookups'!$D$9:$L$72,C143)=1,"IN LIST","CHECK")</f>
        <v>IN LIST</v>
      </c>
    </row>
    <row r="144" spans="1:10" x14ac:dyDescent="0.35">
      <c r="A144" s="153"/>
      <c r="B144" s="352" t="s">
        <v>836</v>
      </c>
      <c r="C144" s="352" t="s">
        <v>837</v>
      </c>
      <c r="D144" s="366">
        <v>7</v>
      </c>
      <c r="E144" s="367">
        <v>4.0000000000000002E-4</v>
      </c>
      <c r="F144" s="368">
        <v>4</v>
      </c>
      <c r="G144" s="367">
        <v>2.0000000000000001E-4</v>
      </c>
      <c r="H144" s="368">
        <v>214</v>
      </c>
      <c r="I144" s="370">
        <v>2.0000000000000001E-4</v>
      </c>
      <c r="J144" s="353" t="str">
        <f>IF(COUNTIF('6.6 - Lists and lookups'!$D$9:$L$72,C144)=1,"IN LIST","CHECK")</f>
        <v>IN LIST</v>
      </c>
    </row>
    <row r="145" spans="1:10" x14ac:dyDescent="0.35">
      <c r="A145" s="153"/>
      <c r="B145" s="352" t="s">
        <v>838</v>
      </c>
      <c r="C145" s="352" t="s">
        <v>839</v>
      </c>
      <c r="D145" s="366">
        <v>34</v>
      </c>
      <c r="E145" s="367">
        <v>1.9E-3</v>
      </c>
      <c r="F145" s="368">
        <v>15</v>
      </c>
      <c r="G145" s="367">
        <v>5.9999999999999995E-4</v>
      </c>
      <c r="H145" s="368">
        <v>884</v>
      </c>
      <c r="I145" s="370">
        <v>8.0000000000000004E-4</v>
      </c>
      <c r="J145" s="353" t="str">
        <f>IF(COUNTIF('6.6 - Lists and lookups'!$D$9:$L$72,C145)=1,"IN LIST","CHECK")</f>
        <v>IN LIST</v>
      </c>
    </row>
    <row r="146" spans="1:10" x14ac:dyDescent="0.35">
      <c r="A146" s="153"/>
      <c r="B146" s="352" t="s">
        <v>840</v>
      </c>
      <c r="C146" s="352" t="s">
        <v>841</v>
      </c>
      <c r="D146" s="366">
        <v>17</v>
      </c>
      <c r="E146" s="367">
        <v>8.9999999999999998E-4</v>
      </c>
      <c r="F146" s="368">
        <v>28</v>
      </c>
      <c r="G146" s="367">
        <v>1.1000000000000001E-3</v>
      </c>
      <c r="H146" s="368">
        <v>963</v>
      </c>
      <c r="I146" s="370">
        <v>8.9999999999999998E-4</v>
      </c>
      <c r="J146" s="353" t="str">
        <f>IF(COUNTIF('6.6 - Lists and lookups'!$D$9:$L$72,C146)=1,"IN LIST","CHECK")</f>
        <v>IN LIST</v>
      </c>
    </row>
    <row r="147" spans="1:10" x14ac:dyDescent="0.35">
      <c r="A147" s="153"/>
      <c r="B147" s="352" t="s">
        <v>842</v>
      </c>
      <c r="C147" s="352" t="s">
        <v>843</v>
      </c>
      <c r="D147" s="366">
        <v>35</v>
      </c>
      <c r="E147" s="367">
        <v>1.9E-3</v>
      </c>
      <c r="F147" s="368">
        <v>55</v>
      </c>
      <c r="G147" s="367">
        <v>2.2000000000000001E-3</v>
      </c>
      <c r="H147" s="369">
        <v>1464</v>
      </c>
      <c r="I147" s="370">
        <v>1.4E-3</v>
      </c>
      <c r="J147" s="353" t="str">
        <f>IF(COUNTIF('6.6 - Lists and lookups'!$D$9:$L$72,C147)=1,"IN LIST","CHECK")</f>
        <v>IN LIST</v>
      </c>
    </row>
    <row r="148" spans="1:10" x14ac:dyDescent="0.35">
      <c r="A148" s="153"/>
      <c r="B148" s="352" t="s">
        <v>844</v>
      </c>
      <c r="C148" s="352" t="s">
        <v>845</v>
      </c>
      <c r="D148" s="366">
        <v>47</v>
      </c>
      <c r="E148" s="367">
        <v>2.5999999999999999E-3</v>
      </c>
      <c r="F148" s="368">
        <v>58</v>
      </c>
      <c r="G148" s="367">
        <v>2.3E-3</v>
      </c>
      <c r="H148" s="369">
        <v>1601</v>
      </c>
      <c r="I148" s="370">
        <v>1.5E-3</v>
      </c>
      <c r="J148" s="353" t="str">
        <f>IF(COUNTIF('6.6 - Lists and lookups'!$D$9:$L$72,C148)=1,"IN LIST","CHECK")</f>
        <v>IN LIST</v>
      </c>
    </row>
    <row r="149" spans="1:10" x14ac:dyDescent="0.35">
      <c r="A149" s="153"/>
      <c r="B149" s="352" t="s">
        <v>846</v>
      </c>
      <c r="C149" s="352" t="s">
        <v>847</v>
      </c>
      <c r="D149" s="366">
        <v>37</v>
      </c>
      <c r="E149" s="367">
        <v>2.0999999999999999E-3</v>
      </c>
      <c r="F149" s="368">
        <v>30</v>
      </c>
      <c r="G149" s="367">
        <v>1.1999999999999999E-3</v>
      </c>
      <c r="H149" s="368">
        <v>964</v>
      </c>
      <c r="I149" s="370">
        <v>8.9999999999999998E-4</v>
      </c>
      <c r="J149" s="353" t="str">
        <f>IF(COUNTIF('6.6 - Lists and lookups'!$D$9:$L$72,C149)=1,"IN LIST","CHECK")</f>
        <v>IN LIST</v>
      </c>
    </row>
    <row r="150" spans="1:10" x14ac:dyDescent="0.35">
      <c r="A150" s="153"/>
      <c r="B150" s="352" t="s">
        <v>848</v>
      </c>
      <c r="C150" s="352" t="s">
        <v>849</v>
      </c>
      <c r="D150" s="366">
        <v>54</v>
      </c>
      <c r="E150" s="367">
        <v>3.0000000000000001E-3</v>
      </c>
      <c r="F150" s="368">
        <v>134</v>
      </c>
      <c r="G150" s="367">
        <v>5.3E-3</v>
      </c>
      <c r="H150" s="369">
        <v>3625</v>
      </c>
      <c r="I150" s="370">
        <v>3.5000000000000001E-3</v>
      </c>
      <c r="J150" s="353" t="str">
        <f>IF(COUNTIF('6.6 - Lists and lookups'!$D$9:$L$72,C150)=1,"IN LIST","CHECK")</f>
        <v>IN LIST</v>
      </c>
    </row>
    <row r="151" spans="1:10" x14ac:dyDescent="0.35">
      <c r="A151" s="153"/>
      <c r="B151" s="352" t="s">
        <v>850</v>
      </c>
      <c r="C151" s="352" t="s">
        <v>851</v>
      </c>
      <c r="D151" s="366">
        <v>34</v>
      </c>
      <c r="E151" s="367">
        <v>1.9E-3</v>
      </c>
      <c r="F151" s="368">
        <v>25</v>
      </c>
      <c r="G151" s="367">
        <v>1E-3</v>
      </c>
      <c r="H151" s="368">
        <v>830</v>
      </c>
      <c r="I151" s="370">
        <v>8.0000000000000004E-4</v>
      </c>
      <c r="J151" s="353" t="str">
        <f>IF(COUNTIF('6.6 - Lists and lookups'!$D$9:$L$72,C151)=1,"IN LIST","CHECK")</f>
        <v>IN LIST</v>
      </c>
    </row>
    <row r="152" spans="1:10" x14ac:dyDescent="0.35">
      <c r="A152" s="153"/>
      <c r="B152" s="352" t="s">
        <v>852</v>
      </c>
      <c r="C152" s="352" t="s">
        <v>853</v>
      </c>
      <c r="D152" s="366">
        <v>42</v>
      </c>
      <c r="E152" s="367">
        <v>2.3E-3</v>
      </c>
      <c r="F152" s="368">
        <v>44</v>
      </c>
      <c r="G152" s="367">
        <v>1.6999999999999999E-3</v>
      </c>
      <c r="H152" s="369">
        <v>1054</v>
      </c>
      <c r="I152" s="370">
        <v>1E-3</v>
      </c>
      <c r="J152" s="353" t="str">
        <f>IF(COUNTIF('6.6 - Lists and lookups'!$D$9:$L$72,C152)=1,"IN LIST","CHECK")</f>
        <v>IN LIST</v>
      </c>
    </row>
    <row r="153" spans="1:10" x14ac:dyDescent="0.35">
      <c r="A153" s="153"/>
      <c r="B153" s="352" t="s">
        <v>854</v>
      </c>
      <c r="C153" s="352" t="s">
        <v>855</v>
      </c>
      <c r="D153" s="366">
        <v>2</v>
      </c>
      <c r="E153" s="367">
        <v>1E-4</v>
      </c>
      <c r="F153" s="368">
        <v>1</v>
      </c>
      <c r="G153" s="367">
        <v>0</v>
      </c>
      <c r="H153" s="368">
        <v>39</v>
      </c>
      <c r="I153" s="370">
        <v>0</v>
      </c>
      <c r="J153" s="353" t="str">
        <f>IF(COUNTIF('6.6 - Lists and lookups'!$D$9:$L$72,C153)=1,"IN LIST","CHECK")</f>
        <v>IN LIST</v>
      </c>
    </row>
    <row r="154" spans="1:10" x14ac:dyDescent="0.35">
      <c r="A154" s="153"/>
      <c r="B154" s="352" t="s">
        <v>856</v>
      </c>
      <c r="C154" s="352" t="s">
        <v>857</v>
      </c>
      <c r="D154" s="366">
        <v>29</v>
      </c>
      <c r="E154" s="367">
        <v>1.6000000000000001E-3</v>
      </c>
      <c r="F154" s="368">
        <v>13</v>
      </c>
      <c r="G154" s="367">
        <v>5.0000000000000001E-4</v>
      </c>
      <c r="H154" s="368">
        <v>447</v>
      </c>
      <c r="I154" s="370">
        <v>4.0000000000000002E-4</v>
      </c>
      <c r="J154" s="353" t="str">
        <f>IF(COUNTIF('6.6 - Lists and lookups'!$D$9:$L$72,C154)=1,"IN LIST","CHECK")</f>
        <v>IN LIST</v>
      </c>
    </row>
    <row r="155" spans="1:10" x14ac:dyDescent="0.35">
      <c r="A155" s="153"/>
      <c r="B155" s="352" t="s">
        <v>858</v>
      </c>
      <c r="C155" s="352" t="s">
        <v>859</v>
      </c>
      <c r="D155" s="366">
        <v>9</v>
      </c>
      <c r="E155" s="367">
        <v>5.0000000000000001E-4</v>
      </c>
      <c r="F155" s="368">
        <v>69</v>
      </c>
      <c r="G155" s="367">
        <v>2.7000000000000001E-3</v>
      </c>
      <c r="H155" s="369">
        <v>1633</v>
      </c>
      <c r="I155" s="370">
        <v>1.6000000000000001E-3</v>
      </c>
      <c r="J155" s="353" t="str">
        <f>IF(COUNTIF('6.6 - Lists and lookups'!$D$9:$L$72,C155)=1,"IN LIST","CHECK")</f>
        <v>IN LIST</v>
      </c>
    </row>
    <row r="156" spans="1:10" x14ac:dyDescent="0.35">
      <c r="A156" s="153"/>
      <c r="B156" s="352" t="s">
        <v>860</v>
      </c>
      <c r="C156" s="352" t="s">
        <v>861</v>
      </c>
      <c r="D156" s="366">
        <v>15</v>
      </c>
      <c r="E156" s="367">
        <v>8.0000000000000004E-4</v>
      </c>
      <c r="F156" s="368">
        <v>21</v>
      </c>
      <c r="G156" s="367">
        <v>8.0000000000000004E-4</v>
      </c>
      <c r="H156" s="368">
        <v>439</v>
      </c>
      <c r="I156" s="370">
        <v>4.0000000000000002E-4</v>
      </c>
      <c r="J156" s="353" t="str">
        <f>IF(COUNTIF('6.6 - Lists and lookups'!$D$9:$L$72,C156)=1,"IN LIST","CHECK")</f>
        <v>IN LIST</v>
      </c>
    </row>
    <row r="157" spans="1:10" x14ac:dyDescent="0.35">
      <c r="A157" s="153"/>
      <c r="B157" s="352" t="s">
        <v>862</v>
      </c>
      <c r="C157" s="352" t="s">
        <v>863</v>
      </c>
      <c r="D157" s="366">
        <v>25</v>
      </c>
      <c r="E157" s="367">
        <v>1.4E-3</v>
      </c>
      <c r="F157" s="368">
        <v>57</v>
      </c>
      <c r="G157" s="367">
        <v>2.2000000000000001E-3</v>
      </c>
      <c r="H157" s="368">
        <v>883</v>
      </c>
      <c r="I157" s="370">
        <v>8.0000000000000004E-4</v>
      </c>
      <c r="J157" s="353" t="str">
        <f>IF(COUNTIF('6.6 - Lists and lookups'!$D$9:$L$72,C157)=1,"IN LIST","CHECK")</f>
        <v>IN LIST</v>
      </c>
    </row>
    <row r="158" spans="1:10" x14ac:dyDescent="0.35">
      <c r="A158" s="153"/>
      <c r="B158" s="352" t="s">
        <v>864</v>
      </c>
      <c r="C158" s="352" t="s">
        <v>865</v>
      </c>
      <c r="D158" s="366">
        <v>13</v>
      </c>
      <c r="E158" s="367">
        <v>6.9999999999999999E-4</v>
      </c>
      <c r="F158" s="368">
        <v>12</v>
      </c>
      <c r="G158" s="367">
        <v>5.0000000000000001E-4</v>
      </c>
      <c r="H158" s="368">
        <v>281</v>
      </c>
      <c r="I158" s="370">
        <v>2.9999999999999997E-4</v>
      </c>
      <c r="J158" s="353" t="str">
        <f>IF(COUNTIF('6.6 - Lists and lookups'!$D$9:$L$72,C158)=1,"IN LIST","CHECK")</f>
        <v>IN LIST</v>
      </c>
    </row>
    <row r="159" spans="1:10" x14ac:dyDescent="0.35">
      <c r="A159" s="153"/>
      <c r="B159" s="352" t="s">
        <v>866</v>
      </c>
      <c r="C159" s="352" t="s">
        <v>867</v>
      </c>
      <c r="D159" s="366">
        <v>92</v>
      </c>
      <c r="E159" s="367">
        <v>5.1000000000000004E-3</v>
      </c>
      <c r="F159" s="368">
        <v>130</v>
      </c>
      <c r="G159" s="367">
        <v>5.1000000000000004E-3</v>
      </c>
      <c r="H159" s="369">
        <v>2759</v>
      </c>
      <c r="I159" s="370">
        <v>2.5999999999999999E-3</v>
      </c>
      <c r="J159" s="353" t="str">
        <f>IF(COUNTIF('6.6 - Lists and lookups'!$D$9:$L$72,C159)=1,"IN LIST","CHECK")</f>
        <v>IN LIST</v>
      </c>
    </row>
    <row r="160" spans="1:10" x14ac:dyDescent="0.35">
      <c r="A160" s="153"/>
      <c r="B160" s="352" t="s">
        <v>868</v>
      </c>
      <c r="C160" s="352" t="s">
        <v>869</v>
      </c>
      <c r="D160" s="366">
        <v>14</v>
      </c>
      <c r="E160" s="367">
        <v>8.0000000000000004E-4</v>
      </c>
      <c r="F160" s="368">
        <v>9</v>
      </c>
      <c r="G160" s="367">
        <v>4.0000000000000002E-4</v>
      </c>
      <c r="H160" s="368">
        <v>276</v>
      </c>
      <c r="I160" s="370">
        <v>2.9999999999999997E-4</v>
      </c>
      <c r="J160" s="353" t="str">
        <f>IF(COUNTIF('6.6 - Lists and lookups'!$D$9:$L$72,C160)=1,"IN LIST","CHECK")</f>
        <v>IN LIST</v>
      </c>
    </row>
    <row r="161" spans="1:10" x14ac:dyDescent="0.35">
      <c r="A161" s="153"/>
      <c r="B161" s="352" t="s">
        <v>870</v>
      </c>
      <c r="C161" s="352" t="s">
        <v>871</v>
      </c>
      <c r="D161" s="366">
        <v>8</v>
      </c>
      <c r="E161" s="367">
        <v>4.0000000000000002E-4</v>
      </c>
      <c r="F161" s="368">
        <v>14</v>
      </c>
      <c r="G161" s="367">
        <v>5.0000000000000001E-4</v>
      </c>
      <c r="H161" s="368">
        <v>330</v>
      </c>
      <c r="I161" s="370">
        <v>2.9999999999999997E-4</v>
      </c>
      <c r="J161" s="353" t="str">
        <f>IF(COUNTIF('6.6 - Lists and lookups'!$D$9:$L$72,C161)=1,"IN LIST","CHECK")</f>
        <v>IN LIST</v>
      </c>
    </row>
    <row r="162" spans="1:10" x14ac:dyDescent="0.35">
      <c r="A162" s="153"/>
      <c r="B162" s="352" t="s">
        <v>872</v>
      </c>
      <c r="C162" s="352" t="s">
        <v>873</v>
      </c>
      <c r="D162" s="366">
        <v>28</v>
      </c>
      <c r="E162" s="367">
        <v>1.6000000000000001E-3</v>
      </c>
      <c r="F162" s="368">
        <v>38</v>
      </c>
      <c r="G162" s="367">
        <v>1.5E-3</v>
      </c>
      <c r="H162" s="368">
        <v>661</v>
      </c>
      <c r="I162" s="370">
        <v>5.9999999999999995E-4</v>
      </c>
      <c r="J162" s="353" t="str">
        <f>IF(COUNTIF('6.6 - Lists and lookups'!$D$9:$L$72,C162)=1,"IN LIST","CHECK")</f>
        <v>IN LIST</v>
      </c>
    </row>
    <row r="163" spans="1:10" ht="26" x14ac:dyDescent="0.35">
      <c r="A163" s="153"/>
      <c r="B163" s="352" t="s">
        <v>874</v>
      </c>
      <c r="C163" s="352" t="s">
        <v>875</v>
      </c>
      <c r="D163" s="366">
        <v>24</v>
      </c>
      <c r="E163" s="367">
        <v>1.2999999999999999E-3</v>
      </c>
      <c r="F163" s="368">
        <v>18</v>
      </c>
      <c r="G163" s="367">
        <v>6.9999999999999999E-4</v>
      </c>
      <c r="H163" s="368">
        <v>437</v>
      </c>
      <c r="I163" s="370">
        <v>4.0000000000000002E-4</v>
      </c>
      <c r="J163" s="353" t="str">
        <f>IF(COUNTIF('6.6 - Lists and lookups'!$D$9:$L$72,C163)=1,"IN LIST","CHECK")</f>
        <v>IN LIST</v>
      </c>
    </row>
    <row r="164" spans="1:10" x14ac:dyDescent="0.35">
      <c r="A164" s="153"/>
      <c r="B164" s="352" t="s">
        <v>876</v>
      </c>
      <c r="C164" s="352" t="s">
        <v>877</v>
      </c>
      <c r="D164" s="366">
        <v>15</v>
      </c>
      <c r="E164" s="367">
        <v>8.0000000000000004E-4</v>
      </c>
      <c r="F164" s="368">
        <v>3</v>
      </c>
      <c r="G164" s="367">
        <v>1E-4</v>
      </c>
      <c r="H164" s="368">
        <v>250</v>
      </c>
      <c r="I164" s="370">
        <v>2.0000000000000001E-4</v>
      </c>
      <c r="J164" s="353" t="str">
        <f>IF(COUNTIF('6.6 - Lists and lookups'!$D$9:$L$72,C164)=1,"IN LIST","CHECK")</f>
        <v>IN LIST</v>
      </c>
    </row>
    <row r="165" spans="1:10" x14ac:dyDescent="0.35">
      <c r="A165" s="153"/>
      <c r="B165" s="352" t="s">
        <v>878</v>
      </c>
      <c r="C165" s="352" t="s">
        <v>879</v>
      </c>
      <c r="D165" s="366">
        <v>36</v>
      </c>
      <c r="E165" s="367">
        <v>2E-3</v>
      </c>
      <c r="F165" s="368">
        <v>32</v>
      </c>
      <c r="G165" s="367">
        <v>1.1999999999999999E-3</v>
      </c>
      <c r="H165" s="369">
        <v>1058</v>
      </c>
      <c r="I165" s="370">
        <v>1E-3</v>
      </c>
      <c r="J165" s="353" t="str">
        <f>IF(COUNTIF('6.6 - Lists and lookups'!$D$9:$L$72,C165)=1,"IN LIST","CHECK")</f>
        <v>IN LIST</v>
      </c>
    </row>
    <row r="166" spans="1:10" x14ac:dyDescent="0.35">
      <c r="A166" s="153"/>
      <c r="B166" s="352" t="s">
        <v>880</v>
      </c>
      <c r="C166" s="352" t="s">
        <v>881</v>
      </c>
      <c r="D166" s="366">
        <v>29</v>
      </c>
      <c r="E166" s="367">
        <v>1.6000000000000001E-3</v>
      </c>
      <c r="F166" s="368">
        <v>27</v>
      </c>
      <c r="G166" s="367">
        <v>1.1000000000000001E-3</v>
      </c>
      <c r="H166" s="368">
        <v>596</v>
      </c>
      <c r="I166" s="370">
        <v>5.9999999999999995E-4</v>
      </c>
      <c r="J166" s="353" t="str">
        <f>IF(COUNTIF('6.6 - Lists and lookups'!$D$9:$L$72,C166)=1,"IN LIST","CHECK")</f>
        <v>IN LIST</v>
      </c>
    </row>
    <row r="167" spans="1:10" x14ac:dyDescent="0.35">
      <c r="A167" s="153"/>
      <c r="B167" s="352" t="s">
        <v>882</v>
      </c>
      <c r="C167" s="352" t="s">
        <v>883</v>
      </c>
      <c r="D167" s="366">
        <v>14</v>
      </c>
      <c r="E167" s="367">
        <v>8.0000000000000004E-4</v>
      </c>
      <c r="F167" s="368">
        <v>21</v>
      </c>
      <c r="G167" s="367">
        <v>8.0000000000000004E-4</v>
      </c>
      <c r="H167" s="368">
        <v>938</v>
      </c>
      <c r="I167" s="370">
        <v>8.9999999999999998E-4</v>
      </c>
      <c r="J167" s="353" t="str">
        <f>IF(COUNTIF('6.6 - Lists and lookups'!$D$9:$L$72,C167)=1,"IN LIST","CHECK")</f>
        <v>IN LIST</v>
      </c>
    </row>
    <row r="168" spans="1:10" x14ac:dyDescent="0.35">
      <c r="A168" s="153"/>
      <c r="B168" s="352" t="s">
        <v>884</v>
      </c>
      <c r="C168" s="352" t="s">
        <v>885</v>
      </c>
      <c r="D168" s="366">
        <v>2</v>
      </c>
      <c r="E168" s="367">
        <v>1E-4</v>
      </c>
      <c r="F168" s="368">
        <v>10</v>
      </c>
      <c r="G168" s="367">
        <v>4.0000000000000002E-4</v>
      </c>
      <c r="H168" s="368">
        <v>175</v>
      </c>
      <c r="I168" s="370">
        <v>2.0000000000000001E-4</v>
      </c>
      <c r="J168" s="353" t="str">
        <f>IF(COUNTIF('6.6 - Lists and lookups'!$D$9:$L$72,C168)=1,"IN LIST","CHECK")</f>
        <v>IN LIST</v>
      </c>
    </row>
    <row r="169" spans="1:10" x14ac:dyDescent="0.35">
      <c r="A169" s="153"/>
      <c r="B169" s="352" t="s">
        <v>886</v>
      </c>
      <c r="C169" s="352" t="s">
        <v>887</v>
      </c>
      <c r="D169" s="366">
        <v>25</v>
      </c>
      <c r="E169" s="367">
        <v>1.4E-3</v>
      </c>
      <c r="F169" s="368">
        <v>17</v>
      </c>
      <c r="G169" s="367">
        <v>6.9999999999999999E-4</v>
      </c>
      <c r="H169" s="368">
        <v>477</v>
      </c>
      <c r="I169" s="370">
        <v>5.0000000000000001E-4</v>
      </c>
      <c r="J169" s="353" t="str">
        <f>IF(COUNTIF('6.6 - Lists and lookups'!$D$9:$L$72,C169)=1,"IN LIST","CHECK")</f>
        <v>IN LIST</v>
      </c>
    </row>
    <row r="170" spans="1:10" x14ac:dyDescent="0.35">
      <c r="A170" s="153"/>
      <c r="B170" s="352" t="s">
        <v>888</v>
      </c>
      <c r="C170" s="352" t="s">
        <v>889</v>
      </c>
      <c r="D170" s="366">
        <v>12</v>
      </c>
      <c r="E170" s="367">
        <v>6.9999999999999999E-4</v>
      </c>
      <c r="F170" s="368">
        <v>22</v>
      </c>
      <c r="G170" s="367">
        <v>8.9999999999999998E-4</v>
      </c>
      <c r="H170" s="368">
        <v>440</v>
      </c>
      <c r="I170" s="370">
        <v>4.0000000000000002E-4</v>
      </c>
      <c r="J170" s="353" t="str">
        <f>IF(COUNTIF('6.6 - Lists and lookups'!$D$9:$L$72,C170)=1,"IN LIST","CHECK")</f>
        <v>IN LIST</v>
      </c>
    </row>
    <row r="171" spans="1:10" x14ac:dyDescent="0.35">
      <c r="A171" s="153"/>
      <c r="B171" s="352" t="s">
        <v>890</v>
      </c>
      <c r="C171" s="352" t="s">
        <v>891</v>
      </c>
      <c r="D171" s="366">
        <v>30</v>
      </c>
      <c r="E171" s="367">
        <v>1.6999999999999999E-3</v>
      </c>
      <c r="F171" s="368">
        <v>34</v>
      </c>
      <c r="G171" s="367">
        <v>1.2999999999999999E-3</v>
      </c>
      <c r="H171" s="369">
        <v>1232</v>
      </c>
      <c r="I171" s="370">
        <v>1.1999999999999999E-3</v>
      </c>
      <c r="J171" s="353" t="str">
        <f>IF(COUNTIF('6.6 - Lists and lookups'!$D$9:$L$72,C171)=1,"IN LIST","CHECK")</f>
        <v>IN LIST</v>
      </c>
    </row>
    <row r="172" spans="1:10" x14ac:dyDescent="0.35">
      <c r="A172" s="153"/>
      <c r="B172" s="352" t="s">
        <v>892</v>
      </c>
      <c r="C172" s="352" t="s">
        <v>893</v>
      </c>
      <c r="D172" s="366">
        <v>25</v>
      </c>
      <c r="E172" s="367">
        <v>1.4E-3</v>
      </c>
      <c r="F172" s="368">
        <v>36</v>
      </c>
      <c r="G172" s="367">
        <v>1.4E-3</v>
      </c>
      <c r="H172" s="369">
        <v>1099</v>
      </c>
      <c r="I172" s="370">
        <v>1.1000000000000001E-3</v>
      </c>
      <c r="J172" s="353" t="str">
        <f>IF(COUNTIF('6.6 - Lists and lookups'!$D$9:$L$72,C172)=1,"IN LIST","CHECK")</f>
        <v>IN LIST</v>
      </c>
    </row>
    <row r="173" spans="1:10" x14ac:dyDescent="0.35">
      <c r="A173" s="153"/>
      <c r="B173" s="352" t="s">
        <v>894</v>
      </c>
      <c r="C173" s="352" t="s">
        <v>895</v>
      </c>
      <c r="D173" s="366">
        <v>23</v>
      </c>
      <c r="E173" s="367">
        <v>1.2999999999999999E-3</v>
      </c>
      <c r="F173" s="368">
        <v>105</v>
      </c>
      <c r="G173" s="367">
        <v>4.1000000000000003E-3</v>
      </c>
      <c r="H173" s="369">
        <v>1750</v>
      </c>
      <c r="I173" s="370">
        <v>1.6999999999999999E-3</v>
      </c>
      <c r="J173" s="353" t="str">
        <f>IF(COUNTIF('6.6 - Lists and lookups'!$D$9:$L$72,C173)=1,"IN LIST","CHECK")</f>
        <v>IN LIST</v>
      </c>
    </row>
    <row r="174" spans="1:10" x14ac:dyDescent="0.35">
      <c r="A174" s="153"/>
      <c r="B174" s="352" t="s">
        <v>896</v>
      </c>
      <c r="C174" s="352" t="s">
        <v>897</v>
      </c>
      <c r="D174" s="366">
        <v>39</v>
      </c>
      <c r="E174" s="367">
        <v>2.2000000000000001E-3</v>
      </c>
      <c r="F174" s="368">
        <v>53</v>
      </c>
      <c r="G174" s="367">
        <v>2.0999999999999999E-3</v>
      </c>
      <c r="H174" s="368">
        <v>923</v>
      </c>
      <c r="I174" s="370">
        <v>8.9999999999999998E-4</v>
      </c>
      <c r="J174" s="353" t="str">
        <f>IF(COUNTIF('6.6 - Lists and lookups'!$D$9:$L$72,C174)=1,"IN LIST","CHECK")</f>
        <v>IN LIST</v>
      </c>
    </row>
    <row r="175" spans="1:10" ht="26" x14ac:dyDescent="0.35">
      <c r="A175" s="153"/>
      <c r="B175" s="352" t="s">
        <v>898</v>
      </c>
      <c r="C175" s="352" t="s">
        <v>899</v>
      </c>
      <c r="D175" s="366">
        <v>50</v>
      </c>
      <c r="E175" s="367">
        <v>2.8E-3</v>
      </c>
      <c r="F175" s="368">
        <v>84</v>
      </c>
      <c r="G175" s="367">
        <v>3.3E-3</v>
      </c>
      <c r="H175" s="369">
        <v>2025</v>
      </c>
      <c r="I175" s="370">
        <v>1.9E-3</v>
      </c>
      <c r="J175" s="353" t="str">
        <f>IF(COUNTIF('6.6 - Lists and lookups'!$D$9:$L$72,C175)=1,"IN LIST","CHECK")</f>
        <v>IN LIST</v>
      </c>
    </row>
    <row r="176" spans="1:10" x14ac:dyDescent="0.35">
      <c r="A176" s="153"/>
      <c r="B176" s="352" t="s">
        <v>900</v>
      </c>
      <c r="C176" s="352" t="s">
        <v>901</v>
      </c>
      <c r="D176" s="366">
        <v>14</v>
      </c>
      <c r="E176" s="367">
        <v>8.0000000000000004E-4</v>
      </c>
      <c r="F176" s="368">
        <v>5</v>
      </c>
      <c r="G176" s="367">
        <v>2.0000000000000001E-4</v>
      </c>
      <c r="H176" s="368">
        <v>134</v>
      </c>
      <c r="I176" s="370">
        <v>1E-4</v>
      </c>
      <c r="J176" s="353" t="str">
        <f>IF(COUNTIF('6.6 - Lists and lookups'!$D$9:$L$72,C176)=1,"IN LIST","CHECK")</f>
        <v>IN LIST</v>
      </c>
    </row>
    <row r="177" spans="1:10" x14ac:dyDescent="0.35">
      <c r="A177" s="153"/>
      <c r="B177" s="352" t="s">
        <v>902</v>
      </c>
      <c r="C177" s="352" t="s">
        <v>903</v>
      </c>
      <c r="D177" s="366">
        <v>96</v>
      </c>
      <c r="E177" s="367">
        <v>5.3E-3</v>
      </c>
      <c r="F177" s="368">
        <v>111</v>
      </c>
      <c r="G177" s="367">
        <v>4.4000000000000003E-3</v>
      </c>
      <c r="H177" s="369">
        <v>6190</v>
      </c>
      <c r="I177" s="370">
        <v>5.8999999999999999E-3</v>
      </c>
      <c r="J177" s="353" t="str">
        <f>IF(COUNTIF('6.6 - Lists and lookups'!$D$9:$L$72,C177)=1,"IN LIST","CHECK")</f>
        <v>IN LIST</v>
      </c>
    </row>
    <row r="178" spans="1:10" x14ac:dyDescent="0.35">
      <c r="A178" s="153"/>
      <c r="B178" s="352" t="s">
        <v>904</v>
      </c>
      <c r="C178" s="352" t="s">
        <v>905</v>
      </c>
      <c r="D178" s="366">
        <v>22</v>
      </c>
      <c r="E178" s="367">
        <v>1.1999999999999999E-3</v>
      </c>
      <c r="F178" s="368">
        <v>19</v>
      </c>
      <c r="G178" s="367">
        <v>6.9999999999999999E-4</v>
      </c>
      <c r="H178" s="368">
        <v>378</v>
      </c>
      <c r="I178" s="370">
        <v>4.0000000000000002E-4</v>
      </c>
      <c r="J178" s="353" t="str">
        <f>IF(COUNTIF('6.6 - Lists and lookups'!$D$9:$L$72,C178)=1,"IN LIST","CHECK")</f>
        <v>IN LIST</v>
      </c>
    </row>
    <row r="179" spans="1:10" x14ac:dyDescent="0.35">
      <c r="A179" s="153"/>
      <c r="B179" s="352" t="s">
        <v>906</v>
      </c>
      <c r="C179" s="352" t="s">
        <v>907</v>
      </c>
      <c r="D179" s="366">
        <v>46</v>
      </c>
      <c r="E179" s="367">
        <v>2.5999999999999999E-3</v>
      </c>
      <c r="F179" s="368">
        <v>46</v>
      </c>
      <c r="G179" s="367">
        <v>1.8E-3</v>
      </c>
      <c r="H179" s="368">
        <v>369</v>
      </c>
      <c r="I179" s="370">
        <v>4.0000000000000002E-4</v>
      </c>
      <c r="J179" s="353" t="str">
        <f>IF(COUNTIF('6.6 - Lists and lookups'!$D$9:$L$72,C179)=1,"IN LIST","CHECK")</f>
        <v>IN LIST</v>
      </c>
    </row>
    <row r="180" spans="1:10" x14ac:dyDescent="0.35">
      <c r="A180" s="153"/>
      <c r="B180" s="352" t="s">
        <v>908</v>
      </c>
      <c r="C180" s="352" t="s">
        <v>909</v>
      </c>
      <c r="D180" s="366">
        <v>5</v>
      </c>
      <c r="E180" s="367">
        <v>2.9999999999999997E-4</v>
      </c>
      <c r="F180" s="368">
        <v>1</v>
      </c>
      <c r="G180" s="367">
        <v>1E-4</v>
      </c>
      <c r="H180" s="368">
        <v>31</v>
      </c>
      <c r="I180" s="370">
        <v>0</v>
      </c>
      <c r="J180" s="353" t="str">
        <f>IF(COUNTIF('6.6 - Lists and lookups'!$D$9:$L$72,C180)=1,"IN LIST","CHECK")</f>
        <v>IN LIST</v>
      </c>
    </row>
    <row r="181" spans="1:10" x14ac:dyDescent="0.35">
      <c r="A181" s="153"/>
      <c r="B181" s="352" t="s">
        <v>910</v>
      </c>
      <c r="C181" s="352" t="s">
        <v>911</v>
      </c>
      <c r="D181" s="366">
        <v>69</v>
      </c>
      <c r="E181" s="367">
        <v>3.8E-3</v>
      </c>
      <c r="F181" s="368">
        <v>153</v>
      </c>
      <c r="G181" s="367">
        <v>6.0000000000000001E-3</v>
      </c>
      <c r="H181" s="369">
        <v>2936</v>
      </c>
      <c r="I181" s="370">
        <v>2.8E-3</v>
      </c>
      <c r="J181" s="353" t="str">
        <f>IF(COUNTIF('6.6 - Lists and lookups'!$D$9:$L$72,C181)=1,"IN LIST","CHECK")</f>
        <v>IN LIST</v>
      </c>
    </row>
    <row r="182" spans="1:10" x14ac:dyDescent="0.35">
      <c r="A182" s="153"/>
      <c r="B182" s="352" t="s">
        <v>912</v>
      </c>
      <c r="C182" s="352" t="s">
        <v>913</v>
      </c>
      <c r="D182" s="366">
        <v>9</v>
      </c>
      <c r="E182" s="367">
        <v>5.0000000000000001E-4</v>
      </c>
      <c r="F182" s="368">
        <v>13</v>
      </c>
      <c r="G182" s="367">
        <v>5.0000000000000001E-4</v>
      </c>
      <c r="H182" s="368">
        <v>379</v>
      </c>
      <c r="I182" s="370">
        <v>4.0000000000000002E-4</v>
      </c>
      <c r="J182" s="353" t="str">
        <f>IF(COUNTIF('6.6 - Lists and lookups'!$D$9:$L$72,C182)=1,"IN LIST","CHECK")</f>
        <v>IN LIST</v>
      </c>
    </row>
    <row r="183" spans="1:10" x14ac:dyDescent="0.35">
      <c r="A183" s="153"/>
      <c r="B183" s="352" t="s">
        <v>914</v>
      </c>
      <c r="C183" s="352" t="s">
        <v>915</v>
      </c>
      <c r="D183" s="366">
        <v>6</v>
      </c>
      <c r="E183" s="367">
        <v>2.9999999999999997E-4</v>
      </c>
      <c r="F183" s="368">
        <v>4</v>
      </c>
      <c r="G183" s="367">
        <v>2.0000000000000001E-4</v>
      </c>
      <c r="H183" s="368">
        <v>117</v>
      </c>
      <c r="I183" s="370">
        <v>1E-4</v>
      </c>
      <c r="J183" s="353" t="str">
        <f>IF(COUNTIF('6.6 - Lists and lookups'!$D$9:$L$72,C183)=1,"IN LIST","CHECK")</f>
        <v>IN LIST</v>
      </c>
    </row>
    <row r="184" spans="1:10" x14ac:dyDescent="0.35">
      <c r="A184" s="153"/>
      <c r="B184" s="352" t="s">
        <v>916</v>
      </c>
      <c r="C184" s="352" t="s">
        <v>917</v>
      </c>
      <c r="D184" s="366">
        <v>53</v>
      </c>
      <c r="E184" s="367">
        <v>2.8999999999999998E-3</v>
      </c>
      <c r="F184" s="368">
        <v>26</v>
      </c>
      <c r="G184" s="367">
        <v>1E-3</v>
      </c>
      <c r="H184" s="369">
        <v>1070</v>
      </c>
      <c r="I184" s="370">
        <v>1E-3</v>
      </c>
      <c r="J184" s="353" t="str">
        <f>IF(COUNTIF('6.6 - Lists and lookups'!$D$9:$L$72,C184)=1,"IN LIST","CHECK")</f>
        <v>IN LIST</v>
      </c>
    </row>
    <row r="185" spans="1:10" x14ac:dyDescent="0.35">
      <c r="A185" s="153"/>
      <c r="B185" s="352" t="s">
        <v>918</v>
      </c>
      <c r="C185" s="352" t="s">
        <v>919</v>
      </c>
      <c r="D185" s="366">
        <v>50</v>
      </c>
      <c r="E185" s="367">
        <v>2.8E-3</v>
      </c>
      <c r="F185" s="368">
        <v>128</v>
      </c>
      <c r="G185" s="367">
        <v>5.0000000000000001E-3</v>
      </c>
      <c r="H185" s="369">
        <v>3802</v>
      </c>
      <c r="I185" s="370">
        <v>3.5999999999999999E-3</v>
      </c>
      <c r="J185" s="353" t="str">
        <f>IF(COUNTIF('6.6 - Lists and lookups'!$D$9:$L$72,C185)=1,"IN LIST","CHECK")</f>
        <v>IN LIST</v>
      </c>
    </row>
    <row r="186" spans="1:10" x14ac:dyDescent="0.35">
      <c r="A186" s="153"/>
      <c r="B186" s="352" t="s">
        <v>920</v>
      </c>
      <c r="C186" s="352" t="s">
        <v>921</v>
      </c>
      <c r="D186" s="366">
        <v>19</v>
      </c>
      <c r="E186" s="367">
        <v>1.1000000000000001E-3</v>
      </c>
      <c r="F186" s="368">
        <v>43</v>
      </c>
      <c r="G186" s="367">
        <v>1.6999999999999999E-3</v>
      </c>
      <c r="H186" s="368">
        <v>976</v>
      </c>
      <c r="I186" s="367">
        <v>8.9999999999999998E-4</v>
      </c>
      <c r="J186" s="353" t="str">
        <f>IF(COUNTIF('6.6 - Lists and lookups'!$D$9:$L$72,C186)=1,"IN LIST","CHECK")</f>
        <v>IN LIST</v>
      </c>
    </row>
    <row r="187" spans="1:10" x14ac:dyDescent="0.35">
      <c r="A187" s="153"/>
      <c r="B187" s="352" t="s">
        <v>922</v>
      </c>
      <c r="C187" s="352" t="s">
        <v>923</v>
      </c>
      <c r="D187" s="366">
        <v>22</v>
      </c>
      <c r="E187" s="367">
        <v>1.1999999999999999E-3</v>
      </c>
      <c r="F187" s="368">
        <v>108</v>
      </c>
      <c r="G187" s="367">
        <v>4.3E-3</v>
      </c>
      <c r="H187" s="369">
        <v>1596</v>
      </c>
      <c r="I187" s="370">
        <v>1.5E-3</v>
      </c>
      <c r="J187" s="353" t="str">
        <f>IF(COUNTIF('6.6 - Lists and lookups'!$D$9:$L$72,C187)=1,"IN LIST","CHECK")</f>
        <v>IN LIST</v>
      </c>
    </row>
    <row r="188" spans="1:10" x14ac:dyDescent="0.35">
      <c r="A188" s="153"/>
      <c r="B188" s="352" t="s">
        <v>924</v>
      </c>
      <c r="C188" s="352" t="s">
        <v>925</v>
      </c>
      <c r="D188" s="366">
        <v>18</v>
      </c>
      <c r="E188" s="367">
        <v>1E-3</v>
      </c>
      <c r="F188" s="368">
        <v>159</v>
      </c>
      <c r="G188" s="367">
        <v>6.3E-3</v>
      </c>
      <c r="H188" s="369">
        <v>2124</v>
      </c>
      <c r="I188" s="370">
        <v>2E-3</v>
      </c>
      <c r="J188" s="353" t="str">
        <f>IF(COUNTIF('6.6 - Lists and lookups'!$D$9:$L$72,C188)=1,"IN LIST","CHECK")</f>
        <v>IN LIST</v>
      </c>
    </row>
    <row r="189" spans="1:10" x14ac:dyDescent="0.35">
      <c r="A189" s="153"/>
      <c r="B189" s="352" t="s">
        <v>926</v>
      </c>
      <c r="C189" s="352" t="s">
        <v>927</v>
      </c>
      <c r="D189" s="366">
        <v>20</v>
      </c>
      <c r="E189" s="367">
        <v>1.1000000000000001E-3</v>
      </c>
      <c r="F189" s="368">
        <v>23</v>
      </c>
      <c r="G189" s="367">
        <v>8.9999999999999998E-4</v>
      </c>
      <c r="H189" s="368">
        <v>835</v>
      </c>
      <c r="I189" s="370">
        <v>8.0000000000000004E-4</v>
      </c>
      <c r="J189" s="353" t="str">
        <f>IF(COUNTIF('6.6 - Lists and lookups'!$D$9:$L$72,C189)=1,"IN LIST","CHECK")</f>
        <v>IN LIST</v>
      </c>
    </row>
    <row r="190" spans="1:10" x14ac:dyDescent="0.35">
      <c r="A190" s="153"/>
      <c r="B190" s="352" t="s">
        <v>928</v>
      </c>
      <c r="C190" s="352" t="s">
        <v>929</v>
      </c>
      <c r="D190" s="366">
        <v>17</v>
      </c>
      <c r="E190" s="367">
        <v>8.9999999999999998E-4</v>
      </c>
      <c r="F190" s="368">
        <v>18</v>
      </c>
      <c r="G190" s="367">
        <v>6.9999999999999999E-4</v>
      </c>
      <c r="H190" s="368">
        <v>629</v>
      </c>
      <c r="I190" s="370">
        <v>5.9999999999999995E-4</v>
      </c>
      <c r="J190" s="353" t="str">
        <f>IF(COUNTIF('6.6 - Lists and lookups'!$D$9:$L$72,C190)=1,"IN LIST","CHECK")</f>
        <v>IN LIST</v>
      </c>
    </row>
    <row r="191" spans="1:10" x14ac:dyDescent="0.35">
      <c r="A191" s="153"/>
      <c r="B191" s="352" t="s">
        <v>930</v>
      </c>
      <c r="C191" s="352" t="s">
        <v>931</v>
      </c>
      <c r="D191" s="366">
        <v>34</v>
      </c>
      <c r="E191" s="367">
        <v>1.9E-3</v>
      </c>
      <c r="F191" s="368">
        <v>61</v>
      </c>
      <c r="G191" s="367">
        <v>2.3999999999999998E-3</v>
      </c>
      <c r="H191" s="369">
        <v>1360</v>
      </c>
      <c r="I191" s="370">
        <v>1.2999999999999999E-3</v>
      </c>
      <c r="J191" s="353" t="str">
        <f>IF(COUNTIF('6.6 - Lists and lookups'!$D$9:$L$72,C191)=1,"IN LIST","CHECK")</f>
        <v>IN LIST</v>
      </c>
    </row>
    <row r="192" spans="1:10" x14ac:dyDescent="0.35">
      <c r="A192" s="153"/>
      <c r="B192" s="352" t="s">
        <v>932</v>
      </c>
      <c r="C192" s="352" t="s">
        <v>933</v>
      </c>
      <c r="D192" s="366">
        <v>15</v>
      </c>
      <c r="E192" s="367">
        <v>8.0000000000000004E-4</v>
      </c>
      <c r="F192" s="368">
        <v>44</v>
      </c>
      <c r="G192" s="367">
        <v>1.6999999999999999E-3</v>
      </c>
      <c r="H192" s="369">
        <v>1049</v>
      </c>
      <c r="I192" s="370">
        <v>1E-3</v>
      </c>
      <c r="J192" s="353" t="str">
        <f>IF(COUNTIF('6.6 - Lists and lookups'!$D$9:$L$72,C192)=1,"IN LIST","CHECK")</f>
        <v>IN LIST</v>
      </c>
    </row>
    <row r="193" spans="1:10" x14ac:dyDescent="0.35">
      <c r="A193" s="153"/>
      <c r="B193" s="352" t="s">
        <v>934</v>
      </c>
      <c r="C193" s="352" t="s">
        <v>935</v>
      </c>
      <c r="D193" s="366">
        <v>35</v>
      </c>
      <c r="E193" s="367">
        <v>1.9E-3</v>
      </c>
      <c r="F193" s="368">
        <v>37</v>
      </c>
      <c r="G193" s="367">
        <v>1.5E-3</v>
      </c>
      <c r="H193" s="369">
        <v>1299</v>
      </c>
      <c r="I193" s="370">
        <v>1.1999999999999999E-3</v>
      </c>
      <c r="J193" s="353" t="str">
        <f>IF(COUNTIF('6.6 - Lists and lookups'!$D$9:$L$72,C193)=1,"IN LIST","CHECK")</f>
        <v>IN LIST</v>
      </c>
    </row>
    <row r="194" spans="1:10" x14ac:dyDescent="0.35">
      <c r="A194" s="153"/>
      <c r="B194" s="352" t="s">
        <v>936</v>
      </c>
      <c r="C194" s="352" t="s">
        <v>937</v>
      </c>
      <c r="D194" s="366">
        <v>57</v>
      </c>
      <c r="E194" s="367">
        <v>3.2000000000000002E-3</v>
      </c>
      <c r="F194" s="368">
        <v>144</v>
      </c>
      <c r="G194" s="367">
        <v>5.7000000000000002E-3</v>
      </c>
      <c r="H194" s="369">
        <v>3307</v>
      </c>
      <c r="I194" s="370">
        <v>3.2000000000000002E-3</v>
      </c>
      <c r="J194" s="353" t="str">
        <f>IF(COUNTIF('6.6 - Lists and lookups'!$D$9:$L$72,C194)=1,"IN LIST","CHECK")</f>
        <v>IN LIST</v>
      </c>
    </row>
    <row r="195" spans="1:10" x14ac:dyDescent="0.35">
      <c r="A195" s="153"/>
      <c r="B195" s="352" t="s">
        <v>938</v>
      </c>
      <c r="C195" s="352" t="s">
        <v>939</v>
      </c>
      <c r="D195" s="366">
        <v>44</v>
      </c>
      <c r="E195" s="367">
        <v>2.3999999999999998E-3</v>
      </c>
      <c r="F195" s="368">
        <v>163</v>
      </c>
      <c r="G195" s="367">
        <v>6.4000000000000003E-3</v>
      </c>
      <c r="H195" s="369">
        <v>2968</v>
      </c>
      <c r="I195" s="370">
        <v>2.8E-3</v>
      </c>
      <c r="J195" s="353" t="str">
        <f>IF(COUNTIF('6.6 - Lists and lookups'!$D$9:$L$72,C195)=1,"IN LIST","CHECK")</f>
        <v>IN LIST</v>
      </c>
    </row>
    <row r="196" spans="1:10" x14ac:dyDescent="0.35">
      <c r="A196" s="153"/>
      <c r="B196" s="352" t="s">
        <v>940</v>
      </c>
      <c r="C196" s="352" t="s">
        <v>941</v>
      </c>
      <c r="D196" s="366">
        <v>32</v>
      </c>
      <c r="E196" s="367">
        <v>1.8E-3</v>
      </c>
      <c r="F196" s="368">
        <v>71</v>
      </c>
      <c r="G196" s="367">
        <v>2.8E-3</v>
      </c>
      <c r="H196" s="369">
        <v>1343</v>
      </c>
      <c r="I196" s="370">
        <v>1.2999999999999999E-3</v>
      </c>
      <c r="J196" s="353" t="str">
        <f>IF(COUNTIF('6.6 - Lists and lookups'!$D$9:$L$72,C196)=1,"IN LIST","CHECK")</f>
        <v>IN LIST</v>
      </c>
    </row>
    <row r="197" spans="1:10" x14ac:dyDescent="0.35">
      <c r="A197" s="153"/>
      <c r="B197" s="352" t="s">
        <v>942</v>
      </c>
      <c r="C197" s="352" t="s">
        <v>943</v>
      </c>
      <c r="D197" s="366">
        <v>15</v>
      </c>
      <c r="E197" s="367">
        <v>8.0000000000000004E-4</v>
      </c>
      <c r="F197" s="368">
        <v>30</v>
      </c>
      <c r="G197" s="367">
        <v>1.1999999999999999E-3</v>
      </c>
      <c r="H197" s="368">
        <v>636</v>
      </c>
      <c r="I197" s="370">
        <v>5.9999999999999995E-4</v>
      </c>
      <c r="J197" s="353" t="str">
        <f>IF(COUNTIF('6.6 - Lists and lookups'!$D$9:$L$72,C197)=1,"IN LIST","CHECK")</f>
        <v>IN LIST</v>
      </c>
    </row>
    <row r="198" spans="1:10" x14ac:dyDescent="0.35">
      <c r="A198" s="153"/>
      <c r="B198" s="352" t="s">
        <v>944</v>
      </c>
      <c r="C198" s="352" t="s">
        <v>945</v>
      </c>
      <c r="D198" s="366">
        <v>26</v>
      </c>
      <c r="E198" s="367">
        <v>1.4E-3</v>
      </c>
      <c r="F198" s="368">
        <v>18</v>
      </c>
      <c r="G198" s="367">
        <v>6.9999999999999999E-4</v>
      </c>
      <c r="H198" s="368">
        <v>876</v>
      </c>
      <c r="I198" s="370">
        <v>8.0000000000000004E-4</v>
      </c>
      <c r="J198" s="353" t="str">
        <f>IF(COUNTIF('6.6 - Lists and lookups'!$D$9:$L$72,C198)=1,"IN LIST","CHECK")</f>
        <v>IN LIST</v>
      </c>
    </row>
    <row r="199" spans="1:10" x14ac:dyDescent="0.35">
      <c r="A199" s="153"/>
      <c r="B199" s="352" t="s">
        <v>946</v>
      </c>
      <c r="C199" s="352" t="s">
        <v>947</v>
      </c>
      <c r="D199" s="366">
        <v>39</v>
      </c>
      <c r="E199" s="367">
        <v>2.2000000000000001E-3</v>
      </c>
      <c r="F199" s="368">
        <v>42</v>
      </c>
      <c r="G199" s="367">
        <v>1.6000000000000001E-3</v>
      </c>
      <c r="H199" s="369">
        <v>1399</v>
      </c>
      <c r="I199" s="370">
        <v>1.2999999999999999E-3</v>
      </c>
      <c r="J199" s="353" t="str">
        <f>IF(COUNTIF('6.6 - Lists and lookups'!$D$9:$L$72,C199)=1,"IN LIST","CHECK")</f>
        <v>IN LIST</v>
      </c>
    </row>
    <row r="200" spans="1:10" x14ac:dyDescent="0.35">
      <c r="A200" s="153"/>
      <c r="B200" s="352" t="s">
        <v>948</v>
      </c>
      <c r="C200" s="352" t="s">
        <v>949</v>
      </c>
      <c r="D200" s="366">
        <v>40</v>
      </c>
      <c r="E200" s="367">
        <v>2.2000000000000001E-3</v>
      </c>
      <c r="F200" s="368">
        <v>57</v>
      </c>
      <c r="G200" s="367">
        <v>2.2000000000000001E-3</v>
      </c>
      <c r="H200" s="369">
        <v>1130</v>
      </c>
      <c r="I200" s="370">
        <v>1.1000000000000001E-3</v>
      </c>
      <c r="J200" s="353" t="str">
        <f>IF(COUNTIF('6.6 - Lists and lookups'!$D$9:$L$72,C200)=1,"IN LIST","CHECK")</f>
        <v>IN LIST</v>
      </c>
    </row>
    <row r="201" spans="1:10" x14ac:dyDescent="0.35">
      <c r="A201" s="153"/>
      <c r="B201" s="352" t="s">
        <v>950</v>
      </c>
      <c r="C201" s="352" t="s">
        <v>951</v>
      </c>
      <c r="D201" s="366">
        <v>66</v>
      </c>
      <c r="E201" s="367">
        <v>3.7000000000000002E-3</v>
      </c>
      <c r="F201" s="368">
        <v>79</v>
      </c>
      <c r="G201" s="367">
        <v>3.0999999999999999E-3</v>
      </c>
      <c r="H201" s="369">
        <v>1606</v>
      </c>
      <c r="I201" s="370">
        <v>1.5E-3</v>
      </c>
      <c r="J201" s="353" t="str">
        <f>IF(COUNTIF('6.6 - Lists and lookups'!$D$9:$L$72,C201)=1,"IN LIST","CHECK")</f>
        <v>IN LIST</v>
      </c>
    </row>
    <row r="202" spans="1:10" x14ac:dyDescent="0.35">
      <c r="A202" s="153"/>
      <c r="B202" s="352" t="s">
        <v>952</v>
      </c>
      <c r="C202" s="352" t="s">
        <v>953</v>
      </c>
      <c r="D202" s="366">
        <v>48</v>
      </c>
      <c r="E202" s="367">
        <v>2.7000000000000001E-3</v>
      </c>
      <c r="F202" s="368">
        <v>75</v>
      </c>
      <c r="G202" s="367">
        <v>3.0000000000000001E-3</v>
      </c>
      <c r="H202" s="369">
        <v>2795</v>
      </c>
      <c r="I202" s="370">
        <v>2.7000000000000001E-3</v>
      </c>
      <c r="J202" s="353" t="str">
        <f>IF(COUNTIF('6.6 - Lists and lookups'!$D$9:$L$72,C202)=1,"IN LIST","CHECK")</f>
        <v>IN LIST</v>
      </c>
    </row>
    <row r="203" spans="1:10" x14ac:dyDescent="0.35">
      <c r="A203" s="153"/>
      <c r="B203" s="352" t="s">
        <v>954</v>
      </c>
      <c r="C203" s="352" t="s">
        <v>955</v>
      </c>
      <c r="D203" s="366">
        <v>41</v>
      </c>
      <c r="E203" s="367">
        <v>2.3E-3</v>
      </c>
      <c r="F203" s="368">
        <v>170</v>
      </c>
      <c r="G203" s="367">
        <v>6.7000000000000002E-3</v>
      </c>
      <c r="H203" s="369">
        <v>3206</v>
      </c>
      <c r="I203" s="370">
        <v>3.0999999999999999E-3</v>
      </c>
      <c r="J203" s="353" t="str">
        <f>IF(COUNTIF('6.6 - Lists and lookups'!$D$9:$L$72,C203)=1,"IN LIST","CHECK")</f>
        <v>IN LIST</v>
      </c>
    </row>
    <row r="204" spans="1:10" x14ac:dyDescent="0.35">
      <c r="A204" s="153"/>
      <c r="B204" s="352" t="s">
        <v>956</v>
      </c>
      <c r="C204" s="352" t="s">
        <v>957</v>
      </c>
      <c r="D204" s="366">
        <v>38</v>
      </c>
      <c r="E204" s="367">
        <v>2.0999999999999999E-3</v>
      </c>
      <c r="F204" s="368">
        <v>52</v>
      </c>
      <c r="G204" s="367">
        <v>2E-3</v>
      </c>
      <c r="H204" s="369">
        <v>2191</v>
      </c>
      <c r="I204" s="370">
        <v>2.0999999999999999E-3</v>
      </c>
      <c r="J204" s="353" t="str">
        <f>IF(COUNTIF('6.6 - Lists and lookups'!$D$9:$L$72,C204)=1,"IN LIST","CHECK")</f>
        <v>IN LIST</v>
      </c>
    </row>
    <row r="205" spans="1:10" x14ac:dyDescent="0.35">
      <c r="A205" s="153"/>
      <c r="B205" s="352" t="s">
        <v>958</v>
      </c>
      <c r="C205" s="352" t="s">
        <v>959</v>
      </c>
      <c r="D205" s="366">
        <v>8</v>
      </c>
      <c r="E205" s="367">
        <v>4.0000000000000002E-4</v>
      </c>
      <c r="F205" s="368">
        <v>13</v>
      </c>
      <c r="G205" s="367">
        <v>5.0000000000000001E-4</v>
      </c>
      <c r="H205" s="368">
        <v>292</v>
      </c>
      <c r="I205" s="370">
        <v>2.9999999999999997E-4</v>
      </c>
      <c r="J205" s="353" t="str">
        <f>IF(COUNTIF('6.6 - Lists and lookups'!$D$9:$L$72,C205)=1,"IN LIST","CHECK")</f>
        <v>IN LIST</v>
      </c>
    </row>
    <row r="206" spans="1:10" x14ac:dyDescent="0.35">
      <c r="A206" s="153"/>
      <c r="B206" s="352" t="s">
        <v>960</v>
      </c>
      <c r="C206" s="352" t="s">
        <v>961</v>
      </c>
      <c r="D206" s="366">
        <v>30</v>
      </c>
      <c r="E206" s="367">
        <v>1.6999999999999999E-3</v>
      </c>
      <c r="F206" s="368">
        <v>30</v>
      </c>
      <c r="G206" s="367">
        <v>1.1999999999999999E-3</v>
      </c>
      <c r="H206" s="368">
        <v>906</v>
      </c>
      <c r="I206" s="370">
        <v>8.9999999999999998E-4</v>
      </c>
      <c r="J206" s="353" t="str">
        <f>IF(COUNTIF('6.6 - Lists and lookups'!$D$9:$L$72,C206)=1,"IN LIST","CHECK")</f>
        <v>IN LIST</v>
      </c>
    </row>
    <row r="207" spans="1:10" ht="26" x14ac:dyDescent="0.35">
      <c r="A207" s="153"/>
      <c r="B207" s="352" t="s">
        <v>962</v>
      </c>
      <c r="C207" s="352" t="s">
        <v>963</v>
      </c>
      <c r="D207" s="366">
        <v>22</v>
      </c>
      <c r="E207" s="367">
        <v>1.1999999999999999E-3</v>
      </c>
      <c r="F207" s="368">
        <v>25</v>
      </c>
      <c r="G207" s="367">
        <v>1E-3</v>
      </c>
      <c r="H207" s="368">
        <v>730</v>
      </c>
      <c r="I207" s="370">
        <v>6.9999999999999999E-4</v>
      </c>
      <c r="J207" s="353" t="str">
        <f>IF(COUNTIF('6.6 - Lists and lookups'!$D$9:$L$72,C207)=1,"IN LIST","CHECK")</f>
        <v>IN LIST</v>
      </c>
    </row>
    <row r="208" spans="1:10" x14ac:dyDescent="0.35">
      <c r="A208" s="153"/>
      <c r="B208" s="352" t="s">
        <v>964</v>
      </c>
      <c r="C208" s="352" t="s">
        <v>965</v>
      </c>
      <c r="D208" s="366">
        <v>38</v>
      </c>
      <c r="E208" s="367">
        <v>2.0999999999999999E-3</v>
      </c>
      <c r="F208" s="368">
        <v>17</v>
      </c>
      <c r="G208" s="367">
        <v>6.9999999999999999E-4</v>
      </c>
      <c r="H208" s="368">
        <v>628</v>
      </c>
      <c r="I208" s="370">
        <v>5.9999999999999995E-4</v>
      </c>
      <c r="J208" s="353" t="str">
        <f>IF(COUNTIF('6.6 - Lists and lookups'!$D$9:$L$72,C208)=1,"IN LIST","CHECK")</f>
        <v>IN LIST</v>
      </c>
    </row>
    <row r="209" spans="1:10" x14ac:dyDescent="0.35">
      <c r="A209" s="153"/>
      <c r="B209" s="352" t="s">
        <v>966</v>
      </c>
      <c r="C209" s="352" t="s">
        <v>967</v>
      </c>
      <c r="D209" s="366">
        <v>4</v>
      </c>
      <c r="E209" s="367">
        <v>2.0000000000000001E-4</v>
      </c>
      <c r="F209" s="368">
        <v>1</v>
      </c>
      <c r="G209" s="367">
        <v>1E-4</v>
      </c>
      <c r="H209" s="368">
        <v>41</v>
      </c>
      <c r="I209" s="370">
        <v>0</v>
      </c>
      <c r="J209" s="353" t="str">
        <f>IF(COUNTIF('6.6 - Lists and lookups'!$D$9:$L$72,C209)=1,"IN LIST","CHECK")</f>
        <v>IN LIST</v>
      </c>
    </row>
    <row r="210" spans="1:10" x14ac:dyDescent="0.35">
      <c r="A210" s="153"/>
      <c r="B210" s="352" t="s">
        <v>968</v>
      </c>
      <c r="C210" s="352" t="s">
        <v>969</v>
      </c>
      <c r="D210" s="366">
        <v>60</v>
      </c>
      <c r="E210" s="367">
        <v>3.3E-3</v>
      </c>
      <c r="F210" s="368">
        <v>50</v>
      </c>
      <c r="G210" s="367">
        <v>2E-3</v>
      </c>
      <c r="H210" s="369">
        <v>3204</v>
      </c>
      <c r="I210" s="370">
        <v>3.0999999999999999E-3</v>
      </c>
      <c r="J210" s="353" t="str">
        <f>IF(COUNTIF('6.6 - Lists and lookups'!$D$9:$L$72,C210)=1,"IN LIST","CHECK")</f>
        <v>IN LIST</v>
      </c>
    </row>
    <row r="211" spans="1:10" x14ac:dyDescent="0.35">
      <c r="A211" s="153"/>
      <c r="B211" s="352" t="s">
        <v>970</v>
      </c>
      <c r="C211" s="352" t="s">
        <v>971</v>
      </c>
      <c r="D211" s="366">
        <v>9</v>
      </c>
      <c r="E211" s="367">
        <v>5.0000000000000001E-4</v>
      </c>
      <c r="F211" s="368">
        <v>10</v>
      </c>
      <c r="G211" s="367">
        <v>4.0000000000000002E-4</v>
      </c>
      <c r="H211" s="368">
        <v>265</v>
      </c>
      <c r="I211" s="370">
        <v>2.9999999999999997E-4</v>
      </c>
      <c r="J211" s="353" t="str">
        <f>IF(COUNTIF('6.6 - Lists and lookups'!$D$9:$L$72,C211)=1,"IN LIST","CHECK")</f>
        <v>IN LIST</v>
      </c>
    </row>
    <row r="212" spans="1:10" x14ac:dyDescent="0.35">
      <c r="A212" s="153"/>
      <c r="B212" s="352" t="s">
        <v>972</v>
      </c>
      <c r="C212" s="352" t="s">
        <v>973</v>
      </c>
      <c r="D212" s="366">
        <v>30</v>
      </c>
      <c r="E212" s="367">
        <v>1.6999999999999999E-3</v>
      </c>
      <c r="F212" s="368">
        <v>28</v>
      </c>
      <c r="G212" s="367">
        <v>1.1000000000000001E-3</v>
      </c>
      <c r="H212" s="368">
        <v>5</v>
      </c>
      <c r="I212" s="370">
        <v>0</v>
      </c>
      <c r="J212" s="353" t="str">
        <f>IF(COUNTIF('6.6 - Lists and lookups'!$D$9:$L$72,C212)=1,"IN LIST","CHECK")</f>
        <v>IN LIST</v>
      </c>
    </row>
    <row r="213" spans="1:10" x14ac:dyDescent="0.35">
      <c r="A213" s="153"/>
      <c r="B213" s="352" t="s">
        <v>974</v>
      </c>
      <c r="C213" s="352" t="s">
        <v>975</v>
      </c>
      <c r="D213" s="366">
        <v>9</v>
      </c>
      <c r="E213" s="367">
        <v>5.0000000000000001E-4</v>
      </c>
      <c r="F213" s="368">
        <v>2</v>
      </c>
      <c r="G213" s="367">
        <v>1E-4</v>
      </c>
      <c r="H213" s="368">
        <v>205</v>
      </c>
      <c r="I213" s="370">
        <v>2.0000000000000001E-4</v>
      </c>
      <c r="J213" s="353" t="str">
        <f>IF(COUNTIF('6.6 - Lists and lookups'!$D$9:$L$72,C213)=1,"IN LIST","CHECK")</f>
        <v>IN LIST</v>
      </c>
    </row>
    <row r="214" spans="1:10" x14ac:dyDescent="0.35">
      <c r="A214" s="153"/>
      <c r="B214" s="352" t="s">
        <v>976</v>
      </c>
      <c r="C214" s="352" t="s">
        <v>977</v>
      </c>
      <c r="D214" s="366">
        <v>61</v>
      </c>
      <c r="E214" s="367">
        <v>3.3999999999999998E-3</v>
      </c>
      <c r="F214" s="368">
        <v>97</v>
      </c>
      <c r="G214" s="367">
        <v>3.8E-3</v>
      </c>
      <c r="H214" s="369">
        <v>3567</v>
      </c>
      <c r="I214" s="370">
        <v>3.3999999999999998E-3</v>
      </c>
      <c r="J214" s="353" t="str">
        <f>IF(COUNTIF('6.6 - Lists and lookups'!$D$9:$L$72,C214)=1,"IN LIST","CHECK")</f>
        <v>IN LIST</v>
      </c>
    </row>
    <row r="215" spans="1:10" x14ac:dyDescent="0.35">
      <c r="A215" s="153"/>
      <c r="B215" s="352" t="s">
        <v>978</v>
      </c>
      <c r="C215" s="352" t="s">
        <v>979</v>
      </c>
      <c r="D215" s="366">
        <v>18</v>
      </c>
      <c r="E215" s="367">
        <v>1E-3</v>
      </c>
      <c r="F215" s="368">
        <v>7</v>
      </c>
      <c r="G215" s="367">
        <v>2.9999999999999997E-4</v>
      </c>
      <c r="H215" s="368">
        <v>589</v>
      </c>
      <c r="I215" s="370">
        <v>5.9999999999999995E-4</v>
      </c>
      <c r="J215" s="353" t="str">
        <f>IF(COUNTIF('6.6 - Lists and lookups'!$D$9:$L$72,C215)=1,"IN LIST","CHECK")</f>
        <v>IN LIST</v>
      </c>
    </row>
    <row r="216" spans="1:10" x14ac:dyDescent="0.35">
      <c r="A216" s="153"/>
      <c r="B216" s="352" t="s">
        <v>980</v>
      </c>
      <c r="C216" s="352" t="s">
        <v>981</v>
      </c>
      <c r="D216" s="366">
        <v>63</v>
      </c>
      <c r="E216" s="367">
        <v>3.5000000000000001E-3</v>
      </c>
      <c r="F216" s="368">
        <v>30</v>
      </c>
      <c r="G216" s="367">
        <v>1.1999999999999999E-3</v>
      </c>
      <c r="H216" s="369">
        <v>1917</v>
      </c>
      <c r="I216" s="370">
        <v>1.8E-3</v>
      </c>
      <c r="J216" s="353" t="str">
        <f>IF(COUNTIF('6.6 - Lists and lookups'!$D$9:$L$72,C216)=1,"IN LIST","CHECK")</f>
        <v>IN LIST</v>
      </c>
    </row>
    <row r="217" spans="1:10" x14ac:dyDescent="0.35">
      <c r="A217" s="153"/>
      <c r="B217" s="352" t="s">
        <v>982</v>
      </c>
      <c r="C217" s="352" t="s">
        <v>983</v>
      </c>
      <c r="D217" s="366">
        <v>74</v>
      </c>
      <c r="E217" s="367">
        <v>4.1000000000000003E-3</v>
      </c>
      <c r="F217" s="368">
        <v>101</v>
      </c>
      <c r="G217" s="367">
        <v>4.0000000000000001E-3</v>
      </c>
      <c r="H217" s="369">
        <v>2355</v>
      </c>
      <c r="I217" s="370">
        <v>2.3E-3</v>
      </c>
      <c r="J217" s="353" t="str">
        <f>IF(COUNTIF('6.6 - Lists and lookups'!$D$9:$L$72,C217)=1,"IN LIST","CHECK")</f>
        <v>IN LIST</v>
      </c>
    </row>
    <row r="218" spans="1:10" x14ac:dyDescent="0.35">
      <c r="A218" s="153"/>
      <c r="B218" s="352" t="s">
        <v>984</v>
      </c>
      <c r="C218" s="352" t="s">
        <v>985</v>
      </c>
      <c r="D218" s="366">
        <v>25</v>
      </c>
      <c r="E218" s="367">
        <v>1.4E-3</v>
      </c>
      <c r="F218" s="368">
        <v>14</v>
      </c>
      <c r="G218" s="367">
        <v>5.0000000000000001E-4</v>
      </c>
      <c r="H218" s="369">
        <v>1256</v>
      </c>
      <c r="I218" s="370">
        <v>1.1999999999999999E-3</v>
      </c>
      <c r="J218" s="353" t="str">
        <f>IF(COUNTIF('6.6 - Lists and lookups'!$D$9:$L$72,C218)=1,"IN LIST","CHECK")</f>
        <v>IN LIST</v>
      </c>
    </row>
    <row r="219" spans="1:10" x14ac:dyDescent="0.35">
      <c r="A219" s="153"/>
      <c r="B219" s="352" t="s">
        <v>986</v>
      </c>
      <c r="C219" s="352" t="s">
        <v>987</v>
      </c>
      <c r="D219" s="366">
        <v>67</v>
      </c>
      <c r="E219" s="367">
        <v>3.7000000000000002E-3</v>
      </c>
      <c r="F219" s="368">
        <v>79</v>
      </c>
      <c r="G219" s="367">
        <v>3.0999999999999999E-3</v>
      </c>
      <c r="H219" s="369">
        <v>2048</v>
      </c>
      <c r="I219" s="370">
        <v>2E-3</v>
      </c>
      <c r="J219" s="353" t="str">
        <f>IF(COUNTIF('6.6 - Lists and lookups'!$D$9:$L$72,C219)=1,"IN LIST","CHECK")</f>
        <v>IN LIST</v>
      </c>
    </row>
    <row r="220" spans="1:10" x14ac:dyDescent="0.35">
      <c r="A220" s="153"/>
      <c r="B220" s="352" t="s">
        <v>988</v>
      </c>
      <c r="C220" s="352" t="s">
        <v>989</v>
      </c>
      <c r="D220" s="366">
        <v>75</v>
      </c>
      <c r="E220" s="367">
        <v>4.1999999999999997E-3</v>
      </c>
      <c r="F220" s="368">
        <v>45</v>
      </c>
      <c r="G220" s="367">
        <v>1.8E-3</v>
      </c>
      <c r="H220" s="368">
        <v>833</v>
      </c>
      <c r="I220" s="370">
        <v>8.0000000000000004E-4</v>
      </c>
      <c r="J220" s="353" t="str">
        <f>IF(COUNTIF('6.6 - Lists and lookups'!$D$9:$L$72,C220)=1,"IN LIST","CHECK")</f>
        <v>IN LIST</v>
      </c>
    </row>
    <row r="221" spans="1:10" x14ac:dyDescent="0.35">
      <c r="A221" s="153"/>
      <c r="B221" s="352" t="s">
        <v>990</v>
      </c>
      <c r="C221" s="352" t="s">
        <v>991</v>
      </c>
      <c r="D221" s="366">
        <v>49</v>
      </c>
      <c r="E221" s="367">
        <v>2.7000000000000001E-3</v>
      </c>
      <c r="F221" s="368">
        <v>245</v>
      </c>
      <c r="G221" s="367">
        <v>9.7000000000000003E-3</v>
      </c>
      <c r="H221" s="369">
        <v>3566</v>
      </c>
      <c r="I221" s="370">
        <v>3.3999999999999998E-3</v>
      </c>
      <c r="J221" s="353" t="str">
        <f>IF(COUNTIF('6.6 - Lists and lookups'!$D$9:$L$72,C221)=1,"IN LIST","CHECK")</f>
        <v>IN LIST</v>
      </c>
    </row>
    <row r="222" spans="1:10" x14ac:dyDescent="0.35">
      <c r="A222" s="153"/>
      <c r="B222" s="352" t="s">
        <v>992</v>
      </c>
      <c r="C222" s="352" t="s">
        <v>993</v>
      </c>
      <c r="D222" s="366">
        <v>107</v>
      </c>
      <c r="E222" s="367">
        <v>5.8999999999999999E-3</v>
      </c>
      <c r="F222" s="368">
        <v>68</v>
      </c>
      <c r="G222" s="367">
        <v>2.7000000000000001E-3</v>
      </c>
      <c r="H222" s="369">
        <v>4121</v>
      </c>
      <c r="I222" s="370">
        <v>4.0000000000000001E-3</v>
      </c>
      <c r="J222" s="353" t="str">
        <f>IF(COUNTIF('6.6 - Lists and lookups'!$D$9:$L$72,C222)=1,"IN LIST","CHECK")</f>
        <v>IN LIST</v>
      </c>
    </row>
    <row r="223" spans="1:10" x14ac:dyDescent="0.35">
      <c r="A223" s="153"/>
      <c r="B223" s="352" t="s">
        <v>994</v>
      </c>
      <c r="C223" s="352" t="s">
        <v>995</v>
      </c>
      <c r="D223" s="366">
        <v>31</v>
      </c>
      <c r="E223" s="367">
        <v>1.6999999999999999E-3</v>
      </c>
      <c r="F223" s="368">
        <v>19</v>
      </c>
      <c r="G223" s="367">
        <v>6.9999999999999999E-4</v>
      </c>
      <c r="H223" s="368">
        <v>681</v>
      </c>
      <c r="I223" s="370">
        <v>6.9999999999999999E-4</v>
      </c>
      <c r="J223" s="353" t="str">
        <f>IF(COUNTIF('6.6 - Lists and lookups'!$D$9:$L$72,C223)=1,"IN LIST","CHECK")</f>
        <v>IN LIST</v>
      </c>
    </row>
    <row r="224" spans="1:10" ht="26" x14ac:dyDescent="0.35">
      <c r="A224" s="153"/>
      <c r="B224" s="352" t="s">
        <v>996</v>
      </c>
      <c r="C224" s="352" t="s">
        <v>997</v>
      </c>
      <c r="D224" s="366">
        <v>48</v>
      </c>
      <c r="E224" s="367">
        <v>2.7000000000000001E-3</v>
      </c>
      <c r="F224" s="368">
        <v>21</v>
      </c>
      <c r="G224" s="367">
        <v>8.0000000000000004E-4</v>
      </c>
      <c r="H224" s="369">
        <v>1159</v>
      </c>
      <c r="I224" s="370">
        <v>1.1000000000000001E-3</v>
      </c>
      <c r="J224" s="353" t="str">
        <f>IF(COUNTIF('6.6 - Lists and lookups'!$D$9:$L$72,C224)=1,"IN LIST","CHECK")</f>
        <v>IN LIST</v>
      </c>
    </row>
    <row r="225" spans="1:10" x14ac:dyDescent="0.35">
      <c r="A225" s="153"/>
      <c r="B225" s="352" t="s">
        <v>998</v>
      </c>
      <c r="C225" s="352" t="s">
        <v>999</v>
      </c>
      <c r="D225" s="366">
        <v>11</v>
      </c>
      <c r="E225" s="367">
        <v>5.9999999999999995E-4</v>
      </c>
      <c r="F225" s="368">
        <v>16</v>
      </c>
      <c r="G225" s="367">
        <v>5.9999999999999995E-4</v>
      </c>
      <c r="H225" s="368">
        <v>672</v>
      </c>
      <c r="I225" s="370">
        <v>5.9999999999999995E-4</v>
      </c>
      <c r="J225" s="353" t="str">
        <f>IF(COUNTIF('6.6 - Lists and lookups'!$D$9:$L$72,C225)=1,"IN LIST","CHECK")</f>
        <v>IN LIST</v>
      </c>
    </row>
    <row r="226" spans="1:10" x14ac:dyDescent="0.35">
      <c r="A226" s="153"/>
      <c r="B226" s="352" t="s">
        <v>1000</v>
      </c>
      <c r="C226" s="352" t="s">
        <v>1001</v>
      </c>
      <c r="D226" s="366">
        <v>73</v>
      </c>
      <c r="E226" s="367">
        <v>4.1000000000000003E-3</v>
      </c>
      <c r="F226" s="368">
        <v>160</v>
      </c>
      <c r="G226" s="367">
        <v>6.3E-3</v>
      </c>
      <c r="H226" s="369">
        <v>1418</v>
      </c>
      <c r="I226" s="370">
        <v>1.4E-3</v>
      </c>
      <c r="J226" s="353" t="str">
        <f>IF(COUNTIF('6.6 - Lists and lookups'!$D$9:$L$72,C226)=1,"IN LIST","CHECK")</f>
        <v>IN LIST</v>
      </c>
    </row>
    <row r="227" spans="1:10" x14ac:dyDescent="0.35">
      <c r="A227" s="153"/>
      <c r="B227" s="352" t="s">
        <v>1002</v>
      </c>
      <c r="C227" s="352" t="s">
        <v>1003</v>
      </c>
      <c r="D227" s="366">
        <v>21</v>
      </c>
      <c r="E227" s="367">
        <v>1.1999999999999999E-3</v>
      </c>
      <c r="F227" s="368">
        <v>72</v>
      </c>
      <c r="G227" s="367">
        <v>2.8E-3</v>
      </c>
      <c r="H227" s="369">
        <v>1099</v>
      </c>
      <c r="I227" s="370">
        <v>1.1000000000000001E-3</v>
      </c>
      <c r="J227" s="353" t="str">
        <f>IF(COUNTIF('6.6 - Lists and lookups'!$D$9:$L$72,C227)=1,"IN LIST","CHECK")</f>
        <v>IN LIST</v>
      </c>
    </row>
    <row r="228" spans="1:10" x14ac:dyDescent="0.35">
      <c r="A228" s="153"/>
      <c r="B228" s="352" t="s">
        <v>1004</v>
      </c>
      <c r="C228" s="352" t="s">
        <v>1005</v>
      </c>
      <c r="D228" s="366">
        <v>15</v>
      </c>
      <c r="E228" s="367">
        <v>8.0000000000000004E-4</v>
      </c>
      <c r="F228" s="368">
        <v>8</v>
      </c>
      <c r="G228" s="367">
        <v>2.9999999999999997E-4</v>
      </c>
      <c r="H228" s="368">
        <v>984</v>
      </c>
      <c r="I228" s="370">
        <v>8.9999999999999998E-4</v>
      </c>
      <c r="J228" s="353" t="str">
        <f>IF(COUNTIF('6.6 - Lists and lookups'!$D$9:$L$72,C228)=1,"IN LIST","CHECK")</f>
        <v>IN LIST</v>
      </c>
    </row>
    <row r="229" spans="1:10" x14ac:dyDescent="0.35">
      <c r="A229" s="153"/>
      <c r="B229" s="352" t="s">
        <v>1006</v>
      </c>
      <c r="C229" s="352" t="s">
        <v>1007</v>
      </c>
      <c r="D229" s="366">
        <v>29</v>
      </c>
      <c r="E229" s="367">
        <v>1.6000000000000001E-3</v>
      </c>
      <c r="F229" s="368">
        <v>26</v>
      </c>
      <c r="G229" s="367">
        <v>1E-3</v>
      </c>
      <c r="H229" s="369">
        <v>1060</v>
      </c>
      <c r="I229" s="370">
        <v>1E-3</v>
      </c>
      <c r="J229" s="353" t="str">
        <f>IF(COUNTIF('6.6 - Lists and lookups'!$D$9:$L$72,C229)=1,"IN LIST","CHECK")</f>
        <v>IN LIST</v>
      </c>
    </row>
    <row r="230" spans="1:10" x14ac:dyDescent="0.35">
      <c r="A230" s="153"/>
      <c r="B230" s="352" t="s">
        <v>1008</v>
      </c>
      <c r="C230" s="352" t="s">
        <v>1009</v>
      </c>
      <c r="D230" s="366">
        <v>29</v>
      </c>
      <c r="E230" s="367">
        <v>1.6000000000000001E-3</v>
      </c>
      <c r="F230" s="368">
        <v>34</v>
      </c>
      <c r="G230" s="367">
        <v>1.4E-3</v>
      </c>
      <c r="H230" s="368">
        <v>850</v>
      </c>
      <c r="I230" s="370">
        <v>8.0000000000000004E-4</v>
      </c>
      <c r="J230" s="353" t="str">
        <f>IF(COUNTIF('6.6 - Lists and lookups'!$D$9:$L$72,C230)=1,"IN LIST","CHECK")</f>
        <v>IN LIST</v>
      </c>
    </row>
    <row r="231" spans="1:10" x14ac:dyDescent="0.35">
      <c r="A231" s="153"/>
      <c r="B231" s="352" t="s">
        <v>1010</v>
      </c>
      <c r="C231" s="352" t="s">
        <v>1011</v>
      </c>
      <c r="D231" s="366">
        <v>17</v>
      </c>
      <c r="E231" s="367">
        <v>8.9999999999999998E-4</v>
      </c>
      <c r="F231" s="368">
        <v>10</v>
      </c>
      <c r="G231" s="367">
        <v>4.0000000000000002E-4</v>
      </c>
      <c r="H231" s="368">
        <v>795</v>
      </c>
      <c r="I231" s="370">
        <v>8.0000000000000004E-4</v>
      </c>
      <c r="J231" s="353" t="str">
        <f>IF(COUNTIF('6.6 - Lists and lookups'!$D$9:$L$72,C231)=1,"IN LIST","CHECK")</f>
        <v>IN LIST</v>
      </c>
    </row>
    <row r="232" spans="1:10" x14ac:dyDescent="0.35">
      <c r="A232" s="153"/>
      <c r="B232" s="352" t="s">
        <v>1012</v>
      </c>
      <c r="C232" s="352" t="s">
        <v>1013</v>
      </c>
      <c r="D232" s="366">
        <v>37</v>
      </c>
      <c r="E232" s="367">
        <v>2.0999999999999999E-3</v>
      </c>
      <c r="F232" s="368">
        <v>20</v>
      </c>
      <c r="G232" s="367">
        <v>8.0000000000000004E-4</v>
      </c>
      <c r="H232" s="369">
        <v>1090</v>
      </c>
      <c r="I232" s="370">
        <v>1E-3</v>
      </c>
      <c r="J232" s="353" t="str">
        <f>IF(COUNTIF('6.6 - Lists and lookups'!$D$9:$L$72,C232)=1,"IN LIST","CHECK")</f>
        <v>IN LIST</v>
      </c>
    </row>
    <row r="233" spans="1:10" x14ac:dyDescent="0.35">
      <c r="A233" s="153"/>
      <c r="B233" s="352" t="s">
        <v>1014</v>
      </c>
      <c r="C233" s="352" t="s">
        <v>1015</v>
      </c>
      <c r="D233" s="366">
        <v>52</v>
      </c>
      <c r="E233" s="367">
        <v>2.8999999999999998E-3</v>
      </c>
      <c r="F233" s="368">
        <v>40</v>
      </c>
      <c r="G233" s="367">
        <v>1.6000000000000001E-3</v>
      </c>
      <c r="H233" s="369">
        <v>1910</v>
      </c>
      <c r="I233" s="370">
        <v>1.8E-3</v>
      </c>
      <c r="J233" s="353" t="str">
        <f>IF(COUNTIF('6.6 - Lists and lookups'!$D$9:$L$72,C233)=1,"IN LIST","CHECK")</f>
        <v>IN LIST</v>
      </c>
    </row>
    <row r="234" spans="1:10" x14ac:dyDescent="0.35">
      <c r="A234" s="153"/>
      <c r="B234" s="352" t="s">
        <v>1016</v>
      </c>
      <c r="C234" s="352" t="s">
        <v>1017</v>
      </c>
      <c r="D234" s="366">
        <v>24</v>
      </c>
      <c r="E234" s="367">
        <v>1.2999999999999999E-3</v>
      </c>
      <c r="F234" s="368">
        <v>21</v>
      </c>
      <c r="G234" s="367">
        <v>8.0000000000000004E-4</v>
      </c>
      <c r="H234" s="369">
        <v>1420</v>
      </c>
      <c r="I234" s="370">
        <v>1.4E-3</v>
      </c>
      <c r="J234" s="353" t="str">
        <f>IF(COUNTIF('6.6 - Lists and lookups'!$D$9:$L$72,C234)=1,"IN LIST","CHECK")</f>
        <v>IN LIST</v>
      </c>
    </row>
    <row r="235" spans="1:10" x14ac:dyDescent="0.35">
      <c r="A235" s="153"/>
      <c r="B235" s="352" t="s">
        <v>1018</v>
      </c>
      <c r="C235" s="352" t="s">
        <v>1019</v>
      </c>
      <c r="D235" s="366">
        <v>19</v>
      </c>
      <c r="E235" s="367">
        <v>1.1000000000000001E-3</v>
      </c>
      <c r="F235" s="368">
        <v>22</v>
      </c>
      <c r="G235" s="367">
        <v>8.9999999999999998E-4</v>
      </c>
      <c r="H235" s="368">
        <v>597</v>
      </c>
      <c r="I235" s="370">
        <v>5.9999999999999995E-4</v>
      </c>
      <c r="J235" s="353" t="str">
        <f>IF(COUNTIF('6.6 - Lists and lookups'!$D$9:$L$72,C235)=1,"IN LIST","CHECK")</f>
        <v>IN LIST</v>
      </c>
    </row>
    <row r="236" spans="1:10" x14ac:dyDescent="0.35">
      <c r="A236" s="153"/>
      <c r="B236" s="352" t="s">
        <v>1020</v>
      </c>
      <c r="C236" s="352" t="s">
        <v>1021</v>
      </c>
      <c r="D236" s="366">
        <v>20</v>
      </c>
      <c r="E236" s="367">
        <v>1.1000000000000001E-3</v>
      </c>
      <c r="F236" s="368">
        <v>28</v>
      </c>
      <c r="G236" s="367">
        <v>1.1000000000000001E-3</v>
      </c>
      <c r="H236" s="368">
        <v>561</v>
      </c>
      <c r="I236" s="370">
        <v>5.0000000000000001E-4</v>
      </c>
      <c r="J236" s="353" t="str">
        <f>IF(COUNTIF('6.6 - Lists and lookups'!$D$9:$L$72,C236)=1,"IN LIST","CHECK")</f>
        <v>IN LIST</v>
      </c>
    </row>
    <row r="237" spans="1:10" x14ac:dyDescent="0.35">
      <c r="A237" s="153"/>
      <c r="B237" s="352" t="s">
        <v>1022</v>
      </c>
      <c r="C237" s="352" t="s">
        <v>1023</v>
      </c>
      <c r="D237" s="366">
        <v>16</v>
      </c>
      <c r="E237" s="367">
        <v>8.9999999999999998E-4</v>
      </c>
      <c r="F237" s="368">
        <v>11</v>
      </c>
      <c r="G237" s="367">
        <v>4.0000000000000002E-4</v>
      </c>
      <c r="H237" s="368">
        <v>507</v>
      </c>
      <c r="I237" s="370">
        <v>5.0000000000000001E-4</v>
      </c>
      <c r="J237" s="353" t="str">
        <f>IF(COUNTIF('6.6 - Lists and lookups'!$D$9:$L$72,C237)=1,"IN LIST","CHECK")</f>
        <v>IN LIST</v>
      </c>
    </row>
    <row r="238" spans="1:10" x14ac:dyDescent="0.35">
      <c r="A238" s="153"/>
      <c r="B238" s="352" t="s">
        <v>1024</v>
      </c>
      <c r="C238" s="352" t="s">
        <v>1025</v>
      </c>
      <c r="D238" s="366">
        <v>39</v>
      </c>
      <c r="E238" s="367">
        <v>2.2000000000000001E-3</v>
      </c>
      <c r="F238" s="368">
        <v>45</v>
      </c>
      <c r="G238" s="367">
        <v>1.8E-3</v>
      </c>
      <c r="H238" s="369">
        <v>1066</v>
      </c>
      <c r="I238" s="370">
        <v>1E-3</v>
      </c>
      <c r="J238" s="353" t="str">
        <f>IF(COUNTIF('6.6 - Lists and lookups'!$D$9:$L$72,C238)=1,"IN LIST","CHECK")</f>
        <v>IN LIST</v>
      </c>
    </row>
    <row r="239" spans="1:10" x14ac:dyDescent="0.35">
      <c r="A239" s="153"/>
      <c r="B239" s="352" t="s">
        <v>1026</v>
      </c>
      <c r="C239" s="352" t="s">
        <v>1027</v>
      </c>
      <c r="D239" s="366">
        <v>18</v>
      </c>
      <c r="E239" s="367">
        <v>1E-3</v>
      </c>
      <c r="F239" s="368">
        <v>12</v>
      </c>
      <c r="G239" s="367">
        <v>5.0000000000000001E-4</v>
      </c>
      <c r="H239" s="368">
        <v>522</v>
      </c>
      <c r="I239" s="370">
        <v>5.0000000000000001E-4</v>
      </c>
      <c r="J239" s="353" t="str">
        <f>IF(COUNTIF('6.6 - Lists and lookups'!$D$9:$L$72,C239)=1,"IN LIST","CHECK")</f>
        <v>IN LIST</v>
      </c>
    </row>
    <row r="240" spans="1:10" x14ac:dyDescent="0.35">
      <c r="A240" s="153"/>
      <c r="B240" s="352" t="s">
        <v>1028</v>
      </c>
      <c r="C240" s="352" t="s">
        <v>1029</v>
      </c>
      <c r="D240" s="366">
        <v>51</v>
      </c>
      <c r="E240" s="367">
        <v>2.8E-3</v>
      </c>
      <c r="F240" s="368">
        <v>92</v>
      </c>
      <c r="G240" s="367">
        <v>3.5999999999999999E-3</v>
      </c>
      <c r="H240" s="369">
        <v>2355</v>
      </c>
      <c r="I240" s="370">
        <v>2.3E-3</v>
      </c>
      <c r="J240" s="353" t="str">
        <f>IF(COUNTIF('6.6 - Lists and lookups'!$D$9:$L$72,C240)=1,"IN LIST","CHECK")</f>
        <v>IN LIST</v>
      </c>
    </row>
    <row r="241" spans="1:10" x14ac:dyDescent="0.35">
      <c r="A241" s="153"/>
      <c r="B241" s="352" t="s">
        <v>1030</v>
      </c>
      <c r="C241" s="352" t="s">
        <v>1031</v>
      </c>
      <c r="D241" s="366">
        <v>23</v>
      </c>
      <c r="E241" s="367">
        <v>1.2999999999999999E-3</v>
      </c>
      <c r="F241" s="368">
        <v>21</v>
      </c>
      <c r="G241" s="367">
        <v>8.0000000000000004E-4</v>
      </c>
      <c r="H241" s="368">
        <v>925</v>
      </c>
      <c r="I241" s="370">
        <v>8.9999999999999998E-4</v>
      </c>
      <c r="J241" s="353" t="str">
        <f>IF(COUNTIF('6.6 - Lists and lookups'!$D$9:$L$72,C241)=1,"IN LIST","CHECK")</f>
        <v>IN LIST</v>
      </c>
    </row>
    <row r="242" spans="1:10" x14ac:dyDescent="0.35">
      <c r="A242" s="153"/>
      <c r="B242" s="352" t="s">
        <v>1032</v>
      </c>
      <c r="C242" s="352" t="s">
        <v>1033</v>
      </c>
      <c r="D242" s="366">
        <v>62</v>
      </c>
      <c r="E242" s="367">
        <v>3.3999999999999998E-3</v>
      </c>
      <c r="F242" s="368">
        <v>51</v>
      </c>
      <c r="G242" s="367">
        <v>2E-3</v>
      </c>
      <c r="H242" s="369">
        <v>2750</v>
      </c>
      <c r="I242" s="370">
        <v>2.5999999999999999E-3</v>
      </c>
      <c r="J242" s="353" t="str">
        <f>IF(COUNTIF('6.6 - Lists and lookups'!$D$9:$L$72,C242)=1,"IN LIST","CHECK")</f>
        <v>IN LIST</v>
      </c>
    </row>
    <row r="243" spans="1:10" x14ac:dyDescent="0.35">
      <c r="A243" s="153"/>
      <c r="B243" s="352" t="s">
        <v>1034</v>
      </c>
      <c r="C243" s="352" t="s">
        <v>1035</v>
      </c>
      <c r="D243" s="366">
        <v>27</v>
      </c>
      <c r="E243" s="367">
        <v>1.5E-3</v>
      </c>
      <c r="F243" s="368">
        <v>22</v>
      </c>
      <c r="G243" s="367">
        <v>8.9999999999999998E-4</v>
      </c>
      <c r="H243" s="369">
        <v>1334</v>
      </c>
      <c r="I243" s="370">
        <v>1.2999999999999999E-3</v>
      </c>
      <c r="J243" s="353" t="str">
        <f>IF(COUNTIF('6.6 - Lists and lookups'!$D$9:$L$72,C243)=1,"IN LIST","CHECK")</f>
        <v>IN LIST</v>
      </c>
    </row>
    <row r="244" spans="1:10" x14ac:dyDescent="0.35">
      <c r="A244" s="153"/>
      <c r="B244" s="352" t="s">
        <v>1036</v>
      </c>
      <c r="C244" s="352" t="s">
        <v>1037</v>
      </c>
      <c r="D244" s="366">
        <v>23</v>
      </c>
      <c r="E244" s="367">
        <v>1.2999999999999999E-3</v>
      </c>
      <c r="F244" s="368">
        <v>78</v>
      </c>
      <c r="G244" s="367">
        <v>3.0999999999999999E-3</v>
      </c>
      <c r="H244" s="369">
        <v>3994</v>
      </c>
      <c r="I244" s="370">
        <v>3.8E-3</v>
      </c>
      <c r="J244" s="353" t="str">
        <f>IF(COUNTIF('6.6 - Lists and lookups'!$D$9:$L$72,C244)=1,"IN LIST","CHECK")</f>
        <v>IN LIST</v>
      </c>
    </row>
    <row r="245" spans="1:10" x14ac:dyDescent="0.35">
      <c r="A245" s="153"/>
      <c r="B245" s="352" t="s">
        <v>1038</v>
      </c>
      <c r="C245" s="352" t="s">
        <v>1039</v>
      </c>
      <c r="D245" s="366">
        <v>45</v>
      </c>
      <c r="E245" s="367">
        <v>2.5000000000000001E-3</v>
      </c>
      <c r="F245" s="368">
        <v>77</v>
      </c>
      <c r="G245" s="367">
        <v>3.0000000000000001E-3</v>
      </c>
      <c r="H245" s="369">
        <v>2663</v>
      </c>
      <c r="I245" s="370">
        <v>2.5999999999999999E-3</v>
      </c>
      <c r="J245" s="353" t="str">
        <f>IF(COUNTIF('6.6 - Lists and lookups'!$D$9:$L$72,C245)=1,"IN LIST","CHECK")</f>
        <v>IN LIST</v>
      </c>
    </row>
    <row r="246" spans="1:10" x14ac:dyDescent="0.35">
      <c r="A246" s="153"/>
      <c r="B246" s="352" t="s">
        <v>1040</v>
      </c>
      <c r="C246" s="352" t="s">
        <v>1041</v>
      </c>
      <c r="D246" s="366">
        <v>20</v>
      </c>
      <c r="E246" s="367">
        <v>1.1000000000000001E-3</v>
      </c>
      <c r="F246" s="368">
        <v>20</v>
      </c>
      <c r="G246" s="367">
        <v>8.0000000000000004E-4</v>
      </c>
      <c r="H246" s="369">
        <v>1108</v>
      </c>
      <c r="I246" s="370">
        <v>1.1000000000000001E-3</v>
      </c>
      <c r="J246" s="353" t="str">
        <f>IF(COUNTIF('6.6 - Lists and lookups'!$D$9:$L$72,C246)=1,"IN LIST","CHECK")</f>
        <v>IN LIST</v>
      </c>
    </row>
    <row r="247" spans="1:10" ht="26" x14ac:dyDescent="0.35">
      <c r="A247" s="153"/>
      <c r="B247" s="352" t="s">
        <v>1042</v>
      </c>
      <c r="C247" s="352" t="s">
        <v>1043</v>
      </c>
      <c r="D247" s="366">
        <v>56</v>
      </c>
      <c r="E247" s="367">
        <v>3.0999999999999999E-3</v>
      </c>
      <c r="F247" s="368">
        <v>143</v>
      </c>
      <c r="G247" s="367">
        <v>5.7000000000000002E-3</v>
      </c>
      <c r="H247" s="369">
        <v>2908</v>
      </c>
      <c r="I247" s="370">
        <v>2.8E-3</v>
      </c>
      <c r="J247" s="353" t="str">
        <f>IF(COUNTIF('6.6 - Lists and lookups'!$D$9:$L$72,C247)=1,"IN LIST","CHECK")</f>
        <v>IN LIST</v>
      </c>
    </row>
    <row r="248" spans="1:10" x14ac:dyDescent="0.35">
      <c r="A248" s="153"/>
      <c r="B248" s="352" t="s">
        <v>1044</v>
      </c>
      <c r="C248" s="352" t="s">
        <v>1045</v>
      </c>
      <c r="D248" s="366">
        <v>149</v>
      </c>
      <c r="E248" s="367">
        <v>8.3000000000000001E-3</v>
      </c>
      <c r="F248" s="368">
        <v>214</v>
      </c>
      <c r="G248" s="367">
        <v>8.3999999999999995E-3</v>
      </c>
      <c r="H248" s="369">
        <v>8567</v>
      </c>
      <c r="I248" s="370">
        <v>8.2000000000000007E-3</v>
      </c>
      <c r="J248" s="353" t="str">
        <f>IF(COUNTIF('6.6 - Lists and lookups'!$D$9:$L$72,C248)=1,"IN LIST","CHECK")</f>
        <v>IN LIST</v>
      </c>
    </row>
    <row r="249" spans="1:10" x14ac:dyDescent="0.35">
      <c r="A249" s="153"/>
      <c r="B249" s="352" t="s">
        <v>1046</v>
      </c>
      <c r="C249" s="352" t="s">
        <v>1047</v>
      </c>
      <c r="D249" s="366">
        <v>63</v>
      </c>
      <c r="E249" s="367">
        <v>3.5000000000000001E-3</v>
      </c>
      <c r="F249" s="368">
        <v>81</v>
      </c>
      <c r="G249" s="367">
        <v>3.2000000000000002E-3</v>
      </c>
      <c r="H249" s="369">
        <v>2767</v>
      </c>
      <c r="I249" s="370">
        <v>2.7000000000000001E-3</v>
      </c>
      <c r="J249" s="353" t="str">
        <f>IF(COUNTIF('6.6 - Lists and lookups'!$D$9:$L$72,C249)=1,"IN LIST","CHECK")</f>
        <v>IN LIST</v>
      </c>
    </row>
    <row r="250" spans="1:10" x14ac:dyDescent="0.35">
      <c r="A250" s="153"/>
      <c r="B250" s="352" t="s">
        <v>1048</v>
      </c>
      <c r="C250" s="352" t="s">
        <v>1049</v>
      </c>
      <c r="D250" s="366">
        <v>233</v>
      </c>
      <c r="E250" s="367">
        <v>1.2999999999999999E-2</v>
      </c>
      <c r="F250" s="368">
        <v>316</v>
      </c>
      <c r="G250" s="367">
        <v>1.2500000000000001E-2</v>
      </c>
      <c r="H250" s="369">
        <v>39105</v>
      </c>
      <c r="I250" s="370">
        <v>3.7499999999999999E-2</v>
      </c>
      <c r="J250" s="353" t="str">
        <f>IF(COUNTIF('6.6 - Lists and lookups'!$D$9:$L$72,C250)=1,"IN LIST","CHECK")</f>
        <v>IN LIST</v>
      </c>
    </row>
    <row r="251" spans="1:10" x14ac:dyDescent="0.35">
      <c r="A251" s="153"/>
      <c r="B251" s="352" t="s">
        <v>1050</v>
      </c>
      <c r="C251" s="352" t="s">
        <v>1051</v>
      </c>
      <c r="D251" s="366">
        <v>98</v>
      </c>
      <c r="E251" s="367">
        <v>5.4000000000000003E-3</v>
      </c>
      <c r="F251" s="368">
        <v>76</v>
      </c>
      <c r="G251" s="367">
        <v>3.0000000000000001E-3</v>
      </c>
      <c r="H251" s="369">
        <v>2924</v>
      </c>
      <c r="I251" s="370">
        <v>2.8E-3</v>
      </c>
      <c r="J251" s="353" t="str">
        <f>IF(COUNTIF('6.6 - Lists and lookups'!$D$9:$L$72,C251)=1,"IN LIST","CHECK")</f>
        <v>IN LIST</v>
      </c>
    </row>
    <row r="252" spans="1:10" x14ac:dyDescent="0.35">
      <c r="A252" s="153"/>
      <c r="B252" s="352" t="s">
        <v>1052</v>
      </c>
      <c r="C252" s="352" t="s">
        <v>1053</v>
      </c>
      <c r="D252" s="366">
        <v>109</v>
      </c>
      <c r="E252" s="367">
        <v>6.1000000000000004E-3</v>
      </c>
      <c r="F252" s="368">
        <v>98</v>
      </c>
      <c r="G252" s="367">
        <v>3.8E-3</v>
      </c>
      <c r="H252" s="369">
        <v>4334</v>
      </c>
      <c r="I252" s="370">
        <v>4.1999999999999997E-3</v>
      </c>
      <c r="J252" s="353" t="str">
        <f>IF(COUNTIF('6.6 - Lists and lookups'!$D$9:$L$72,C252)=1,"IN LIST","CHECK")</f>
        <v>IN LIST</v>
      </c>
    </row>
    <row r="253" spans="1:10" x14ac:dyDescent="0.35">
      <c r="A253" s="153"/>
      <c r="B253" s="352" t="s">
        <v>1054</v>
      </c>
      <c r="C253" s="352" t="s">
        <v>1055</v>
      </c>
      <c r="D253" s="366">
        <v>209</v>
      </c>
      <c r="E253" s="367">
        <v>1.1599999999999999E-2</v>
      </c>
      <c r="F253" s="368">
        <v>174</v>
      </c>
      <c r="G253" s="367">
        <v>6.8999999999999999E-3</v>
      </c>
      <c r="H253" s="369">
        <v>19796</v>
      </c>
      <c r="I253" s="370">
        <v>1.9E-2</v>
      </c>
      <c r="J253" s="353" t="str">
        <f>IF(COUNTIF('6.6 - Lists and lookups'!$D$9:$L$72,C253)=1,"IN LIST","CHECK")</f>
        <v>IN LIST</v>
      </c>
    </row>
    <row r="254" spans="1:10" x14ac:dyDescent="0.35">
      <c r="A254" s="153"/>
      <c r="B254" s="352" t="s">
        <v>1056</v>
      </c>
      <c r="C254" s="352" t="s">
        <v>1057</v>
      </c>
      <c r="D254" s="366">
        <v>27</v>
      </c>
      <c r="E254" s="367">
        <v>1.5E-3</v>
      </c>
      <c r="F254" s="368">
        <v>34</v>
      </c>
      <c r="G254" s="367">
        <v>1.2999999999999999E-3</v>
      </c>
      <c r="H254" s="369">
        <v>1535</v>
      </c>
      <c r="I254" s="370">
        <v>1.5E-3</v>
      </c>
      <c r="J254" s="353" t="str">
        <f>IF(COUNTIF('6.6 - Lists and lookups'!$D$9:$L$72,C254)=1,"IN LIST","CHECK")</f>
        <v>IN LIST</v>
      </c>
    </row>
    <row r="255" spans="1:10" x14ac:dyDescent="0.35">
      <c r="A255" s="153"/>
      <c r="B255" s="352" t="s">
        <v>1058</v>
      </c>
      <c r="C255" s="352" t="s">
        <v>1059</v>
      </c>
      <c r="D255" s="366">
        <v>87</v>
      </c>
      <c r="E255" s="367">
        <v>4.7999999999999996E-3</v>
      </c>
      <c r="F255" s="368">
        <v>52</v>
      </c>
      <c r="G255" s="367">
        <v>2E-3</v>
      </c>
      <c r="H255" s="369">
        <v>2755</v>
      </c>
      <c r="I255" s="370">
        <v>2.5999999999999999E-3</v>
      </c>
      <c r="J255" s="353" t="str">
        <f>IF(COUNTIF('6.6 - Lists and lookups'!$D$9:$L$72,C255)=1,"IN LIST","CHECK")</f>
        <v>IN LIST</v>
      </c>
    </row>
    <row r="256" spans="1:10" x14ac:dyDescent="0.35">
      <c r="A256" s="153"/>
      <c r="B256" s="352" t="s">
        <v>1060</v>
      </c>
      <c r="C256" s="352" t="s">
        <v>1061</v>
      </c>
      <c r="D256" s="366">
        <v>42</v>
      </c>
      <c r="E256" s="367">
        <v>2.3E-3</v>
      </c>
      <c r="F256" s="368">
        <v>32</v>
      </c>
      <c r="G256" s="367">
        <v>1.2999999999999999E-3</v>
      </c>
      <c r="H256" s="369">
        <v>2276</v>
      </c>
      <c r="I256" s="370">
        <v>2.2000000000000001E-3</v>
      </c>
      <c r="J256" s="353" t="str">
        <f>IF(COUNTIF('6.6 - Lists and lookups'!$D$9:$L$72,C256)=1,"IN LIST","CHECK")</f>
        <v>IN LIST</v>
      </c>
    </row>
    <row r="257" spans="1:10" x14ac:dyDescent="0.35">
      <c r="A257" s="153"/>
      <c r="B257" s="352" t="s">
        <v>1062</v>
      </c>
      <c r="C257" s="352" t="s">
        <v>1063</v>
      </c>
      <c r="D257" s="366">
        <v>125</v>
      </c>
      <c r="E257" s="367">
        <v>6.8999999999999999E-3</v>
      </c>
      <c r="F257" s="368">
        <v>438</v>
      </c>
      <c r="G257" s="367">
        <v>1.7299999999999999E-2</v>
      </c>
      <c r="H257" s="369">
        <v>10399</v>
      </c>
      <c r="I257" s="370">
        <v>0.01</v>
      </c>
      <c r="J257" s="353" t="str">
        <f>IF(COUNTIF('6.6 - Lists and lookups'!$D$9:$L$72,C257)=1,"IN LIST","CHECK")</f>
        <v>IN LIST</v>
      </c>
    </row>
    <row r="258" spans="1:10" x14ac:dyDescent="0.35">
      <c r="A258" s="153"/>
      <c r="B258" s="352" t="s">
        <v>1064</v>
      </c>
      <c r="C258" s="352" t="s">
        <v>1065</v>
      </c>
      <c r="D258" s="366">
        <v>41</v>
      </c>
      <c r="E258" s="367">
        <v>2.3E-3</v>
      </c>
      <c r="F258" s="368">
        <v>35</v>
      </c>
      <c r="G258" s="367">
        <v>1.4E-3</v>
      </c>
      <c r="H258" s="368">
        <v>903</v>
      </c>
      <c r="I258" s="370">
        <v>8.9999999999999998E-4</v>
      </c>
      <c r="J258" s="353" t="str">
        <f>IF(COUNTIF('6.6 - Lists and lookups'!$D$9:$L$72,C258)=1,"IN LIST","CHECK")</f>
        <v>IN LIST</v>
      </c>
    </row>
    <row r="259" spans="1:10" x14ac:dyDescent="0.35">
      <c r="A259" s="153"/>
      <c r="B259" s="352" t="s">
        <v>1066</v>
      </c>
      <c r="C259" s="352" t="s">
        <v>1067</v>
      </c>
      <c r="D259" s="366">
        <v>89</v>
      </c>
      <c r="E259" s="367">
        <v>4.8999999999999998E-3</v>
      </c>
      <c r="F259" s="368">
        <v>75</v>
      </c>
      <c r="G259" s="367">
        <v>3.0000000000000001E-3</v>
      </c>
      <c r="H259" s="369">
        <v>8431</v>
      </c>
      <c r="I259" s="370">
        <v>8.0999999999999996E-3</v>
      </c>
      <c r="J259" s="353" t="str">
        <f>IF(COUNTIF('6.6 - Lists and lookups'!$D$9:$L$72,C259)=1,"IN LIST","CHECK")</f>
        <v>IN LIST</v>
      </c>
    </row>
    <row r="260" spans="1:10" x14ac:dyDescent="0.35">
      <c r="A260" s="153"/>
      <c r="B260" s="352" t="s">
        <v>1068</v>
      </c>
      <c r="C260" s="352" t="s">
        <v>1069</v>
      </c>
      <c r="D260" s="366">
        <v>98</v>
      </c>
      <c r="E260" s="367">
        <v>5.4000000000000003E-3</v>
      </c>
      <c r="F260" s="368">
        <v>212</v>
      </c>
      <c r="G260" s="367">
        <v>8.3999999999999995E-3</v>
      </c>
      <c r="H260" s="369">
        <v>5818</v>
      </c>
      <c r="I260" s="370">
        <v>5.5999999999999999E-3</v>
      </c>
      <c r="J260" s="353" t="str">
        <f>IF(COUNTIF('6.6 - Lists and lookups'!$D$9:$L$72,C260)=1,"IN LIST","CHECK")</f>
        <v>IN LIST</v>
      </c>
    </row>
    <row r="261" spans="1:10" x14ac:dyDescent="0.35">
      <c r="A261" s="153"/>
      <c r="B261" s="352" t="s">
        <v>1070</v>
      </c>
      <c r="C261" s="352" t="s">
        <v>1071</v>
      </c>
      <c r="D261" s="366">
        <v>45</v>
      </c>
      <c r="E261" s="367">
        <v>2.5000000000000001E-3</v>
      </c>
      <c r="F261" s="368">
        <v>57</v>
      </c>
      <c r="G261" s="367">
        <v>2.2000000000000001E-3</v>
      </c>
      <c r="H261" s="369">
        <v>1663</v>
      </c>
      <c r="I261" s="370">
        <v>1.6000000000000001E-3</v>
      </c>
      <c r="J261" s="353" t="str">
        <f>IF(COUNTIF('6.6 - Lists and lookups'!$D$9:$L$72,C261)=1,"IN LIST","CHECK")</f>
        <v>IN LIST</v>
      </c>
    </row>
    <row r="262" spans="1:10" x14ac:dyDescent="0.35">
      <c r="A262" s="153"/>
      <c r="B262" s="352" t="s">
        <v>1072</v>
      </c>
      <c r="C262" s="352" t="s">
        <v>1073</v>
      </c>
      <c r="D262" s="366">
        <v>83</v>
      </c>
      <c r="E262" s="367">
        <v>4.5999999999999999E-3</v>
      </c>
      <c r="F262" s="368">
        <v>48</v>
      </c>
      <c r="G262" s="367">
        <v>1.9E-3</v>
      </c>
      <c r="H262" s="369">
        <v>2852</v>
      </c>
      <c r="I262" s="370">
        <v>2.7000000000000001E-3</v>
      </c>
      <c r="J262" s="353" t="str">
        <f>IF(COUNTIF('6.6 - Lists and lookups'!$D$9:$L$72,C262)=1,"IN LIST","CHECK")</f>
        <v>IN LIST</v>
      </c>
    </row>
    <row r="263" spans="1:10" x14ac:dyDescent="0.35">
      <c r="A263" s="153"/>
      <c r="B263" s="352" t="s">
        <v>1074</v>
      </c>
      <c r="C263" s="352" t="s">
        <v>1075</v>
      </c>
      <c r="D263" s="366">
        <v>50</v>
      </c>
      <c r="E263" s="367">
        <v>2.8E-3</v>
      </c>
      <c r="F263" s="368">
        <v>100</v>
      </c>
      <c r="G263" s="367">
        <v>3.8999999999999998E-3</v>
      </c>
      <c r="H263" s="369">
        <v>3039</v>
      </c>
      <c r="I263" s="370">
        <v>2.8999999999999998E-3</v>
      </c>
      <c r="J263" s="353" t="str">
        <f>IF(COUNTIF('6.6 - Lists and lookups'!$D$9:$L$72,C263)=1,"IN LIST","CHECK")</f>
        <v>IN LIST</v>
      </c>
    </row>
    <row r="264" spans="1:10" x14ac:dyDescent="0.35">
      <c r="A264" s="153"/>
      <c r="B264" s="352" t="s">
        <v>1076</v>
      </c>
      <c r="C264" s="352" t="s">
        <v>1077</v>
      </c>
      <c r="D264" s="366">
        <v>99</v>
      </c>
      <c r="E264" s="367">
        <v>5.4999999999999997E-3</v>
      </c>
      <c r="F264" s="368">
        <v>511</v>
      </c>
      <c r="G264" s="367">
        <v>2.0199999999999999E-2</v>
      </c>
      <c r="H264" s="369">
        <v>9327</v>
      </c>
      <c r="I264" s="370">
        <v>8.9999999999999993E-3</v>
      </c>
      <c r="J264" s="353" t="str">
        <f>IF(COUNTIF('6.6 - Lists and lookups'!$D$9:$L$72,C264)=1,"IN LIST","CHECK")</f>
        <v>IN LIST</v>
      </c>
    </row>
    <row r="265" spans="1:10" x14ac:dyDescent="0.35">
      <c r="A265" s="153"/>
      <c r="B265" s="352" t="s">
        <v>1078</v>
      </c>
      <c r="C265" s="352" t="s">
        <v>1079</v>
      </c>
      <c r="D265" s="366">
        <v>62</v>
      </c>
      <c r="E265" s="367">
        <v>3.3999999999999998E-3</v>
      </c>
      <c r="F265" s="368">
        <v>36</v>
      </c>
      <c r="G265" s="367">
        <v>1.4E-3</v>
      </c>
      <c r="H265" s="369">
        <v>1029</v>
      </c>
      <c r="I265" s="370">
        <v>1E-3</v>
      </c>
      <c r="J265" s="353" t="str">
        <f>IF(COUNTIF('6.6 - Lists and lookups'!$D$9:$L$72,C265)=1,"IN LIST","CHECK")</f>
        <v>IN LIST</v>
      </c>
    </row>
    <row r="266" spans="1:10" x14ac:dyDescent="0.35">
      <c r="A266" s="153"/>
      <c r="B266" s="352" t="s">
        <v>1080</v>
      </c>
      <c r="C266" s="352" t="s">
        <v>1081</v>
      </c>
      <c r="D266" s="366">
        <v>331</v>
      </c>
      <c r="E266" s="367">
        <v>1.84E-2</v>
      </c>
      <c r="F266" s="368">
        <v>323</v>
      </c>
      <c r="G266" s="367">
        <v>1.2699999999999999E-2</v>
      </c>
      <c r="H266" s="369">
        <v>24859</v>
      </c>
      <c r="I266" s="370">
        <v>2.3900000000000001E-2</v>
      </c>
      <c r="J266" s="353" t="str">
        <f>IF(COUNTIF('6.6 - Lists and lookups'!$D$9:$L$72,C266)=1,"IN LIST","CHECK")</f>
        <v>IN LIST</v>
      </c>
    </row>
    <row r="267" spans="1:10" x14ac:dyDescent="0.35">
      <c r="A267" s="153"/>
      <c r="B267" s="352" t="s">
        <v>1082</v>
      </c>
      <c r="C267" s="352" t="s">
        <v>1083</v>
      </c>
      <c r="D267" s="366">
        <v>120</v>
      </c>
      <c r="E267" s="367">
        <v>6.7000000000000002E-3</v>
      </c>
      <c r="F267" s="368">
        <v>131</v>
      </c>
      <c r="G267" s="367">
        <v>5.1999999999999998E-3</v>
      </c>
      <c r="H267" s="369">
        <v>7483</v>
      </c>
      <c r="I267" s="370">
        <v>7.1999999999999998E-3</v>
      </c>
      <c r="J267" s="353" t="str">
        <f>IF(COUNTIF('6.6 - Lists and lookups'!$D$9:$L$72,C267)=1,"IN LIST","CHECK")</f>
        <v>IN LIST</v>
      </c>
    </row>
    <row r="268" spans="1:10" x14ac:dyDescent="0.35">
      <c r="A268" s="153"/>
      <c r="B268" s="352" t="s">
        <v>1084</v>
      </c>
      <c r="C268" s="352" t="s">
        <v>1085</v>
      </c>
      <c r="D268" s="366">
        <v>71</v>
      </c>
      <c r="E268" s="367">
        <v>3.8999999999999998E-3</v>
      </c>
      <c r="F268" s="368">
        <v>108</v>
      </c>
      <c r="G268" s="367">
        <v>4.1999999999999997E-3</v>
      </c>
      <c r="H268" s="369">
        <v>2304</v>
      </c>
      <c r="I268" s="370">
        <v>2.2000000000000001E-3</v>
      </c>
      <c r="J268" s="353" t="str">
        <f>IF(COUNTIF('6.6 - Lists and lookups'!$D$9:$L$72,C268)=1,"IN LIST","CHECK")</f>
        <v>IN LIST</v>
      </c>
    </row>
    <row r="269" spans="1:10" x14ac:dyDescent="0.35">
      <c r="A269" s="153"/>
      <c r="B269" s="352" t="s">
        <v>1086</v>
      </c>
      <c r="C269" s="352" t="s">
        <v>1087</v>
      </c>
      <c r="D269" s="366">
        <v>24</v>
      </c>
      <c r="E269" s="367">
        <v>1.2999999999999999E-3</v>
      </c>
      <c r="F269" s="368">
        <v>30</v>
      </c>
      <c r="G269" s="367">
        <v>1.1999999999999999E-3</v>
      </c>
      <c r="H269" s="368">
        <v>816</v>
      </c>
      <c r="I269" s="370">
        <v>8.0000000000000004E-4</v>
      </c>
      <c r="J269" s="353" t="str">
        <f>IF(COUNTIF('6.6 - Lists and lookups'!$D$9:$L$72,C269)=1,"IN LIST","CHECK")</f>
        <v>IN LIST</v>
      </c>
    </row>
    <row r="270" spans="1:10" x14ac:dyDescent="0.35">
      <c r="A270" s="153"/>
      <c r="B270" s="352" t="s">
        <v>1088</v>
      </c>
      <c r="C270" s="352" t="s">
        <v>1089</v>
      </c>
      <c r="D270" s="366">
        <v>62</v>
      </c>
      <c r="E270" s="367">
        <v>3.3999999999999998E-3</v>
      </c>
      <c r="F270" s="368">
        <v>157</v>
      </c>
      <c r="G270" s="367">
        <v>6.1999999999999998E-3</v>
      </c>
      <c r="H270" s="369">
        <v>4126</v>
      </c>
      <c r="I270" s="370">
        <v>4.0000000000000001E-3</v>
      </c>
      <c r="J270" s="353" t="str">
        <f>IF(COUNTIF('6.6 - Lists and lookups'!$D$9:$L$72,C270)=1,"IN LIST","CHECK")</f>
        <v>IN LIST</v>
      </c>
    </row>
    <row r="271" spans="1:10" x14ac:dyDescent="0.35">
      <c r="A271" s="153"/>
      <c r="B271" s="352" t="s">
        <v>1090</v>
      </c>
      <c r="C271" s="352" t="s">
        <v>1091</v>
      </c>
      <c r="D271" s="366">
        <v>403</v>
      </c>
      <c r="E271" s="367">
        <v>2.24E-2</v>
      </c>
      <c r="F271" s="368">
        <v>395</v>
      </c>
      <c r="G271" s="367">
        <v>1.5599999999999999E-2</v>
      </c>
      <c r="H271" s="369">
        <v>27998</v>
      </c>
      <c r="I271" s="370">
        <v>2.69E-2</v>
      </c>
      <c r="J271" s="353" t="str">
        <f>IF(COUNTIF('6.6 - Lists and lookups'!$D$9:$L$72,C271)=1,"IN LIST","CHECK")</f>
        <v>IN LIST</v>
      </c>
    </row>
    <row r="272" spans="1:10" x14ac:dyDescent="0.35">
      <c r="A272" s="153"/>
      <c r="B272" s="352" t="s">
        <v>1092</v>
      </c>
      <c r="C272" s="352" t="s">
        <v>1093</v>
      </c>
      <c r="D272" s="366">
        <v>134</v>
      </c>
      <c r="E272" s="367">
        <v>7.4999999999999997E-3</v>
      </c>
      <c r="F272" s="368">
        <v>252</v>
      </c>
      <c r="G272" s="367">
        <v>9.9000000000000008E-3</v>
      </c>
      <c r="H272" s="369">
        <v>8288</v>
      </c>
      <c r="I272" s="370">
        <v>8.0000000000000002E-3</v>
      </c>
      <c r="J272" s="353" t="str">
        <f>IF(COUNTIF('6.6 - Lists and lookups'!$D$9:$L$72,C272)=1,"IN LIST","CHECK")</f>
        <v>IN LIST</v>
      </c>
    </row>
    <row r="273" spans="1:10" x14ac:dyDescent="0.35">
      <c r="A273" s="153"/>
      <c r="B273" s="352" t="s">
        <v>1094</v>
      </c>
      <c r="C273" s="352" t="s">
        <v>1095</v>
      </c>
      <c r="D273" s="366">
        <v>27</v>
      </c>
      <c r="E273" s="367">
        <v>1.5E-3</v>
      </c>
      <c r="F273" s="368">
        <v>58</v>
      </c>
      <c r="G273" s="367">
        <v>2.3E-3</v>
      </c>
      <c r="H273" s="369">
        <v>1811</v>
      </c>
      <c r="I273" s="370">
        <v>1.6999999999999999E-3</v>
      </c>
      <c r="J273" s="353" t="str">
        <f>IF(COUNTIF('6.6 - Lists and lookups'!$D$9:$L$72,C273)=1,"IN LIST","CHECK")</f>
        <v>IN LIST</v>
      </c>
    </row>
    <row r="274" spans="1:10" x14ac:dyDescent="0.35">
      <c r="A274" s="153"/>
      <c r="B274" s="352" t="s">
        <v>1096</v>
      </c>
      <c r="C274" s="352" t="s">
        <v>1097</v>
      </c>
      <c r="D274" s="366">
        <v>251</v>
      </c>
      <c r="E274" s="367">
        <v>1.4E-2</v>
      </c>
      <c r="F274" s="368">
        <v>450</v>
      </c>
      <c r="G274" s="367">
        <v>1.77E-2</v>
      </c>
      <c r="H274" s="369">
        <v>15149</v>
      </c>
      <c r="I274" s="370">
        <v>1.4500000000000001E-2</v>
      </c>
      <c r="J274" s="353" t="str">
        <f>IF(COUNTIF('6.6 - Lists and lookups'!$D$9:$L$72,C274)=1,"IN LIST","CHECK")</f>
        <v>IN LIST</v>
      </c>
    </row>
    <row r="275" spans="1:10" x14ac:dyDescent="0.35">
      <c r="A275" s="153"/>
      <c r="B275" s="352" t="s">
        <v>1098</v>
      </c>
      <c r="C275" s="352" t="s">
        <v>1099</v>
      </c>
      <c r="D275" s="366">
        <v>50</v>
      </c>
      <c r="E275" s="367">
        <v>2.8E-3</v>
      </c>
      <c r="F275" s="368">
        <v>146</v>
      </c>
      <c r="G275" s="367">
        <v>5.7999999999999996E-3</v>
      </c>
      <c r="H275" s="369">
        <v>1835</v>
      </c>
      <c r="I275" s="370">
        <v>1.8E-3</v>
      </c>
      <c r="J275" s="353" t="str">
        <f>IF(COUNTIF('6.6 - Lists and lookups'!$D$9:$L$72,C275)=1,"IN LIST","CHECK")</f>
        <v>IN LIST</v>
      </c>
    </row>
    <row r="276" spans="1:10" x14ac:dyDescent="0.35">
      <c r="A276" s="153"/>
      <c r="B276" s="352" t="s">
        <v>1100</v>
      </c>
      <c r="C276" s="352" t="s">
        <v>1101</v>
      </c>
      <c r="D276" s="366">
        <v>100</v>
      </c>
      <c r="E276" s="367">
        <v>5.5999999999999999E-3</v>
      </c>
      <c r="F276" s="368">
        <v>62</v>
      </c>
      <c r="G276" s="367">
        <v>2.5000000000000001E-3</v>
      </c>
      <c r="H276" s="369">
        <v>3184</v>
      </c>
      <c r="I276" s="370">
        <v>3.0999999999999999E-3</v>
      </c>
      <c r="J276" s="353" t="str">
        <f>IF(COUNTIF('6.6 - Lists and lookups'!$D$9:$L$72,C276)=1,"IN LIST","CHECK")</f>
        <v>IN LIST</v>
      </c>
    </row>
    <row r="277" spans="1:10" x14ac:dyDescent="0.35">
      <c r="A277" s="153"/>
      <c r="B277" s="352" t="s">
        <v>1102</v>
      </c>
      <c r="C277" s="352" t="s">
        <v>1103</v>
      </c>
      <c r="D277" s="366">
        <v>522</v>
      </c>
      <c r="E277" s="367">
        <v>2.9000000000000001E-2</v>
      </c>
      <c r="F277" s="368">
        <v>305</v>
      </c>
      <c r="G277" s="367">
        <v>1.2E-2</v>
      </c>
      <c r="H277" s="369">
        <v>8357</v>
      </c>
      <c r="I277" s="370">
        <v>8.0000000000000002E-3</v>
      </c>
      <c r="J277" s="353" t="str">
        <f>IF(COUNTIF('6.6 - Lists and lookups'!$D$9:$L$72,C277)=1,"IN LIST","CHECK")</f>
        <v>IN LIST</v>
      </c>
    </row>
    <row r="278" spans="1:10" x14ac:dyDescent="0.35">
      <c r="A278" s="153"/>
      <c r="B278" s="352" t="s">
        <v>1104</v>
      </c>
      <c r="C278" s="352" t="s">
        <v>1105</v>
      </c>
      <c r="D278" s="366">
        <v>217</v>
      </c>
      <c r="E278" s="367">
        <v>1.21E-2</v>
      </c>
      <c r="F278" s="368">
        <v>179</v>
      </c>
      <c r="G278" s="367">
        <v>7.0000000000000001E-3</v>
      </c>
      <c r="H278" s="369">
        <v>11220</v>
      </c>
      <c r="I278" s="370">
        <v>1.0800000000000001E-2</v>
      </c>
      <c r="J278" s="353" t="str">
        <f>IF(COUNTIF('6.6 - Lists and lookups'!$D$9:$L$72,C278)=1,"IN LIST","CHECK")</f>
        <v>IN LIST</v>
      </c>
    </row>
    <row r="279" spans="1:10" x14ac:dyDescent="0.35">
      <c r="A279" s="153"/>
      <c r="B279" s="352" t="s">
        <v>1106</v>
      </c>
      <c r="C279" s="352" t="s">
        <v>1107</v>
      </c>
      <c r="D279" s="366">
        <v>62</v>
      </c>
      <c r="E279" s="367">
        <v>3.3999999999999998E-3</v>
      </c>
      <c r="F279" s="368">
        <v>26</v>
      </c>
      <c r="G279" s="367">
        <v>1E-3</v>
      </c>
      <c r="H279" s="369">
        <v>1327</v>
      </c>
      <c r="I279" s="370">
        <v>1.2999999999999999E-3</v>
      </c>
      <c r="J279" s="353" t="str">
        <f>IF(COUNTIF('6.6 - Lists and lookups'!$D$9:$L$72,C279)=1,"IN LIST","CHECK")</f>
        <v>IN LIST</v>
      </c>
    </row>
    <row r="280" spans="1:10" x14ac:dyDescent="0.35">
      <c r="A280" s="153"/>
      <c r="B280" s="352" t="s">
        <v>1108</v>
      </c>
      <c r="C280" s="352" t="s">
        <v>1109</v>
      </c>
      <c r="D280" s="366">
        <v>101</v>
      </c>
      <c r="E280" s="367">
        <v>5.5999999999999999E-3</v>
      </c>
      <c r="F280" s="368">
        <v>151</v>
      </c>
      <c r="G280" s="367">
        <v>5.8999999999999999E-3</v>
      </c>
      <c r="H280" s="369">
        <v>4740</v>
      </c>
      <c r="I280" s="370">
        <v>4.4999999999999997E-3</v>
      </c>
      <c r="J280" s="353" t="str">
        <f>IF(COUNTIF('6.6 - Lists and lookups'!$D$9:$L$72,C280)=1,"IN LIST","CHECK")</f>
        <v>IN LIST</v>
      </c>
    </row>
    <row r="281" spans="1:10" x14ac:dyDescent="0.35">
      <c r="A281" s="153"/>
      <c r="B281" s="352" t="s">
        <v>1110</v>
      </c>
      <c r="C281" s="352" t="s">
        <v>1111</v>
      </c>
      <c r="D281" s="366">
        <v>346</v>
      </c>
      <c r="E281" s="367">
        <v>1.9199999999999998E-2</v>
      </c>
      <c r="F281" s="368">
        <v>769</v>
      </c>
      <c r="G281" s="367">
        <v>3.0300000000000001E-2</v>
      </c>
      <c r="H281" s="369">
        <v>28843</v>
      </c>
      <c r="I281" s="370">
        <v>2.7699999999999999E-2</v>
      </c>
      <c r="J281" s="353" t="str">
        <f>IF(COUNTIF('6.6 - Lists and lookups'!$D$9:$L$72,C281)=1,"IN LIST","CHECK")</f>
        <v>IN LIST</v>
      </c>
    </row>
    <row r="282" spans="1:10" x14ac:dyDescent="0.35">
      <c r="A282" s="153"/>
      <c r="B282" s="352" t="s">
        <v>1112</v>
      </c>
      <c r="C282" s="352" t="s">
        <v>1113</v>
      </c>
      <c r="D282" s="366">
        <v>157</v>
      </c>
      <c r="E282" s="367">
        <v>8.6999999999999994E-3</v>
      </c>
      <c r="F282" s="368">
        <v>255</v>
      </c>
      <c r="G282" s="367">
        <v>1.01E-2</v>
      </c>
      <c r="H282" s="369">
        <v>9478</v>
      </c>
      <c r="I282" s="370">
        <v>9.1000000000000004E-3</v>
      </c>
      <c r="J282" s="353" t="str">
        <f>IF(COUNTIF('6.6 - Lists and lookups'!$D$9:$L$72,C282)=1,"IN LIST","CHECK")</f>
        <v>IN LIST</v>
      </c>
    </row>
    <row r="283" spans="1:10" x14ac:dyDescent="0.35">
      <c r="A283" s="153"/>
      <c r="B283" s="352" t="s">
        <v>1114</v>
      </c>
      <c r="C283" s="352" t="s">
        <v>1115</v>
      </c>
      <c r="D283" s="366">
        <v>105</v>
      </c>
      <c r="E283" s="367">
        <v>5.7999999999999996E-3</v>
      </c>
      <c r="F283" s="368">
        <v>222</v>
      </c>
      <c r="G283" s="367">
        <v>8.6999999999999994E-3</v>
      </c>
      <c r="H283" s="369">
        <v>5297</v>
      </c>
      <c r="I283" s="370">
        <v>5.1000000000000004E-3</v>
      </c>
      <c r="J283" s="353" t="str">
        <f>IF(COUNTIF('6.6 - Lists and lookups'!$D$9:$L$72,C283)=1,"IN LIST","CHECK")</f>
        <v>IN LIST</v>
      </c>
    </row>
    <row r="284" spans="1:10" x14ac:dyDescent="0.35">
      <c r="A284" s="153"/>
      <c r="B284" s="352" t="s">
        <v>1116</v>
      </c>
      <c r="C284" s="352" t="s">
        <v>1117</v>
      </c>
      <c r="D284" s="366">
        <v>1</v>
      </c>
      <c r="E284" s="367">
        <v>1E-4</v>
      </c>
      <c r="F284" s="368">
        <v>0.01</v>
      </c>
      <c r="G284" s="367">
        <v>0</v>
      </c>
      <c r="H284" s="368">
        <v>5</v>
      </c>
      <c r="I284" s="370">
        <v>0</v>
      </c>
      <c r="J284" s="353" t="str">
        <f>IF(COUNTIF('6.6 - Lists and lookups'!$D$9:$L$72,C284)=1,"IN LIST","CHECK")</f>
        <v>IN LIST</v>
      </c>
    </row>
    <row r="285" spans="1:10" x14ac:dyDescent="0.35">
      <c r="A285" s="153"/>
      <c r="B285" s="352" t="s">
        <v>1118</v>
      </c>
      <c r="C285" s="352" t="s">
        <v>1119</v>
      </c>
      <c r="D285" s="366">
        <v>63</v>
      </c>
      <c r="E285" s="367">
        <v>3.5000000000000001E-3</v>
      </c>
      <c r="F285" s="368">
        <v>283</v>
      </c>
      <c r="G285" s="367">
        <v>1.11E-2</v>
      </c>
      <c r="H285" s="369">
        <v>23739</v>
      </c>
      <c r="I285" s="370">
        <v>2.2800000000000001E-2</v>
      </c>
      <c r="J285" s="353" t="str">
        <f>IF(COUNTIF('6.6 - Lists and lookups'!$D$9:$L$72,C285)=1,"IN LIST","CHECK")</f>
        <v>IN LIST</v>
      </c>
    </row>
    <row r="286" spans="1:10" x14ac:dyDescent="0.35">
      <c r="A286" s="153"/>
      <c r="B286" s="352" t="s">
        <v>1120</v>
      </c>
      <c r="C286" s="352" t="s">
        <v>1121</v>
      </c>
      <c r="D286" s="366">
        <v>82</v>
      </c>
      <c r="E286" s="367">
        <v>4.5999999999999999E-3</v>
      </c>
      <c r="F286" s="368">
        <v>242</v>
      </c>
      <c r="G286" s="367">
        <v>9.4999999999999998E-3</v>
      </c>
      <c r="H286" s="369">
        <v>18586</v>
      </c>
      <c r="I286" s="370">
        <v>1.78E-2</v>
      </c>
      <c r="J286" s="353" t="str">
        <f>IF(COUNTIF('6.6 - Lists and lookups'!$D$9:$L$72,C286)=1,"IN LIST","CHECK")</f>
        <v>IN LIST</v>
      </c>
    </row>
    <row r="287" spans="1:10" x14ac:dyDescent="0.35">
      <c r="A287" s="153"/>
      <c r="B287" s="352" t="s">
        <v>1122</v>
      </c>
      <c r="C287" s="352" t="s">
        <v>1123</v>
      </c>
      <c r="D287" s="366">
        <v>47</v>
      </c>
      <c r="E287" s="367">
        <v>2.5999999999999999E-3</v>
      </c>
      <c r="F287" s="368">
        <v>16</v>
      </c>
      <c r="G287" s="367">
        <v>5.9999999999999995E-4</v>
      </c>
      <c r="H287" s="369">
        <v>1914</v>
      </c>
      <c r="I287" s="370">
        <v>1.8E-3</v>
      </c>
      <c r="J287" s="353" t="str">
        <f>IF(COUNTIF('6.6 - Lists and lookups'!$D$9:$L$72,C287)=1,"IN LIST","CHECK")</f>
        <v>IN LIST</v>
      </c>
    </row>
    <row r="288" spans="1:10" ht="26" x14ac:dyDescent="0.35">
      <c r="A288" s="153"/>
      <c r="B288" s="352" t="s">
        <v>1124</v>
      </c>
      <c r="C288" s="352" t="s">
        <v>1125</v>
      </c>
      <c r="D288" s="366">
        <v>246</v>
      </c>
      <c r="E288" s="367" t="s">
        <v>677</v>
      </c>
      <c r="F288" s="368">
        <v>235</v>
      </c>
      <c r="G288" s="367" t="s">
        <v>677</v>
      </c>
      <c r="H288" s="367" t="s">
        <v>677</v>
      </c>
      <c r="I288" s="367" t="s">
        <v>677</v>
      </c>
      <c r="J288" s="353" t="str">
        <f>IF(COUNTIF('6.6 - Lists and lookups'!$D$9:$L$72,C288)=1,"IN LIST","CHECK")</f>
        <v>IN LIST</v>
      </c>
    </row>
    <row r="289" spans="1:10" x14ac:dyDescent="0.35">
      <c r="A289" s="153"/>
      <c r="B289" s="352" t="s">
        <v>1126</v>
      </c>
      <c r="C289" s="352" t="s">
        <v>1127</v>
      </c>
      <c r="D289" s="366">
        <v>59</v>
      </c>
      <c r="E289" s="367">
        <v>3.3E-3</v>
      </c>
      <c r="F289" s="368">
        <v>45</v>
      </c>
      <c r="G289" s="367">
        <v>1.8E-3</v>
      </c>
      <c r="H289" s="369">
        <v>3084</v>
      </c>
      <c r="I289" s="370">
        <v>3.0000000000000001E-3</v>
      </c>
      <c r="J289" s="353" t="str">
        <f>IF(COUNTIF('6.6 - Lists and lookups'!$D$9:$L$72,C289)=1,"IN LIST","CHECK")</f>
        <v>IN LIST</v>
      </c>
    </row>
    <row r="290" spans="1:10" x14ac:dyDescent="0.35">
      <c r="A290" s="153"/>
      <c r="B290" s="352" t="s">
        <v>1128</v>
      </c>
      <c r="C290" s="352" t="s">
        <v>1129</v>
      </c>
      <c r="D290" s="366">
        <v>93</v>
      </c>
      <c r="E290" s="367">
        <v>5.1999999999999998E-3</v>
      </c>
      <c r="F290" s="368">
        <v>43</v>
      </c>
      <c r="G290" s="367">
        <v>1.6999999999999999E-3</v>
      </c>
      <c r="H290" s="369">
        <v>6226</v>
      </c>
      <c r="I290" s="370">
        <v>6.0000000000000001E-3</v>
      </c>
      <c r="J290" s="353" t="str">
        <f>IF(COUNTIF('6.6 - Lists and lookups'!$D$9:$L$72,C290)=1,"IN LIST","CHECK")</f>
        <v>IN LIST</v>
      </c>
    </row>
    <row r="291" spans="1:10" x14ac:dyDescent="0.35">
      <c r="A291" s="153"/>
      <c r="B291" s="352" t="s">
        <v>1130</v>
      </c>
      <c r="C291" s="352" t="s">
        <v>1131</v>
      </c>
      <c r="D291" s="366">
        <v>235</v>
      </c>
      <c r="E291" s="367">
        <v>1.3100000000000001E-2</v>
      </c>
      <c r="F291" s="368">
        <v>105</v>
      </c>
      <c r="G291" s="367">
        <v>4.1000000000000003E-3</v>
      </c>
      <c r="H291" s="369">
        <v>9894</v>
      </c>
      <c r="I291" s="370">
        <v>9.4999999999999998E-3</v>
      </c>
      <c r="J291" s="353" t="str">
        <f>IF(COUNTIF('6.6 - Lists and lookups'!$D$9:$L$72,C291)=1,"IN LIST","CHECK")</f>
        <v>IN LIST</v>
      </c>
    </row>
    <row r="292" spans="1:10" x14ac:dyDescent="0.35">
      <c r="A292" s="153"/>
      <c r="B292" s="352" t="s">
        <v>1132</v>
      </c>
      <c r="C292" s="352" t="s">
        <v>1133</v>
      </c>
      <c r="D292" s="366">
        <v>70</v>
      </c>
      <c r="E292" s="367">
        <v>3.8999999999999998E-3</v>
      </c>
      <c r="F292" s="368">
        <v>112</v>
      </c>
      <c r="G292" s="367">
        <v>4.4000000000000003E-3</v>
      </c>
      <c r="H292" s="369">
        <v>7026</v>
      </c>
      <c r="I292" s="370">
        <v>6.7000000000000002E-3</v>
      </c>
      <c r="J292" s="353" t="str">
        <f>IF(COUNTIF('6.6 - Lists and lookups'!$D$9:$L$72,C292)=1,"IN LIST","CHECK")</f>
        <v>IN LIST</v>
      </c>
    </row>
    <row r="293" spans="1:10" x14ac:dyDescent="0.35">
      <c r="A293" s="153"/>
      <c r="B293" s="352" t="s">
        <v>1134</v>
      </c>
      <c r="C293" s="352" t="s">
        <v>1135</v>
      </c>
      <c r="D293" s="366">
        <v>27</v>
      </c>
      <c r="E293" s="367">
        <v>1.5E-3</v>
      </c>
      <c r="F293" s="368">
        <v>50</v>
      </c>
      <c r="G293" s="367">
        <v>2E-3</v>
      </c>
      <c r="H293" s="369">
        <v>2170</v>
      </c>
      <c r="I293" s="370">
        <v>2.0999999999999999E-3</v>
      </c>
      <c r="J293" s="353" t="str">
        <f>IF(COUNTIF('6.6 - Lists and lookups'!$D$9:$L$72,C293)=1,"IN LIST","CHECK")</f>
        <v>IN LIST</v>
      </c>
    </row>
    <row r="294" spans="1:10" x14ac:dyDescent="0.35">
      <c r="A294" s="153"/>
      <c r="B294" s="352" t="s">
        <v>1136</v>
      </c>
      <c r="C294" s="352" t="s">
        <v>1137</v>
      </c>
      <c r="D294" s="366">
        <v>95</v>
      </c>
      <c r="E294" s="367">
        <v>5.3E-3</v>
      </c>
      <c r="F294" s="368">
        <v>135</v>
      </c>
      <c r="G294" s="367">
        <v>5.3E-3</v>
      </c>
      <c r="H294" s="369">
        <v>23157</v>
      </c>
      <c r="I294" s="370">
        <v>2.2200000000000001E-2</v>
      </c>
      <c r="J294" s="353" t="str">
        <f>IF(COUNTIF('6.6 - Lists and lookups'!$D$9:$L$72,C294)=1,"IN LIST","CHECK")</f>
        <v>IN LIST</v>
      </c>
    </row>
    <row r="295" spans="1:10" x14ac:dyDescent="0.35">
      <c r="A295" s="153"/>
      <c r="B295" s="352" t="s">
        <v>1138</v>
      </c>
      <c r="C295" s="352" t="s">
        <v>1139</v>
      </c>
      <c r="D295" s="366">
        <v>23</v>
      </c>
      <c r="E295" s="367">
        <v>1.2999999999999999E-3</v>
      </c>
      <c r="F295" s="368">
        <v>5</v>
      </c>
      <c r="G295" s="367">
        <v>2.0000000000000001E-4</v>
      </c>
      <c r="H295" s="369">
        <v>3374</v>
      </c>
      <c r="I295" s="370">
        <v>3.2000000000000002E-3</v>
      </c>
      <c r="J295" s="353" t="str">
        <f>IF(COUNTIF('6.6 - Lists and lookups'!$D$9:$L$72,C295)=1,"IN LIST","CHECK")</f>
        <v>IN LIST</v>
      </c>
    </row>
    <row r="296" spans="1:10" ht="26" x14ac:dyDescent="0.35">
      <c r="A296" s="153"/>
      <c r="B296" s="352" t="s">
        <v>1140</v>
      </c>
      <c r="C296" s="352" t="s">
        <v>1141</v>
      </c>
      <c r="D296" s="366">
        <v>14</v>
      </c>
      <c r="E296" s="367">
        <v>8.0000000000000004E-4</v>
      </c>
      <c r="F296" s="368">
        <v>9</v>
      </c>
      <c r="G296" s="367">
        <v>4.0000000000000002E-4</v>
      </c>
      <c r="H296" s="369">
        <v>2554</v>
      </c>
      <c r="I296" s="370">
        <v>2.5000000000000001E-3</v>
      </c>
      <c r="J296" s="353" t="str">
        <f>IF(COUNTIF('6.6 - Lists and lookups'!$D$9:$L$72,C296)=1,"IN LIST","CHECK")</f>
        <v>IN LIST</v>
      </c>
    </row>
    <row r="297" spans="1:10" x14ac:dyDescent="0.35">
      <c r="A297" s="153"/>
      <c r="B297" s="352" t="s">
        <v>1142</v>
      </c>
      <c r="C297" s="352" t="s">
        <v>1143</v>
      </c>
      <c r="D297" s="366">
        <v>176</v>
      </c>
      <c r="E297" s="367">
        <v>9.7999999999999997E-3</v>
      </c>
      <c r="F297" s="368">
        <v>156</v>
      </c>
      <c r="G297" s="367">
        <v>6.1999999999999998E-3</v>
      </c>
      <c r="H297" s="369">
        <v>18615</v>
      </c>
      <c r="I297" s="370">
        <v>1.7899999999999999E-2</v>
      </c>
      <c r="J297" s="353" t="str">
        <f>IF(COUNTIF('6.6 - Lists and lookups'!$D$9:$L$72,C297)=1,"IN LIST","CHECK")</f>
        <v>IN LIST</v>
      </c>
    </row>
    <row r="298" spans="1:10" x14ac:dyDescent="0.35">
      <c r="A298" s="153"/>
      <c r="B298" s="352" t="s">
        <v>1144</v>
      </c>
      <c r="C298" s="352" t="s">
        <v>1145</v>
      </c>
      <c r="D298" s="366">
        <v>94</v>
      </c>
      <c r="E298" s="367">
        <v>5.1999999999999998E-3</v>
      </c>
      <c r="F298" s="368">
        <v>101</v>
      </c>
      <c r="G298" s="367">
        <v>4.0000000000000001E-3</v>
      </c>
      <c r="H298" s="369">
        <v>7475</v>
      </c>
      <c r="I298" s="370">
        <v>7.1999999999999998E-3</v>
      </c>
      <c r="J298" s="353" t="str">
        <f>IF(COUNTIF('6.6 - Lists and lookups'!$D$9:$L$72,C298)=1,"IN LIST","CHECK")</f>
        <v>IN LIST</v>
      </c>
    </row>
    <row r="299" spans="1:10" x14ac:dyDescent="0.35">
      <c r="A299" s="153"/>
      <c r="B299" s="352" t="s">
        <v>1146</v>
      </c>
      <c r="C299" s="352" t="s">
        <v>1147</v>
      </c>
      <c r="D299" s="366">
        <v>77</v>
      </c>
      <c r="E299" s="367">
        <v>4.3E-3</v>
      </c>
      <c r="F299" s="368">
        <v>100</v>
      </c>
      <c r="G299" s="367">
        <v>4.0000000000000001E-3</v>
      </c>
      <c r="H299" s="369">
        <v>12376</v>
      </c>
      <c r="I299" s="370">
        <v>1.1900000000000001E-2</v>
      </c>
      <c r="J299" s="353" t="str">
        <f>IF(COUNTIF('6.6 - Lists and lookups'!$D$9:$L$72,C299)=1,"IN LIST","CHECK")</f>
        <v>IN LIST</v>
      </c>
    </row>
    <row r="300" spans="1:10" x14ac:dyDescent="0.35">
      <c r="A300" s="153"/>
      <c r="B300" s="352" t="s">
        <v>1148</v>
      </c>
      <c r="C300" s="352" t="s">
        <v>1149</v>
      </c>
      <c r="D300" s="366">
        <v>83</v>
      </c>
      <c r="E300" s="367">
        <v>4.5999999999999999E-3</v>
      </c>
      <c r="F300" s="368">
        <v>125</v>
      </c>
      <c r="G300" s="367">
        <v>4.8999999999999998E-3</v>
      </c>
      <c r="H300" s="369">
        <v>6544</v>
      </c>
      <c r="I300" s="370">
        <v>6.3E-3</v>
      </c>
      <c r="J300" s="353" t="str">
        <f>IF(COUNTIF('6.6 - Lists and lookups'!$D$9:$L$72,C300)=1,"IN LIST","CHECK")</f>
        <v>IN LIST</v>
      </c>
    </row>
    <row r="301" spans="1:10" x14ac:dyDescent="0.35">
      <c r="A301" s="153"/>
      <c r="B301" s="352" t="s">
        <v>1150</v>
      </c>
      <c r="C301" s="352" t="s">
        <v>1151</v>
      </c>
      <c r="D301" s="366">
        <v>9</v>
      </c>
      <c r="E301" s="367">
        <v>5.0000000000000001E-4</v>
      </c>
      <c r="F301" s="368">
        <v>11</v>
      </c>
      <c r="G301" s="367">
        <v>4.0000000000000002E-4</v>
      </c>
      <c r="H301" s="369">
        <v>1171</v>
      </c>
      <c r="I301" s="370">
        <v>1.1000000000000001E-3</v>
      </c>
      <c r="J301" s="353" t="str">
        <f>IF(COUNTIF('6.6 - Lists and lookups'!$D$9:$L$72,C301)=1,"IN LIST","CHECK")</f>
        <v>IN LIST</v>
      </c>
    </row>
    <row r="302" spans="1:10" x14ac:dyDescent="0.35">
      <c r="A302" s="153"/>
      <c r="B302" s="352" t="s">
        <v>1152</v>
      </c>
      <c r="C302" s="352" t="s">
        <v>1153</v>
      </c>
      <c r="D302" s="366">
        <v>82</v>
      </c>
      <c r="E302" s="367">
        <v>4.5999999999999999E-3</v>
      </c>
      <c r="F302" s="368">
        <v>58</v>
      </c>
      <c r="G302" s="367">
        <v>2.3E-3</v>
      </c>
      <c r="H302" s="369">
        <v>6260</v>
      </c>
      <c r="I302" s="370">
        <v>6.0000000000000001E-3</v>
      </c>
      <c r="J302" s="353" t="str">
        <f>IF(COUNTIF('6.6 - Lists and lookups'!$D$9:$L$72,C302)=1,"IN LIST","CHECK")</f>
        <v>IN LIST</v>
      </c>
    </row>
    <row r="303" spans="1:10" ht="26" x14ac:dyDescent="0.35">
      <c r="A303" s="153"/>
      <c r="B303" s="352" t="s">
        <v>1154</v>
      </c>
      <c r="C303" s="352" t="s">
        <v>1155</v>
      </c>
      <c r="D303" s="366">
        <v>50</v>
      </c>
      <c r="E303" s="367">
        <v>2.8E-3</v>
      </c>
      <c r="F303" s="368">
        <v>38</v>
      </c>
      <c r="G303" s="367">
        <v>1.5E-3</v>
      </c>
      <c r="H303" s="369">
        <v>7132</v>
      </c>
      <c r="I303" s="370">
        <v>6.7999999999999996E-3</v>
      </c>
      <c r="J303" s="353" t="str">
        <f>IF(COUNTIF('6.6 - Lists and lookups'!$D$9:$L$72,C303)=1,"IN LIST","CHECK")</f>
        <v>IN LIST</v>
      </c>
    </row>
    <row r="304" spans="1:10" x14ac:dyDescent="0.35">
      <c r="A304" s="153"/>
      <c r="B304" s="352" t="s">
        <v>1156</v>
      </c>
      <c r="C304" s="352" t="s">
        <v>1157</v>
      </c>
      <c r="D304" s="366">
        <v>81</v>
      </c>
      <c r="E304" s="367">
        <v>4.4999999999999997E-3</v>
      </c>
      <c r="F304" s="368">
        <v>41</v>
      </c>
      <c r="G304" s="367">
        <v>1.6000000000000001E-3</v>
      </c>
      <c r="H304" s="369">
        <v>5749</v>
      </c>
      <c r="I304" s="370">
        <v>5.4999999999999997E-3</v>
      </c>
      <c r="J304" s="353" t="str">
        <f>IF(COUNTIF('6.6 - Lists and lookups'!$D$9:$L$72,C304)=1,"IN LIST","CHECK")</f>
        <v>IN LIST</v>
      </c>
    </row>
    <row r="305" spans="1:10" x14ac:dyDescent="0.35">
      <c r="A305" s="153"/>
      <c r="B305" s="352" t="s">
        <v>1158</v>
      </c>
      <c r="C305" s="352" t="s">
        <v>1159</v>
      </c>
      <c r="D305" s="366">
        <v>36</v>
      </c>
      <c r="E305" s="367">
        <v>2E-3</v>
      </c>
      <c r="F305" s="368">
        <v>32</v>
      </c>
      <c r="G305" s="367">
        <v>1.2999999999999999E-3</v>
      </c>
      <c r="H305" s="369">
        <v>3976</v>
      </c>
      <c r="I305" s="370">
        <v>3.8E-3</v>
      </c>
      <c r="J305" s="353" t="str">
        <f>IF(COUNTIF('6.6 - Lists and lookups'!$D$9:$L$72,C305)=1,"IN LIST","CHECK")</f>
        <v>IN LIST</v>
      </c>
    </row>
    <row r="306" spans="1:10" x14ac:dyDescent="0.35">
      <c r="A306" s="153"/>
      <c r="B306" s="352" t="s">
        <v>1160</v>
      </c>
      <c r="C306" s="352" t="s">
        <v>1161</v>
      </c>
      <c r="D306" s="366">
        <v>128</v>
      </c>
      <c r="E306" s="367">
        <v>7.1000000000000004E-3</v>
      </c>
      <c r="F306" s="368">
        <v>96</v>
      </c>
      <c r="G306" s="367">
        <v>3.8E-3</v>
      </c>
      <c r="H306" s="369">
        <v>16425</v>
      </c>
      <c r="I306" s="370">
        <v>1.5800000000000002E-2</v>
      </c>
      <c r="J306" s="353" t="str">
        <f>IF(COUNTIF('6.6 - Lists and lookups'!$D$9:$L$72,C306)=1,"IN LIST","CHECK")</f>
        <v>IN LIST</v>
      </c>
    </row>
    <row r="307" spans="1:10" x14ac:dyDescent="0.35">
      <c r="A307" s="153"/>
      <c r="B307" s="352" t="s">
        <v>1162</v>
      </c>
      <c r="C307" s="352" t="s">
        <v>1163</v>
      </c>
      <c r="D307" s="366">
        <v>76</v>
      </c>
      <c r="E307" s="367">
        <v>4.1999999999999997E-3</v>
      </c>
      <c r="F307" s="368">
        <v>30</v>
      </c>
      <c r="G307" s="367">
        <v>1.1999999999999999E-3</v>
      </c>
      <c r="H307" s="369">
        <v>1061</v>
      </c>
      <c r="I307" s="370">
        <v>1E-3</v>
      </c>
      <c r="J307" s="353" t="str">
        <f>IF(COUNTIF('6.6 - Lists and lookups'!$D$9:$L$72,C307)=1,"IN LIST","CHECK")</f>
        <v>IN LIST</v>
      </c>
    </row>
    <row r="308" spans="1:10" x14ac:dyDescent="0.35">
      <c r="A308" s="153"/>
      <c r="B308" s="352" t="s">
        <v>1164</v>
      </c>
      <c r="C308" s="352" t="s">
        <v>1165</v>
      </c>
      <c r="D308" s="366">
        <v>68</v>
      </c>
      <c r="E308" s="367">
        <v>3.8E-3</v>
      </c>
      <c r="F308" s="368">
        <v>9</v>
      </c>
      <c r="G308" s="367">
        <v>4.0000000000000002E-4</v>
      </c>
      <c r="H308" s="369">
        <v>1255</v>
      </c>
      <c r="I308" s="370">
        <v>1.1999999999999999E-3</v>
      </c>
      <c r="J308" s="353" t="str">
        <f>IF(COUNTIF('6.6 - Lists and lookups'!$D$9:$L$72,C308)=1,"IN LIST","CHECK")</f>
        <v>IN LIST</v>
      </c>
    </row>
    <row r="309" spans="1:10" x14ac:dyDescent="0.35">
      <c r="A309" s="153"/>
      <c r="B309" s="352" t="s">
        <v>1166</v>
      </c>
      <c r="C309" s="352" t="s">
        <v>1167</v>
      </c>
      <c r="D309" s="366">
        <v>186</v>
      </c>
      <c r="E309" s="367">
        <v>1.03E-2</v>
      </c>
      <c r="F309" s="368">
        <v>128</v>
      </c>
      <c r="G309" s="367">
        <v>5.0000000000000001E-3</v>
      </c>
      <c r="H309" s="369">
        <v>12578</v>
      </c>
      <c r="I309" s="370">
        <v>1.21E-2</v>
      </c>
      <c r="J309" s="353" t="str">
        <f>IF(COUNTIF('6.6 - Lists and lookups'!$D$9:$L$72,C309)=1,"IN LIST","CHECK")</f>
        <v>IN LIST</v>
      </c>
    </row>
    <row r="310" spans="1:10" ht="26" x14ac:dyDescent="0.35">
      <c r="A310" s="153"/>
      <c r="B310" s="352" t="s">
        <v>1168</v>
      </c>
      <c r="C310" s="352" t="s">
        <v>1169</v>
      </c>
      <c r="D310" s="366">
        <v>48</v>
      </c>
      <c r="E310" s="367">
        <v>2.7000000000000001E-3</v>
      </c>
      <c r="F310" s="368">
        <v>76</v>
      </c>
      <c r="G310" s="367">
        <v>3.0000000000000001E-3</v>
      </c>
      <c r="H310" s="369">
        <v>1921</v>
      </c>
      <c r="I310" s="370">
        <v>1.8E-3</v>
      </c>
      <c r="J310" s="353" t="str">
        <f>IF(COUNTIF('6.6 - Lists and lookups'!$D$9:$L$72,C310)=1,"IN LIST","CHECK")</f>
        <v>IN LIST</v>
      </c>
    </row>
    <row r="311" spans="1:10" x14ac:dyDescent="0.35">
      <c r="A311" s="153"/>
      <c r="B311" s="352" t="s">
        <v>1170</v>
      </c>
      <c r="C311" s="352" t="s">
        <v>1171</v>
      </c>
      <c r="D311" s="366">
        <v>333</v>
      </c>
      <c r="E311" s="367">
        <v>1.8499999999999999E-2</v>
      </c>
      <c r="F311" s="368">
        <v>65</v>
      </c>
      <c r="G311" s="367">
        <v>2.5999999999999999E-3</v>
      </c>
      <c r="H311" s="369">
        <v>9493</v>
      </c>
      <c r="I311" s="370">
        <v>9.1000000000000004E-3</v>
      </c>
      <c r="J311" s="353" t="str">
        <f>IF(COUNTIF('6.6 - Lists and lookups'!$D$9:$L$72,C311)=1,"IN LIST","CHECK")</f>
        <v>IN LIST</v>
      </c>
    </row>
    <row r="312" spans="1:10" x14ac:dyDescent="0.35">
      <c r="A312" s="153"/>
      <c r="B312" s="352" t="s">
        <v>1172</v>
      </c>
      <c r="C312" s="352" t="s">
        <v>1173</v>
      </c>
      <c r="D312" s="366">
        <v>103</v>
      </c>
      <c r="E312" s="367">
        <v>5.7000000000000002E-3</v>
      </c>
      <c r="F312" s="368">
        <v>48</v>
      </c>
      <c r="G312" s="367">
        <v>1.9E-3</v>
      </c>
      <c r="H312" s="369">
        <v>3265</v>
      </c>
      <c r="I312" s="370">
        <v>3.0999999999999999E-3</v>
      </c>
      <c r="J312" s="353" t="str">
        <f>IF(COUNTIF('6.6 - Lists and lookups'!$D$9:$L$72,C312)=1,"IN LIST","CHECK")</f>
        <v>IN LIST</v>
      </c>
    </row>
    <row r="313" spans="1:10" x14ac:dyDescent="0.35">
      <c r="A313" s="153"/>
      <c r="B313" s="352" t="s">
        <v>1174</v>
      </c>
      <c r="C313" s="352" t="s">
        <v>1175</v>
      </c>
      <c r="D313" s="366">
        <v>26</v>
      </c>
      <c r="E313" s="367">
        <v>1.4E-3</v>
      </c>
      <c r="F313" s="368">
        <v>96</v>
      </c>
      <c r="G313" s="367">
        <v>3.8E-3</v>
      </c>
      <c r="H313" s="368">
        <v>130</v>
      </c>
      <c r="I313" s="370">
        <v>1E-4</v>
      </c>
      <c r="J313" s="353" t="str">
        <f>IF(COUNTIF('6.6 - Lists and lookups'!$D$9:$L$72,C313)=1,"IN LIST","CHECK")</f>
        <v>IN LIST</v>
      </c>
    </row>
    <row r="314" spans="1:10" x14ac:dyDescent="0.35">
      <c r="A314" s="153"/>
      <c r="B314" s="352" t="s">
        <v>1176</v>
      </c>
      <c r="C314" s="352" t="s">
        <v>1177</v>
      </c>
      <c r="D314" s="366">
        <v>38</v>
      </c>
      <c r="E314" s="367">
        <v>2.0999999999999999E-3</v>
      </c>
      <c r="F314" s="368">
        <v>20</v>
      </c>
      <c r="G314" s="367">
        <v>8.0000000000000004E-4</v>
      </c>
      <c r="H314" s="369">
        <v>3441</v>
      </c>
      <c r="I314" s="370">
        <v>3.3E-3</v>
      </c>
      <c r="J314" s="353" t="str">
        <f>IF(COUNTIF('6.6 - Lists and lookups'!$D$9:$L$72,C314)=1,"IN LIST","CHECK")</f>
        <v>IN LIST</v>
      </c>
    </row>
    <row r="315" spans="1:10" x14ac:dyDescent="0.35">
      <c r="A315" s="153"/>
      <c r="B315" s="352" t="s">
        <v>1178</v>
      </c>
      <c r="C315" s="352" t="s">
        <v>1179</v>
      </c>
      <c r="D315" s="366">
        <v>175</v>
      </c>
      <c r="E315" s="367">
        <v>9.7000000000000003E-3</v>
      </c>
      <c r="F315" s="368">
        <v>194</v>
      </c>
      <c r="G315" s="367">
        <v>7.6E-3</v>
      </c>
      <c r="H315" s="369">
        <v>24706</v>
      </c>
      <c r="I315" s="370">
        <v>2.3699999999999999E-2</v>
      </c>
      <c r="J315" s="353" t="str">
        <f>IF(COUNTIF('6.6 - Lists and lookups'!$D$9:$L$72,C315)=1,"IN LIST","CHECK")</f>
        <v>IN LIST</v>
      </c>
    </row>
    <row r="316" spans="1:10" ht="15" thickBot="1" x14ac:dyDescent="0.4">
      <c r="A316" s="153"/>
      <c r="B316" s="354" t="s">
        <v>1180</v>
      </c>
      <c r="C316" s="354" t="s">
        <v>1181</v>
      </c>
      <c r="D316" s="371">
        <v>100</v>
      </c>
      <c r="E316" s="372">
        <v>5.5999999999999999E-3</v>
      </c>
      <c r="F316" s="373">
        <v>34</v>
      </c>
      <c r="G316" s="372">
        <v>1.4E-3</v>
      </c>
      <c r="H316" s="374">
        <v>6029</v>
      </c>
      <c r="I316" s="375">
        <v>5.7999999999999996E-3</v>
      </c>
      <c r="J316" s="355" t="str">
        <f>IF(COUNTIF('6.6 - Lists and lookups'!$D$9:$L$72,C316)=1,"IN LIST","CHECK")</f>
        <v>IN LIST</v>
      </c>
    </row>
  </sheetData>
  <sheetProtection algorithmName="SHA-512" hashValue="A3tndr4OAr0sWoQxz9GbgjIihni9O5LK2wjkyAK/szfRbhWkVog5x6R5qQUpZg8JQ5wRGxOqUB+xM2BFj6ikUg==" saltValue="fWPk4Sb1YtcM6XYtTVs8rQ==" spinCount="100000" sheet="1" formatRows="0"/>
  <mergeCells count="2">
    <mergeCell ref="H2:J2"/>
    <mergeCell ref="B5:K5"/>
  </mergeCells>
  <hyperlinks>
    <hyperlink ref="H2" location="Welcome!A1" display="CLICK to return to Welcome screen" xr:uid="{676802DB-F46D-46A3-99FB-17CF3701B20E}"/>
  </hyperlinks>
  <pageMargins left="0.7" right="0.7" top="0.75" bottom="0.75" header="0.3" footer="0.3"/>
  <pageSetup paperSize="9" orientation="portrait" horizontalDpi="4294967295" verticalDpi="4294967295" r:id="rId1"/>
  <headerFooter>
    <oddFooter xml:space="preserve">&amp;C_x000D_&amp;1#&amp;"Calibri"&amp;12&amp;K0078D7 OFFICIAL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A6C7-721E-49F5-97BC-54CDCDBACC6E}">
  <sheetPr codeName="Sheet18">
    <tabColor theme="9"/>
  </sheetPr>
  <dimension ref="A1:K323"/>
  <sheetViews>
    <sheetView showGridLines="0" workbookViewId="0"/>
  </sheetViews>
  <sheetFormatPr defaultColWidth="9.1796875" defaultRowHeight="14.5" x14ac:dyDescent="0.35"/>
  <cols>
    <col min="1" max="1" width="1.453125" customWidth="1"/>
    <col min="2" max="2" width="27.81640625" customWidth="1"/>
    <col min="3" max="3" width="22.81640625" style="376" customWidth="1"/>
    <col min="4" max="4" width="25.7265625" customWidth="1"/>
    <col min="5" max="5" width="22.81640625" customWidth="1"/>
    <col min="6" max="6" width="27.81640625" customWidth="1"/>
    <col min="7" max="7" width="35" customWidth="1"/>
    <col min="8" max="9" width="27.81640625" customWidth="1"/>
    <col min="10" max="10" width="18.7265625" customWidth="1"/>
    <col min="11" max="11" width="11.1796875" customWidth="1"/>
    <col min="16384" max="16384" width="16.1796875" customWidth="1"/>
  </cols>
  <sheetData>
    <row r="1" spans="1:11" ht="2.5" customHeight="1" x14ac:dyDescent="0.35"/>
    <row r="2" spans="1:11" s="106" customFormat="1" ht="18.5" x14ac:dyDescent="0.45">
      <c r="A2" s="288"/>
      <c r="B2" s="289" t="s">
        <v>362</v>
      </c>
      <c r="C2" s="289"/>
      <c r="D2" s="288"/>
      <c r="E2" s="288"/>
      <c r="F2" s="288"/>
      <c r="G2" s="288"/>
      <c r="H2" s="723" t="s">
        <v>59</v>
      </c>
      <c r="I2" s="723"/>
      <c r="J2" s="288"/>
      <c r="K2" s="288"/>
    </row>
    <row r="3" spans="1:11" s="78" customFormat="1" ht="3" customHeight="1" x14ac:dyDescent="0.3">
      <c r="B3" s="79"/>
      <c r="C3" s="79"/>
    </row>
    <row r="4" spans="1:11" s="106" customFormat="1" ht="13" x14ac:dyDescent="0.3">
      <c r="A4" s="290"/>
      <c r="B4" s="291" t="s">
        <v>1182</v>
      </c>
      <c r="C4" s="291"/>
      <c r="D4" s="290"/>
      <c r="E4" s="290"/>
      <c r="F4" s="290"/>
      <c r="G4" s="290"/>
      <c r="H4" s="290"/>
      <c r="I4" s="290"/>
      <c r="J4" s="290"/>
      <c r="K4" s="290"/>
    </row>
    <row r="5" spans="1:11" s="153" customFormat="1" ht="14.25" customHeight="1" x14ac:dyDescent="0.3">
      <c r="B5" s="82" t="s">
        <v>1183</v>
      </c>
      <c r="C5" s="199"/>
      <c r="D5" s="269"/>
      <c r="E5" s="269"/>
      <c r="F5" s="269"/>
      <c r="G5" s="269"/>
      <c r="H5" s="269"/>
      <c r="I5" s="269"/>
    </row>
    <row r="6" spans="1:11" s="153" customFormat="1" ht="45" customHeight="1" x14ac:dyDescent="0.3">
      <c r="B6" s="655" t="s">
        <v>1184</v>
      </c>
      <c r="C6" s="724"/>
      <c r="D6" s="724"/>
      <c r="E6" s="724"/>
      <c r="F6" s="724"/>
      <c r="G6" s="724"/>
      <c r="H6" s="724"/>
      <c r="I6" s="724"/>
      <c r="J6" s="724"/>
    </row>
    <row r="7" spans="1:11" s="153" customFormat="1" ht="14.25" customHeight="1" thickBot="1" x14ac:dyDescent="0.35">
      <c r="B7" s="269"/>
      <c r="C7" s="199"/>
      <c r="D7" s="269"/>
      <c r="E7" s="269"/>
      <c r="F7" s="269"/>
      <c r="G7" s="269"/>
      <c r="H7" s="269"/>
      <c r="I7" s="269"/>
    </row>
    <row r="8" spans="1:11" s="153" customFormat="1" ht="39.5" thickBot="1" x14ac:dyDescent="0.35">
      <c r="B8" s="348" t="s">
        <v>554</v>
      </c>
      <c r="C8" s="349" t="s">
        <v>555</v>
      </c>
      <c r="D8" s="377" t="s">
        <v>1185</v>
      </c>
      <c r="E8" s="378" t="s">
        <v>1186</v>
      </c>
      <c r="F8" s="378" t="s">
        <v>1187</v>
      </c>
      <c r="G8" s="378" t="s">
        <v>1188</v>
      </c>
      <c r="H8" s="378" t="s">
        <v>1189</v>
      </c>
      <c r="I8" s="378" t="s">
        <v>1190</v>
      </c>
      <c r="J8" s="378" t="s">
        <v>1191</v>
      </c>
      <c r="K8" s="349" t="s">
        <v>562</v>
      </c>
    </row>
    <row r="9" spans="1:11" s="153" customFormat="1" ht="13" x14ac:dyDescent="0.3">
      <c r="B9" s="352" t="s">
        <v>563</v>
      </c>
      <c r="C9" s="379" t="s">
        <v>564</v>
      </c>
      <c r="D9" s="380">
        <v>93.717000000000013</v>
      </c>
      <c r="E9" s="381">
        <v>36.184321134000008</v>
      </c>
      <c r="F9" s="381">
        <v>44200</v>
      </c>
      <c r="G9" s="381">
        <v>1221.5235387812261</v>
      </c>
      <c r="H9" s="381">
        <v>92571</v>
      </c>
      <c r="I9" s="381">
        <v>2558.3179979302463</v>
      </c>
      <c r="J9" s="382">
        <v>2.0943665158371041</v>
      </c>
      <c r="K9" s="353" t="str">
        <f>IF(COUNTIF('6.6 - Lists and lookups'!$D$9:$L$72,C9)=1,"IN LIST","CHECK")</f>
        <v>IN LIST</v>
      </c>
    </row>
    <row r="10" spans="1:11" s="153" customFormat="1" ht="13" x14ac:dyDescent="0.3">
      <c r="B10" s="383" t="s">
        <v>565</v>
      </c>
      <c r="C10" s="379" t="s">
        <v>566</v>
      </c>
      <c r="D10" s="384">
        <v>53.881599999999999</v>
      </c>
      <c r="E10" s="385">
        <v>20.8037935232</v>
      </c>
      <c r="F10" s="385">
        <v>60100</v>
      </c>
      <c r="G10" s="385">
        <v>2888.8961973679275</v>
      </c>
      <c r="H10" s="385">
        <v>143734</v>
      </c>
      <c r="I10" s="385">
        <v>6909.0283865637557</v>
      </c>
      <c r="J10" s="386">
        <v>2.3915806988352744</v>
      </c>
      <c r="K10" s="353" t="str">
        <f>IF(COUNTIF('6.6 - Lists and lookups'!$D$9:$L$72,C10)=1,"IN LIST","CHECK")</f>
        <v>IN LIST</v>
      </c>
    </row>
    <row r="11" spans="1:11" s="153" customFormat="1" ht="13" x14ac:dyDescent="0.3">
      <c r="B11" s="383" t="s">
        <v>567</v>
      </c>
      <c r="C11" s="379" t="s">
        <v>568</v>
      </c>
      <c r="D11" s="384">
        <v>245.06970000000001</v>
      </c>
      <c r="E11" s="385">
        <v>94.621901309400002</v>
      </c>
      <c r="F11" s="385">
        <v>63000</v>
      </c>
      <c r="G11" s="385">
        <v>665.80780060632117</v>
      </c>
      <c r="H11" s="385">
        <v>136616</v>
      </c>
      <c r="I11" s="385">
        <v>1443.8094998037013</v>
      </c>
      <c r="J11" s="386">
        <v>2.1685079365079365</v>
      </c>
      <c r="K11" s="353" t="str">
        <f>IF(COUNTIF('6.6 - Lists and lookups'!$D$9:$L$72,C11)=1,"IN LIST","CHECK")</f>
        <v>IN LIST</v>
      </c>
    </row>
    <row r="12" spans="1:11" s="153" customFormat="1" ht="13" x14ac:dyDescent="0.3">
      <c r="B12" s="383" t="s">
        <v>569</v>
      </c>
      <c r="C12" s="379" t="s">
        <v>570</v>
      </c>
      <c r="D12" s="384">
        <v>204.93310000000002</v>
      </c>
      <c r="E12" s="385">
        <v>79.12507977620001</v>
      </c>
      <c r="F12" s="385">
        <v>86200</v>
      </c>
      <c r="G12" s="385">
        <v>1089.4143834522622</v>
      </c>
      <c r="H12" s="385">
        <v>197030</v>
      </c>
      <c r="I12" s="385">
        <v>2490.1080739164645</v>
      </c>
      <c r="J12" s="386">
        <v>2.2857308584686775</v>
      </c>
      <c r="K12" s="353" t="str">
        <f>IF(COUNTIF('6.6 - Lists and lookups'!$D$9:$L$72,C12)=1,"IN LIST","CHECK")</f>
        <v>IN LIST</v>
      </c>
    </row>
    <row r="13" spans="1:11" s="153" customFormat="1" ht="13" x14ac:dyDescent="0.3">
      <c r="B13" s="383" t="s">
        <v>571</v>
      </c>
      <c r="C13" s="379" t="s">
        <v>572</v>
      </c>
      <c r="D13" s="384">
        <v>197.47790000000001</v>
      </c>
      <c r="E13" s="385">
        <v>76.2466121458</v>
      </c>
      <c r="F13" s="385">
        <v>47300</v>
      </c>
      <c r="G13" s="385">
        <v>620.35543178695173</v>
      </c>
      <c r="H13" s="385">
        <v>108222</v>
      </c>
      <c r="I13" s="385">
        <v>1419.3679817938159</v>
      </c>
      <c r="J13" s="386">
        <v>2.2879915433403806</v>
      </c>
      <c r="K13" s="353" t="str">
        <f>IF(COUNTIF('6.6 - Lists and lookups'!$D$9:$L$72,C13)=1,"IN LIST","CHECK")</f>
        <v>IN LIST</v>
      </c>
    </row>
    <row r="14" spans="1:11" s="153" customFormat="1" ht="16.5" customHeight="1" x14ac:dyDescent="0.3">
      <c r="B14" s="383" t="s">
        <v>573</v>
      </c>
      <c r="C14" s="379" t="s">
        <v>574</v>
      </c>
      <c r="D14" s="384">
        <v>79.084000000000003</v>
      </c>
      <c r="E14" s="385">
        <v>30.534490568000002</v>
      </c>
      <c r="F14" s="385">
        <v>56600</v>
      </c>
      <c r="G14" s="385">
        <v>1853.6415360836747</v>
      </c>
      <c r="H14" s="385">
        <v>128577</v>
      </c>
      <c r="I14" s="385">
        <v>4210.8775227037213</v>
      </c>
      <c r="J14" s="386">
        <v>2.2716784452296821</v>
      </c>
      <c r="K14" s="353" t="str">
        <f>IF(COUNTIF('6.6 - Lists and lookups'!$D$9:$L$72,C14)=1,"IN LIST","CHECK")</f>
        <v>IN LIST</v>
      </c>
    </row>
    <row r="15" spans="1:11" s="153" customFormat="1" ht="13" x14ac:dyDescent="0.3">
      <c r="B15" s="383" t="s">
        <v>575</v>
      </c>
      <c r="C15" s="379" t="s">
        <v>576</v>
      </c>
      <c r="D15" s="384">
        <v>180.62790000000001</v>
      </c>
      <c r="E15" s="385">
        <v>69.740793445800008</v>
      </c>
      <c r="F15" s="385">
        <v>86400</v>
      </c>
      <c r="G15" s="385">
        <v>1238.8732007637241</v>
      </c>
      <c r="H15" s="385">
        <v>211227</v>
      </c>
      <c r="I15" s="385">
        <v>3028.7438608532307</v>
      </c>
      <c r="J15" s="386">
        <v>2.4447569444444444</v>
      </c>
      <c r="K15" s="353" t="str">
        <f>IF(COUNTIF('6.6 - Lists and lookups'!$D$9:$L$72,C15)=1,"IN LIST","CHECK")</f>
        <v>IN LIST</v>
      </c>
    </row>
    <row r="16" spans="1:11" s="153" customFormat="1" ht="13" x14ac:dyDescent="0.3">
      <c r="B16" s="383" t="s">
        <v>577</v>
      </c>
      <c r="C16" s="379" t="s">
        <v>578</v>
      </c>
      <c r="D16" s="384">
        <v>137.02209999999999</v>
      </c>
      <c r="E16" s="385">
        <v>52.904506854200001</v>
      </c>
      <c r="F16" s="385">
        <v>56400</v>
      </c>
      <c r="G16" s="385">
        <v>1066.0717461261524</v>
      </c>
      <c r="H16" s="385">
        <v>154922</v>
      </c>
      <c r="I16" s="385">
        <v>2928.3327491729751</v>
      </c>
      <c r="J16" s="386">
        <v>2.7468439716312059</v>
      </c>
      <c r="K16" s="353" t="str">
        <f>IF(COUNTIF('6.6 - Lists and lookups'!$D$9:$L$72,C16)=1,"IN LIST","CHECK")</f>
        <v>IN LIST</v>
      </c>
    </row>
    <row r="17" spans="2:11" s="153" customFormat="1" ht="13" x14ac:dyDescent="0.3">
      <c r="B17" s="383" t="s">
        <v>579</v>
      </c>
      <c r="C17" s="379" t="s">
        <v>580</v>
      </c>
      <c r="D17" s="384">
        <v>34.870899999999999</v>
      </c>
      <c r="E17" s="385">
        <v>13.463724231799999</v>
      </c>
      <c r="F17" s="385">
        <v>60000</v>
      </c>
      <c r="G17" s="385">
        <v>4456.4192616397977</v>
      </c>
      <c r="H17" s="385">
        <v>140954</v>
      </c>
      <c r="I17" s="385">
        <v>10469.168676752934</v>
      </c>
      <c r="J17" s="386">
        <v>2.3492333333333333</v>
      </c>
      <c r="K17" s="353" t="str">
        <f>IF(COUNTIF('6.6 - Lists and lookups'!$D$9:$L$72,C17)=1,"IN LIST","CHECK")</f>
        <v>IN LIST</v>
      </c>
    </row>
    <row r="18" spans="2:11" s="153" customFormat="1" ht="13" x14ac:dyDescent="0.3">
      <c r="B18" s="383" t="s">
        <v>581</v>
      </c>
      <c r="C18" s="379" t="s">
        <v>582</v>
      </c>
      <c r="D18" s="384">
        <v>71.583699999999993</v>
      </c>
      <c r="E18" s="385">
        <v>27.638609737399996</v>
      </c>
      <c r="F18" s="385">
        <v>117600</v>
      </c>
      <c r="G18" s="385">
        <v>4254.9173463260749</v>
      </c>
      <c r="H18" s="385">
        <v>266463</v>
      </c>
      <c r="I18" s="385">
        <v>9640.9697351537834</v>
      </c>
      <c r="J18" s="386">
        <v>2.265841836734694</v>
      </c>
      <c r="K18" s="353" t="str">
        <f>IF(COUNTIF('6.6 - Lists and lookups'!$D$9:$L$72,C18)=1,"IN LIST","CHECK")</f>
        <v>IN LIST</v>
      </c>
    </row>
    <row r="19" spans="2:11" s="153" customFormat="1" ht="13" x14ac:dyDescent="0.3">
      <c r="B19" s="383" t="s">
        <v>583</v>
      </c>
      <c r="C19" s="379" t="s">
        <v>584</v>
      </c>
      <c r="D19" s="384">
        <v>2403.5992999999999</v>
      </c>
      <c r="E19" s="385">
        <v>928.03449692859999</v>
      </c>
      <c r="F19" s="385">
        <v>150600</v>
      </c>
      <c r="G19" s="385">
        <v>162.27845031453253</v>
      </c>
      <c r="H19" s="385">
        <v>343143</v>
      </c>
      <c r="I19" s="385">
        <v>369.75241883319808</v>
      </c>
      <c r="J19" s="386">
        <v>2.2785059760956177</v>
      </c>
      <c r="K19" s="353" t="str">
        <f>IF(COUNTIF('6.6 - Lists and lookups'!$D$9:$L$72,C19)=1,"IN LIST","CHECK")</f>
        <v>IN LIST</v>
      </c>
    </row>
    <row r="20" spans="2:11" s="153" customFormat="1" ht="13" x14ac:dyDescent="0.3">
      <c r="B20" s="383" t="s">
        <v>585</v>
      </c>
      <c r="C20" s="379" t="s">
        <v>586</v>
      </c>
      <c r="D20" s="384">
        <v>192.62290000000002</v>
      </c>
      <c r="E20" s="385">
        <v>74.372086935800013</v>
      </c>
      <c r="F20" s="385">
        <v>71000</v>
      </c>
      <c r="G20" s="385">
        <v>954.65924011637742</v>
      </c>
      <c r="H20" s="385">
        <v>157197</v>
      </c>
      <c r="I20" s="385">
        <v>2113.6558953320309</v>
      </c>
      <c r="J20" s="386">
        <v>2.2140422535211268</v>
      </c>
      <c r="K20" s="353" t="str">
        <f>IF(COUNTIF('6.6 - Lists and lookups'!$D$9:$L$72,C20)=1,"IN LIST","CHECK")</f>
        <v>IN LIST</v>
      </c>
    </row>
    <row r="21" spans="2:11" s="153" customFormat="1" ht="13" x14ac:dyDescent="0.3">
      <c r="B21" s="383" t="s">
        <v>587</v>
      </c>
      <c r="C21" s="379" t="s">
        <v>588</v>
      </c>
      <c r="D21" s="384">
        <v>846.54009999999994</v>
      </c>
      <c r="E21" s="385">
        <v>326.8508256902</v>
      </c>
      <c r="F21" s="385">
        <v>80600</v>
      </c>
      <c r="G21" s="385">
        <v>246.59567504472312</v>
      </c>
      <c r="H21" s="385">
        <v>169940</v>
      </c>
      <c r="I21" s="385">
        <v>519.93137738337782</v>
      </c>
      <c r="J21" s="386">
        <v>2.1084367245657569</v>
      </c>
      <c r="K21" s="353" t="str">
        <f>IF(COUNTIF('6.6 - Lists and lookups'!$D$9:$L$72,C21)=1,"IN LIST","CHECK")</f>
        <v>IN LIST</v>
      </c>
    </row>
    <row r="22" spans="2:11" s="153" customFormat="1" ht="13" x14ac:dyDescent="0.3">
      <c r="B22" s="383" t="s">
        <v>589</v>
      </c>
      <c r="C22" s="379" t="s">
        <v>590</v>
      </c>
      <c r="D22" s="384">
        <v>271.9314</v>
      </c>
      <c r="E22" s="385">
        <v>104.9932574028</v>
      </c>
      <c r="F22" s="385">
        <v>91100</v>
      </c>
      <c r="G22" s="385">
        <v>867.67476553756785</v>
      </c>
      <c r="H22" s="385">
        <v>201672</v>
      </c>
      <c r="I22" s="385">
        <v>1920.8090594455805</v>
      </c>
      <c r="J22" s="386">
        <v>2.2137431394072449</v>
      </c>
      <c r="K22" s="353" t="str">
        <f>IF(COUNTIF('6.6 - Lists and lookups'!$D$9:$L$72,C22)=1,"IN LIST","CHECK")</f>
        <v>IN LIST</v>
      </c>
    </row>
    <row r="23" spans="2:11" s="153" customFormat="1" ht="13" x14ac:dyDescent="0.3">
      <c r="B23" s="383" t="s">
        <v>591</v>
      </c>
      <c r="C23" s="379" t="s">
        <v>592</v>
      </c>
      <c r="D23" s="384">
        <v>78.031099999999995</v>
      </c>
      <c r="E23" s="385">
        <v>30.127963772199998</v>
      </c>
      <c r="F23" s="385">
        <v>106900</v>
      </c>
      <c r="G23" s="385">
        <v>3548.1986372620354</v>
      </c>
      <c r="H23" s="385">
        <v>261136</v>
      </c>
      <c r="I23" s="385">
        <v>8667.562201497276</v>
      </c>
      <c r="J23" s="386">
        <v>2.4428063610851263</v>
      </c>
      <c r="K23" s="353" t="str">
        <f>IF(COUNTIF('6.6 - Lists and lookups'!$D$9:$L$72,C23)=1,"IN LIST","CHECK")</f>
        <v>IN LIST</v>
      </c>
    </row>
    <row r="24" spans="2:11" s="153" customFormat="1" ht="13" x14ac:dyDescent="0.3">
      <c r="B24" s="383" t="s">
        <v>593</v>
      </c>
      <c r="C24" s="379" t="s">
        <v>594</v>
      </c>
      <c r="D24" s="384">
        <v>73.342100000000002</v>
      </c>
      <c r="E24" s="385">
        <v>28.317531494200001</v>
      </c>
      <c r="F24" s="385">
        <v>132100</v>
      </c>
      <c r="G24" s="385">
        <v>4664.9546422171979</v>
      </c>
      <c r="H24" s="385">
        <v>366018</v>
      </c>
      <c r="I24" s="385">
        <v>12925.491054012524</v>
      </c>
      <c r="J24" s="386">
        <v>2.7707645722937171</v>
      </c>
      <c r="K24" s="353" t="str">
        <f>IF(COUNTIF('6.6 - Lists and lookups'!$D$9:$L$72,C24)=1,"IN LIST","CHECK")</f>
        <v>IN LIST</v>
      </c>
    </row>
    <row r="25" spans="2:11" s="153" customFormat="1" ht="13" x14ac:dyDescent="0.3">
      <c r="B25" s="383" t="s">
        <v>595</v>
      </c>
      <c r="C25" s="379" t="s">
        <v>596</v>
      </c>
      <c r="D25" s="384">
        <v>381.8313</v>
      </c>
      <c r="E25" s="385">
        <v>147.4258285926</v>
      </c>
      <c r="F25" s="385">
        <v>16700</v>
      </c>
      <c r="G25" s="385">
        <v>113.27730126685719</v>
      </c>
      <c r="H25" s="385">
        <v>41381</v>
      </c>
      <c r="I25" s="385">
        <v>280.69029962418068</v>
      </c>
      <c r="J25" s="386">
        <v>2.4779041916167666</v>
      </c>
      <c r="K25" s="353" t="str">
        <f>IF(COUNTIF('6.6 - Lists and lookups'!$D$9:$L$72,C25)=1,"IN LIST","CHECK")</f>
        <v>IN LIST</v>
      </c>
    </row>
    <row r="26" spans="2:11" s="153" customFormat="1" ht="13" x14ac:dyDescent="0.3">
      <c r="B26" s="383" t="s">
        <v>597</v>
      </c>
      <c r="C26" s="379" t="s">
        <v>598</v>
      </c>
      <c r="D26" s="384">
        <v>74.613199999999992</v>
      </c>
      <c r="E26" s="385">
        <v>28.808305746399999</v>
      </c>
      <c r="F26" s="385">
        <v>140000</v>
      </c>
      <c r="G26" s="385">
        <v>4859.7096001556756</v>
      </c>
      <c r="H26" s="385">
        <v>319566</v>
      </c>
      <c r="I26" s="385">
        <v>11092.842557738206</v>
      </c>
      <c r="J26" s="386">
        <v>2.2826142857142857</v>
      </c>
      <c r="K26" s="353" t="str">
        <f>IF(COUNTIF('6.6 - Lists and lookups'!$D$9:$L$72,C26)=1,"IN LIST","CHECK")</f>
        <v>IN LIST</v>
      </c>
    </row>
    <row r="27" spans="2:11" s="153" customFormat="1" ht="13" x14ac:dyDescent="0.3">
      <c r="B27" s="383" t="s">
        <v>599</v>
      </c>
      <c r="C27" s="379" t="s">
        <v>600</v>
      </c>
      <c r="D27" s="384">
        <v>2179.7094000000002</v>
      </c>
      <c r="E27" s="385">
        <v>841.59015875880004</v>
      </c>
      <c r="F27" s="385">
        <v>86200</v>
      </c>
      <c r="G27" s="385">
        <v>102.42515208011712</v>
      </c>
      <c r="H27" s="385">
        <v>187557</v>
      </c>
      <c r="I27" s="385">
        <v>222.86025810545854</v>
      </c>
      <c r="J27" s="386">
        <v>2.1758352668213456</v>
      </c>
      <c r="K27" s="353" t="str">
        <f>IF(COUNTIF('6.6 - Lists and lookups'!$D$9:$L$72,C27)=1,"IN LIST","CHECK")</f>
        <v>IN LIST</v>
      </c>
    </row>
    <row r="28" spans="2:11" s="153" customFormat="1" ht="13" x14ac:dyDescent="0.3">
      <c r="B28" s="383" t="s">
        <v>601</v>
      </c>
      <c r="C28" s="379" t="s">
        <v>602</v>
      </c>
      <c r="D28" s="384">
        <v>290.31369999999998</v>
      </c>
      <c r="E28" s="385">
        <v>112.0907001974</v>
      </c>
      <c r="F28" s="385">
        <v>76700</v>
      </c>
      <c r="G28" s="385">
        <v>684.26729304862613</v>
      </c>
      <c r="H28" s="385">
        <v>185842</v>
      </c>
      <c r="I28" s="385">
        <v>1657.9609162287195</v>
      </c>
      <c r="J28" s="386">
        <v>2.4229726205997393</v>
      </c>
      <c r="K28" s="353" t="str">
        <f>IF(COUNTIF('6.6 - Lists and lookups'!$D$9:$L$72,C28)=1,"IN LIST","CHECK")</f>
        <v>IN LIST</v>
      </c>
    </row>
    <row r="29" spans="2:11" s="153" customFormat="1" ht="13" x14ac:dyDescent="0.3">
      <c r="B29" s="383" t="s">
        <v>603</v>
      </c>
      <c r="C29" s="379" t="s">
        <v>604</v>
      </c>
      <c r="D29" s="384">
        <v>93.44850000000001</v>
      </c>
      <c r="E29" s="385">
        <v>36.080652747000002</v>
      </c>
      <c r="F29" s="385">
        <v>110200</v>
      </c>
      <c r="G29" s="385">
        <v>3054.2684682766112</v>
      </c>
      <c r="H29" s="385">
        <v>258037</v>
      </c>
      <c r="I29" s="385">
        <v>7151.6721665035566</v>
      </c>
      <c r="J29" s="386">
        <v>2.3415335753176043</v>
      </c>
      <c r="K29" s="353" t="str">
        <f>IF(COUNTIF('6.6 - Lists and lookups'!$D$9:$L$72,C29)=1,"IN LIST","CHECK")</f>
        <v>IN LIST</v>
      </c>
    </row>
    <row r="30" spans="2:11" s="153" customFormat="1" ht="26" x14ac:dyDescent="0.3">
      <c r="B30" s="383" t="s">
        <v>605</v>
      </c>
      <c r="C30" s="379" t="s">
        <v>606</v>
      </c>
      <c r="D30" s="384">
        <v>345.87860000000001</v>
      </c>
      <c r="E30" s="385">
        <v>133.54441921720002</v>
      </c>
      <c r="F30" s="385">
        <v>78600</v>
      </c>
      <c r="G30" s="385">
        <v>588.56821169114505</v>
      </c>
      <c r="H30" s="385">
        <v>192423</v>
      </c>
      <c r="I30" s="385">
        <v>1440.8913613008297</v>
      </c>
      <c r="J30" s="386">
        <v>2.4481297709923666</v>
      </c>
      <c r="K30" s="353" t="str">
        <f>IF(COUNTIF('6.6 - Lists and lookups'!$D$9:$L$72,C30)=1,"IN LIST","CHECK")</f>
        <v>IN LIST</v>
      </c>
    </row>
    <row r="31" spans="2:11" s="153" customFormat="1" ht="13" x14ac:dyDescent="0.3">
      <c r="B31" s="383" t="s">
        <v>607</v>
      </c>
      <c r="C31" s="379" t="s">
        <v>608</v>
      </c>
      <c r="D31" s="384">
        <v>109.6665</v>
      </c>
      <c r="E31" s="385">
        <v>42.342454983000003</v>
      </c>
      <c r="F31" s="385">
        <v>185000</v>
      </c>
      <c r="G31" s="385">
        <v>4369.1373132303106</v>
      </c>
      <c r="H31" s="385">
        <v>471117</v>
      </c>
      <c r="I31" s="385">
        <v>11126.350614038509</v>
      </c>
      <c r="J31" s="386">
        <v>2.5465783783783782</v>
      </c>
      <c r="K31" s="353" t="str">
        <f>IF(COUNTIF('6.6 - Lists and lookups'!$D$9:$L$72,C31)=1,"IN LIST","CHECK")</f>
        <v>IN LIST</v>
      </c>
    </row>
    <row r="32" spans="2:11" s="153" customFormat="1" ht="13" x14ac:dyDescent="0.3">
      <c r="B32" s="383" t="s">
        <v>609</v>
      </c>
      <c r="C32" s="379" t="s">
        <v>610</v>
      </c>
      <c r="D32" s="384">
        <v>373.74940000000004</v>
      </c>
      <c r="E32" s="385">
        <v>144.30539083880001</v>
      </c>
      <c r="F32" s="385">
        <v>88000</v>
      </c>
      <c r="G32" s="385">
        <v>609.81782793064622</v>
      </c>
      <c r="H32" s="385">
        <v>217399</v>
      </c>
      <c r="I32" s="385">
        <v>1506.5202951624383</v>
      </c>
      <c r="J32" s="386">
        <v>2.4704431818181818</v>
      </c>
      <c r="K32" s="353" t="str">
        <f>IF(COUNTIF('6.6 - Lists and lookups'!$D$9:$L$72,C32)=1,"IN LIST","CHECK")</f>
        <v>IN LIST</v>
      </c>
    </row>
    <row r="33" spans="2:11" s="153" customFormat="1" ht="13" x14ac:dyDescent="0.3">
      <c r="B33" s="383" t="s">
        <v>611</v>
      </c>
      <c r="C33" s="379" t="s">
        <v>612</v>
      </c>
      <c r="D33" s="384">
        <v>497.05080000000004</v>
      </c>
      <c r="E33" s="385">
        <v>191.91230798160001</v>
      </c>
      <c r="F33" s="385">
        <v>113000</v>
      </c>
      <c r="G33" s="385">
        <v>588.81059369487707</v>
      </c>
      <c r="H33" s="385">
        <v>290736</v>
      </c>
      <c r="I33" s="385">
        <v>1514.9419183050777</v>
      </c>
      <c r="J33" s="386">
        <v>2.5728849557522122</v>
      </c>
      <c r="K33" s="353" t="str">
        <f>IF(COUNTIF('6.6 - Lists and lookups'!$D$9:$L$72,C33)=1,"IN LIST","CHECK")</f>
        <v>IN LIST</v>
      </c>
    </row>
    <row r="34" spans="2:11" s="153" customFormat="1" ht="13" x14ac:dyDescent="0.3">
      <c r="B34" s="383" t="s">
        <v>613</v>
      </c>
      <c r="C34" s="379" t="s">
        <v>614</v>
      </c>
      <c r="D34" s="384">
        <v>79.849699999999999</v>
      </c>
      <c r="E34" s="385">
        <v>30.830128869399999</v>
      </c>
      <c r="F34" s="385">
        <v>115700</v>
      </c>
      <c r="G34" s="385">
        <v>3752.8224578664144</v>
      </c>
      <c r="H34" s="385">
        <v>264727</v>
      </c>
      <c r="I34" s="385">
        <v>8586.632936936925</v>
      </c>
      <c r="J34" s="386">
        <v>2.288046672428695</v>
      </c>
      <c r="K34" s="353" t="str">
        <f>IF(COUNTIF('6.6 - Lists and lookups'!$D$9:$L$72,C34)=1,"IN LIST","CHECK")</f>
        <v>IN LIST</v>
      </c>
    </row>
    <row r="35" spans="2:11" s="153" customFormat="1" ht="13" x14ac:dyDescent="0.3">
      <c r="B35" s="383" t="s">
        <v>615</v>
      </c>
      <c r="C35" s="379" t="s">
        <v>616</v>
      </c>
      <c r="D35" s="384">
        <v>62.886699999999998</v>
      </c>
      <c r="E35" s="385">
        <v>24.2806806434</v>
      </c>
      <c r="F35" s="385">
        <v>62100</v>
      </c>
      <c r="G35" s="385">
        <v>2557.5889289116813</v>
      </c>
      <c r="H35" s="385">
        <v>139446</v>
      </c>
      <c r="I35" s="385">
        <v>5743.0844731242887</v>
      </c>
      <c r="J35" s="386">
        <v>2.2455072463768118</v>
      </c>
      <c r="K35" s="353" t="str">
        <f>IF(COUNTIF('6.6 - Lists and lookups'!$D$9:$L$72,C35)=1,"IN LIST","CHECK")</f>
        <v>IN LIST</v>
      </c>
    </row>
    <row r="36" spans="2:11" s="153" customFormat="1" ht="13" x14ac:dyDescent="0.3">
      <c r="B36" s="383" t="s">
        <v>617</v>
      </c>
      <c r="C36" s="379" t="s">
        <v>618</v>
      </c>
      <c r="D36" s="384">
        <v>230.09330000000003</v>
      </c>
      <c r="E36" s="385">
        <v>88.83948331660001</v>
      </c>
      <c r="F36" s="385">
        <v>88900</v>
      </c>
      <c r="G36" s="385">
        <v>1000.6811913030192</v>
      </c>
      <c r="H36" s="385">
        <v>233713</v>
      </c>
      <c r="I36" s="385">
        <v>2630.7334450281501</v>
      </c>
      <c r="J36" s="386">
        <v>2.6289426321709786</v>
      </c>
      <c r="K36" s="353" t="str">
        <f>IF(COUNTIF('6.6 - Lists and lookups'!$D$9:$L$72,C36)=1,"IN LIST","CHECK")</f>
        <v>IN LIST</v>
      </c>
    </row>
    <row r="37" spans="2:11" s="153" customFormat="1" ht="13" x14ac:dyDescent="0.3">
      <c r="B37" s="383" t="s">
        <v>619</v>
      </c>
      <c r="C37" s="379" t="s">
        <v>620</v>
      </c>
      <c r="D37" s="384">
        <v>343.37819999999999</v>
      </c>
      <c r="E37" s="385">
        <v>132.5790097764</v>
      </c>
      <c r="F37" s="385">
        <v>81200</v>
      </c>
      <c r="G37" s="385">
        <v>612.46497569220924</v>
      </c>
      <c r="H37" s="385">
        <v>216349</v>
      </c>
      <c r="I37" s="385">
        <v>1631.8495692861304</v>
      </c>
      <c r="J37" s="386">
        <v>2.6643965517241379</v>
      </c>
      <c r="K37" s="353" t="str">
        <f>IF(COUNTIF('6.6 - Lists and lookups'!$D$9:$L$72,C37)=1,"IN LIST","CHECK")</f>
        <v>IN LIST</v>
      </c>
    </row>
    <row r="38" spans="2:11" s="153" customFormat="1" ht="13" x14ac:dyDescent="0.3">
      <c r="B38" s="383" t="s">
        <v>621</v>
      </c>
      <c r="C38" s="379" t="s">
        <v>622</v>
      </c>
      <c r="D38" s="384">
        <v>43.352499999999999</v>
      </c>
      <c r="E38" s="385">
        <v>16.738486954999999</v>
      </c>
      <c r="F38" s="385">
        <v>77600</v>
      </c>
      <c r="G38" s="385">
        <v>4636.0223721905695</v>
      </c>
      <c r="H38" s="385">
        <v>224826</v>
      </c>
      <c r="I38" s="385">
        <v>13431.679972295322</v>
      </c>
      <c r="J38" s="386">
        <v>2.8972422680412371</v>
      </c>
      <c r="K38" s="353" t="str">
        <f>IF(COUNTIF('6.6 - Lists and lookups'!$D$9:$L$72,C38)=1,"IN LIST","CHECK")</f>
        <v>IN LIST</v>
      </c>
    </row>
    <row r="39" spans="2:11" s="153" customFormat="1" ht="13" x14ac:dyDescent="0.3">
      <c r="B39" s="383" t="s">
        <v>623</v>
      </c>
      <c r="C39" s="379" t="s">
        <v>624</v>
      </c>
      <c r="D39" s="384">
        <v>41.674199999999999</v>
      </c>
      <c r="E39" s="385">
        <v>16.090491968399999</v>
      </c>
      <c r="F39" s="385">
        <v>77700</v>
      </c>
      <c r="G39" s="385">
        <v>4828.9387392625704</v>
      </c>
      <c r="H39" s="385">
        <v>180601</v>
      </c>
      <c r="I39" s="385">
        <v>11224.081920843752</v>
      </c>
      <c r="J39" s="386">
        <v>2.3243371943371942</v>
      </c>
      <c r="K39" s="353" t="str">
        <f>IF(COUNTIF('6.6 - Lists and lookups'!$D$9:$L$72,C39)=1,"IN LIST","CHECK")</f>
        <v>IN LIST</v>
      </c>
    </row>
    <row r="40" spans="2:11" s="153" customFormat="1" ht="13" x14ac:dyDescent="0.3">
      <c r="B40" s="383" t="s">
        <v>625</v>
      </c>
      <c r="C40" s="379" t="s">
        <v>626</v>
      </c>
      <c r="D40" s="384">
        <v>163.83709999999999</v>
      </c>
      <c r="E40" s="385">
        <v>63.257831984199996</v>
      </c>
      <c r="F40" s="385">
        <v>67200</v>
      </c>
      <c r="G40" s="385">
        <v>1062.3190503396424</v>
      </c>
      <c r="H40" s="385">
        <v>175902</v>
      </c>
      <c r="I40" s="385">
        <v>2780.714964179223</v>
      </c>
      <c r="J40" s="386">
        <v>2.6175892857142857</v>
      </c>
      <c r="K40" s="353" t="str">
        <f>IF(COUNTIF('6.6 - Lists and lookups'!$D$9:$L$72,C40)=1,"IN LIST","CHECK")</f>
        <v>IN LIST</v>
      </c>
    </row>
    <row r="41" spans="2:11" s="153" customFormat="1" ht="13" x14ac:dyDescent="0.3">
      <c r="B41" s="383" t="s">
        <v>627</v>
      </c>
      <c r="C41" s="379" t="s">
        <v>628</v>
      </c>
      <c r="D41" s="384">
        <v>193.71419999999998</v>
      </c>
      <c r="E41" s="385">
        <v>74.793440048399987</v>
      </c>
      <c r="F41" s="385">
        <v>118900</v>
      </c>
      <c r="G41" s="385">
        <v>1589.7116100430462</v>
      </c>
      <c r="H41" s="385">
        <v>279827</v>
      </c>
      <c r="I41" s="385">
        <v>3741.3307880867578</v>
      </c>
      <c r="J41" s="386">
        <v>2.3534650967199329</v>
      </c>
      <c r="K41" s="353" t="str">
        <f>IF(COUNTIF('6.6 - Lists and lookups'!$D$9:$L$72,C41)=1,"IN LIST","CHECK")</f>
        <v>IN LIST</v>
      </c>
    </row>
    <row r="42" spans="2:11" s="153" customFormat="1" ht="13" x14ac:dyDescent="0.3">
      <c r="B42" s="383" t="s">
        <v>629</v>
      </c>
      <c r="C42" s="379" t="s">
        <v>630</v>
      </c>
      <c r="D42" s="384">
        <v>109.3843</v>
      </c>
      <c r="E42" s="385">
        <v>42.233496998599996</v>
      </c>
      <c r="F42" s="385">
        <v>49600</v>
      </c>
      <c r="G42" s="385">
        <v>1174.4232309639006</v>
      </c>
      <c r="H42" s="385">
        <v>125174</v>
      </c>
      <c r="I42" s="385">
        <v>2963.8559175942596</v>
      </c>
      <c r="J42" s="386">
        <v>2.5236693548387095</v>
      </c>
      <c r="K42" s="353" t="str">
        <f>IF(COUNTIF('6.6 - Lists and lookups'!$D$9:$L$72,C42)=1,"IN LIST","CHECK")</f>
        <v>IN LIST</v>
      </c>
    </row>
    <row r="43" spans="2:11" s="153" customFormat="1" ht="13" x14ac:dyDescent="0.3">
      <c r="B43" s="383" t="s">
        <v>631</v>
      </c>
      <c r="C43" s="379" t="s">
        <v>632</v>
      </c>
      <c r="D43" s="384">
        <v>704.18299999999999</v>
      </c>
      <c r="E43" s="385">
        <v>271.88646466599999</v>
      </c>
      <c r="F43" s="385">
        <v>65100</v>
      </c>
      <c r="G43" s="385">
        <v>239.4381790206892</v>
      </c>
      <c r="H43" s="385">
        <v>161865</v>
      </c>
      <c r="I43" s="385">
        <v>595.34041239913768</v>
      </c>
      <c r="J43" s="386">
        <v>2.4864055299539172</v>
      </c>
      <c r="K43" s="353" t="str">
        <f>IF(COUNTIF('6.6 - Lists and lookups'!$D$9:$L$72,C43)=1,"IN LIST","CHECK")</f>
        <v>IN LIST</v>
      </c>
    </row>
    <row r="44" spans="2:11" s="153" customFormat="1" ht="13" x14ac:dyDescent="0.3">
      <c r="B44" s="383" t="s">
        <v>633</v>
      </c>
      <c r="C44" s="379" t="s">
        <v>634</v>
      </c>
      <c r="D44" s="384">
        <v>40.388800000000003</v>
      </c>
      <c r="E44" s="385">
        <v>15.594196457600001</v>
      </c>
      <c r="F44" s="385">
        <v>67100</v>
      </c>
      <c r="G44" s="385">
        <v>4302.8828181331583</v>
      </c>
      <c r="H44" s="385">
        <v>173170</v>
      </c>
      <c r="I44" s="385">
        <v>11104.772244651549</v>
      </c>
      <c r="J44" s="386">
        <v>2.5807749627421757</v>
      </c>
      <c r="K44" s="353" t="str">
        <f>IF(COUNTIF('6.6 - Lists and lookups'!$D$9:$L$72,C44)=1,"IN LIST","CHECK")</f>
        <v>IN LIST</v>
      </c>
    </row>
    <row r="45" spans="2:11" s="153" customFormat="1" ht="13" x14ac:dyDescent="0.3">
      <c r="B45" s="383" t="s">
        <v>635</v>
      </c>
      <c r="C45" s="379" t="s">
        <v>636</v>
      </c>
      <c r="D45" s="384">
        <v>32.541899999999998</v>
      </c>
      <c r="E45" s="385">
        <v>12.5644926738</v>
      </c>
      <c r="F45" s="385">
        <v>51500</v>
      </c>
      <c r="G45" s="385">
        <v>4098.8523243274221</v>
      </c>
      <c r="H45" s="385">
        <v>158289</v>
      </c>
      <c r="I45" s="385">
        <v>12598.121078941036</v>
      </c>
      <c r="J45" s="386">
        <v>3.0735728155339808</v>
      </c>
      <c r="K45" s="353" t="str">
        <f>IF(COUNTIF('6.6 - Lists and lookups'!$D$9:$L$72,C45)=1,"IN LIST","CHECK")</f>
        <v>IN LIST</v>
      </c>
    </row>
    <row r="46" spans="2:11" s="153" customFormat="1" ht="13" x14ac:dyDescent="0.3">
      <c r="B46" s="383" t="s">
        <v>637</v>
      </c>
      <c r="C46" s="379" t="s">
        <v>638</v>
      </c>
      <c r="D46" s="384">
        <v>196.50169999999997</v>
      </c>
      <c r="E46" s="385">
        <v>75.869699373399996</v>
      </c>
      <c r="F46" s="385">
        <v>62000</v>
      </c>
      <c r="G46" s="385">
        <v>817.19053208397543</v>
      </c>
      <c r="H46" s="385">
        <v>153921</v>
      </c>
      <c r="I46" s="385">
        <v>2028.7545788531868</v>
      </c>
      <c r="J46" s="386">
        <v>2.4825967741935484</v>
      </c>
      <c r="K46" s="353" t="str">
        <f>IF(COUNTIF('6.6 - Lists and lookups'!$D$9:$L$72,C46)=1,"IN LIST","CHECK")</f>
        <v>IN LIST</v>
      </c>
    </row>
    <row r="47" spans="2:11" s="153" customFormat="1" ht="13" x14ac:dyDescent="0.3">
      <c r="B47" s="383" t="s">
        <v>639</v>
      </c>
      <c r="C47" s="379" t="s">
        <v>640</v>
      </c>
      <c r="D47" s="384">
        <v>178.96900000000002</v>
      </c>
      <c r="E47" s="385">
        <v>69.100288838000012</v>
      </c>
      <c r="F47" s="385">
        <v>65200</v>
      </c>
      <c r="G47" s="385">
        <v>943.55611382256416</v>
      </c>
      <c r="H47" s="385">
        <v>178169</v>
      </c>
      <c r="I47" s="385">
        <v>2578.4117982155281</v>
      </c>
      <c r="J47" s="386">
        <v>2.7326533742331289</v>
      </c>
      <c r="K47" s="353" t="str">
        <f>IF(COUNTIF('6.6 - Lists and lookups'!$D$9:$L$72,C47)=1,"IN LIST","CHECK")</f>
        <v>IN LIST</v>
      </c>
    </row>
    <row r="48" spans="2:11" s="153" customFormat="1" ht="13" x14ac:dyDescent="0.3">
      <c r="B48" s="383" t="s">
        <v>641</v>
      </c>
      <c r="C48" s="379" t="s">
        <v>642</v>
      </c>
      <c r="D48" s="384">
        <v>308.62669999999997</v>
      </c>
      <c r="E48" s="385">
        <v>119.16138612339999</v>
      </c>
      <c r="F48" s="385">
        <v>109800</v>
      </c>
      <c r="G48" s="385">
        <v>921.43943245418768</v>
      </c>
      <c r="H48" s="385">
        <v>288201</v>
      </c>
      <c r="I48" s="385">
        <v>2418.5771026660232</v>
      </c>
      <c r="J48" s="386">
        <v>2.6247814207650273</v>
      </c>
      <c r="K48" s="353" t="str">
        <f>IF(COUNTIF('6.6 - Lists and lookups'!$D$9:$L$72,C48)=1,"IN LIST","CHECK")</f>
        <v>IN LIST</v>
      </c>
    </row>
    <row r="49" spans="2:11" s="153" customFormat="1" ht="13" x14ac:dyDescent="0.3">
      <c r="B49" s="383" t="s">
        <v>643</v>
      </c>
      <c r="C49" s="379" t="s">
        <v>644</v>
      </c>
      <c r="D49" s="384">
        <v>82.833100000000002</v>
      </c>
      <c r="E49" s="385">
        <v>31.982025576200002</v>
      </c>
      <c r="F49" s="385">
        <v>126700</v>
      </c>
      <c r="G49" s="385">
        <v>3961.6002337977643</v>
      </c>
      <c r="H49" s="385">
        <v>276334</v>
      </c>
      <c r="I49" s="385">
        <v>8640.2907577448404</v>
      </c>
      <c r="J49" s="386">
        <v>2.1810102604577741</v>
      </c>
      <c r="K49" s="353" t="str">
        <f>IF(COUNTIF('6.6 - Lists and lookups'!$D$9:$L$72,C49)=1,"IN LIST","CHECK")</f>
        <v>IN LIST</v>
      </c>
    </row>
    <row r="50" spans="2:11" s="153" customFormat="1" ht="13" x14ac:dyDescent="0.3">
      <c r="B50" s="383" t="s">
        <v>645</v>
      </c>
      <c r="C50" s="379" t="s">
        <v>646</v>
      </c>
      <c r="D50" s="384">
        <v>40.381599999999999</v>
      </c>
      <c r="E50" s="385">
        <v>15.591416523199999</v>
      </c>
      <c r="F50" s="385">
        <v>91100</v>
      </c>
      <c r="G50" s="385">
        <v>5842.9585191597807</v>
      </c>
      <c r="H50" s="385">
        <v>206828</v>
      </c>
      <c r="I50" s="385">
        <v>13265.504111973425</v>
      </c>
      <c r="J50" s="386">
        <v>2.2703402854006587</v>
      </c>
      <c r="K50" s="353" t="str">
        <f>IF(COUNTIF('6.6 - Lists and lookups'!$D$9:$L$72,C50)=1,"IN LIST","CHECK")</f>
        <v>IN LIST</v>
      </c>
    </row>
    <row r="51" spans="2:11" s="153" customFormat="1" ht="13" x14ac:dyDescent="0.3">
      <c r="B51" s="383" t="s">
        <v>647</v>
      </c>
      <c r="C51" s="379" t="s">
        <v>648</v>
      </c>
      <c r="D51" s="384">
        <v>49.880800000000001</v>
      </c>
      <c r="E51" s="385">
        <v>19.2590766416</v>
      </c>
      <c r="F51" s="385">
        <v>105200</v>
      </c>
      <c r="G51" s="385">
        <v>5462.3594867869133</v>
      </c>
      <c r="H51" s="385">
        <v>247256</v>
      </c>
      <c r="I51" s="385">
        <v>12838.414042442822</v>
      </c>
      <c r="J51" s="386">
        <v>2.3503422053231939</v>
      </c>
      <c r="K51" s="353" t="str">
        <f>IF(COUNTIF('6.6 - Lists and lookups'!$D$9:$L$72,C51)=1,"IN LIST","CHECK")</f>
        <v>IN LIST</v>
      </c>
    </row>
    <row r="52" spans="2:11" s="153" customFormat="1" ht="13" x14ac:dyDescent="0.3">
      <c r="B52" s="383" t="s">
        <v>649</v>
      </c>
      <c r="C52" s="379" t="s">
        <v>650</v>
      </c>
      <c r="D52" s="384">
        <v>379.62029999999999</v>
      </c>
      <c r="E52" s="385">
        <v>146.57215707059999</v>
      </c>
      <c r="F52" s="385">
        <v>62800</v>
      </c>
      <c r="G52" s="385">
        <v>428.4579094360389</v>
      </c>
      <c r="H52" s="385">
        <v>140889</v>
      </c>
      <c r="I52" s="385">
        <v>961.22621660086122</v>
      </c>
      <c r="J52" s="386">
        <v>2.2434554140127387</v>
      </c>
      <c r="K52" s="353" t="str">
        <f>IF(COUNTIF('6.6 - Lists and lookups'!$D$9:$L$72,C52)=1,"IN LIST","CHECK")</f>
        <v>IN LIST</v>
      </c>
    </row>
    <row r="53" spans="2:11" s="153" customFormat="1" ht="13" x14ac:dyDescent="0.3">
      <c r="B53" s="383" t="s">
        <v>651</v>
      </c>
      <c r="C53" s="379" t="s">
        <v>652</v>
      </c>
      <c r="D53" s="384">
        <v>2225.8611000000001</v>
      </c>
      <c r="E53" s="385">
        <v>859.40942243220002</v>
      </c>
      <c r="F53" s="385">
        <v>226700</v>
      </c>
      <c r="G53" s="385">
        <v>263.78579764510863</v>
      </c>
      <c r="H53" s="385">
        <v>521346</v>
      </c>
      <c r="I53" s="385">
        <v>606.63286483937713</v>
      </c>
      <c r="J53" s="386">
        <v>2.2997176885752095</v>
      </c>
      <c r="K53" s="353" t="str">
        <f>IF(COUNTIF('6.6 - Lists and lookups'!$D$9:$L$72,C53)=1,"IN LIST","CHECK")</f>
        <v>IN LIST</v>
      </c>
    </row>
    <row r="54" spans="2:11" s="153" customFormat="1" ht="13" x14ac:dyDescent="0.3">
      <c r="B54" s="383" t="s">
        <v>653</v>
      </c>
      <c r="C54" s="379" t="s">
        <v>654</v>
      </c>
      <c r="D54" s="384">
        <v>1166.3577</v>
      </c>
      <c r="E54" s="385">
        <v>450.33304068540002</v>
      </c>
      <c r="F54" s="385">
        <v>162300</v>
      </c>
      <c r="G54" s="385">
        <v>360.39993812797275</v>
      </c>
      <c r="H54" s="385">
        <v>400528</v>
      </c>
      <c r="I54" s="385">
        <v>889.40398286211132</v>
      </c>
      <c r="J54" s="386">
        <v>2.4678250154035735</v>
      </c>
      <c r="K54" s="353" t="str">
        <f>IF(COUNTIF('6.6 - Lists and lookups'!$D$9:$L$72,C54)=1,"IN LIST","CHECK")</f>
        <v>IN LIST</v>
      </c>
    </row>
    <row r="55" spans="2:11" s="153" customFormat="1" ht="13" x14ac:dyDescent="0.3">
      <c r="B55" s="383" t="s">
        <v>655</v>
      </c>
      <c r="C55" s="379" t="s">
        <v>656</v>
      </c>
      <c r="D55" s="384">
        <v>920.01769999999999</v>
      </c>
      <c r="E55" s="385">
        <v>355.22067400539999</v>
      </c>
      <c r="F55" s="385">
        <v>149000</v>
      </c>
      <c r="G55" s="385">
        <v>419.45756793911983</v>
      </c>
      <c r="H55" s="385">
        <v>357699</v>
      </c>
      <c r="I55" s="385">
        <v>1006.9768630486927</v>
      </c>
      <c r="J55" s="386">
        <v>2.4006644295302015</v>
      </c>
      <c r="K55" s="353" t="str">
        <f>IF(COUNTIF('6.6 - Lists and lookups'!$D$9:$L$72,C55)=1,"IN LIST","CHECK")</f>
        <v>IN LIST</v>
      </c>
    </row>
    <row r="56" spans="2:11" s="153" customFormat="1" ht="13" x14ac:dyDescent="0.3">
      <c r="B56" s="383" t="s">
        <v>657</v>
      </c>
      <c r="C56" s="379" t="s">
        <v>658</v>
      </c>
      <c r="D56" s="384">
        <v>3197.2758000000003</v>
      </c>
      <c r="E56" s="385">
        <v>1234.4745809316</v>
      </c>
      <c r="F56" s="385">
        <v>136800</v>
      </c>
      <c r="G56" s="385">
        <v>110.81637654844498</v>
      </c>
      <c r="H56" s="385">
        <v>324716</v>
      </c>
      <c r="I56" s="385">
        <v>263.03984303585423</v>
      </c>
      <c r="J56" s="386">
        <v>2.3736549707602341</v>
      </c>
      <c r="K56" s="353" t="str">
        <f>IF(COUNTIF('6.6 - Lists and lookups'!$D$9:$L$72,C56)=1,"IN LIST","CHECK")</f>
        <v>IN LIST</v>
      </c>
    </row>
    <row r="57" spans="2:11" s="153" customFormat="1" ht="13" x14ac:dyDescent="0.3">
      <c r="B57" s="383" t="s">
        <v>659</v>
      </c>
      <c r="C57" s="379" t="s">
        <v>660</v>
      </c>
      <c r="D57" s="384">
        <v>3545.4341999999997</v>
      </c>
      <c r="E57" s="385">
        <v>1368.8992354883999</v>
      </c>
      <c r="F57" s="385">
        <v>252200</v>
      </c>
      <c r="G57" s="385">
        <v>184.23562046188107</v>
      </c>
      <c r="H57" s="385">
        <v>572010</v>
      </c>
      <c r="I57" s="385">
        <v>417.86128969231004</v>
      </c>
      <c r="J57" s="386">
        <v>2.2680808881839809</v>
      </c>
      <c r="K57" s="353" t="str">
        <f>IF(COUNTIF('6.6 - Lists and lookups'!$D$9:$L$72,C57)=1,"IN LIST","CHECK")</f>
        <v>IN LIST</v>
      </c>
    </row>
    <row r="58" spans="2:11" s="153" customFormat="1" ht="13" x14ac:dyDescent="0.3">
      <c r="B58" s="383" t="s">
        <v>661</v>
      </c>
      <c r="C58" s="379" t="s">
        <v>662</v>
      </c>
      <c r="D58" s="384">
        <v>16.317699999999999</v>
      </c>
      <c r="E58" s="385">
        <v>6.3002966053999998</v>
      </c>
      <c r="F58" s="385">
        <v>923.17073170731703</v>
      </c>
      <c r="G58" s="385">
        <v>146.52813820163087</v>
      </c>
      <c r="H58" s="385">
        <v>2271</v>
      </c>
      <c r="I58" s="385">
        <v>360.45921997601198</v>
      </c>
      <c r="J58" s="386">
        <v>2.46</v>
      </c>
      <c r="K58" s="353" t="str">
        <f>IF(COUNTIF('6.6 - Lists and lookups'!$D$9:$L$72,C58)=1,"IN LIST","CHECK")</f>
        <v>IN LIST</v>
      </c>
    </row>
    <row r="59" spans="2:11" s="153" customFormat="1" ht="13" x14ac:dyDescent="0.3">
      <c r="B59" s="383" t="s">
        <v>663</v>
      </c>
      <c r="C59" s="379" t="s">
        <v>664</v>
      </c>
      <c r="D59" s="384">
        <v>3255.3380999999999</v>
      </c>
      <c r="E59" s="385">
        <v>1256.8925510862</v>
      </c>
      <c r="F59" s="385">
        <v>212600</v>
      </c>
      <c r="G59" s="385">
        <v>169.14731479335461</v>
      </c>
      <c r="H59" s="385">
        <v>513411</v>
      </c>
      <c r="I59" s="385">
        <v>408.47644419271393</v>
      </c>
      <c r="J59" s="386">
        <v>2.4149153339604892</v>
      </c>
      <c r="K59" s="353" t="str">
        <f>IF(COUNTIF('6.6 - Lists and lookups'!$D$9:$L$72,C59)=1,"IN LIST","CHECK")</f>
        <v>IN LIST</v>
      </c>
    </row>
    <row r="60" spans="2:11" s="153" customFormat="1" ht="13" x14ac:dyDescent="0.3">
      <c r="B60" s="383" t="s">
        <v>665</v>
      </c>
      <c r="C60" s="379" t="s">
        <v>666</v>
      </c>
      <c r="D60" s="384">
        <v>476.40820000000002</v>
      </c>
      <c r="E60" s="385">
        <v>183.94215883640001</v>
      </c>
      <c r="F60" s="385">
        <v>74200</v>
      </c>
      <c r="G60" s="385">
        <v>403.38767615527564</v>
      </c>
      <c r="H60" s="385">
        <v>185761</v>
      </c>
      <c r="I60" s="385">
        <v>1009.8881146938027</v>
      </c>
      <c r="J60" s="386">
        <v>2.5035175202156332</v>
      </c>
      <c r="K60" s="353" t="str">
        <f>IF(COUNTIF('6.6 - Lists and lookups'!$D$9:$L$72,C60)=1,"IN LIST","CHECK")</f>
        <v>IN LIST</v>
      </c>
    </row>
    <row r="61" spans="2:11" s="153" customFormat="1" ht="13" x14ac:dyDescent="0.3">
      <c r="B61" s="383" t="s">
        <v>667</v>
      </c>
      <c r="C61" s="379" t="s">
        <v>668</v>
      </c>
      <c r="D61" s="384">
        <v>715.66570000000002</v>
      </c>
      <c r="E61" s="385">
        <v>276.3199581014</v>
      </c>
      <c r="F61" s="385">
        <v>114600</v>
      </c>
      <c r="G61" s="385">
        <v>414.73660023481079</v>
      </c>
      <c r="H61" s="385">
        <v>295541</v>
      </c>
      <c r="I61" s="385">
        <v>1069.5608164921136</v>
      </c>
      <c r="J61" s="386">
        <v>2.5788917975567189</v>
      </c>
      <c r="K61" s="353" t="str">
        <f>IF(COUNTIF('6.6 - Lists and lookups'!$D$9:$L$72,C61)=1,"IN LIST","CHECK")</f>
        <v>IN LIST</v>
      </c>
    </row>
    <row r="62" spans="2:11" s="153" customFormat="1" ht="13" x14ac:dyDescent="0.3">
      <c r="B62" s="383" t="s">
        <v>669</v>
      </c>
      <c r="C62" s="379" t="s">
        <v>670</v>
      </c>
      <c r="D62" s="384">
        <v>5019.8978999999999</v>
      </c>
      <c r="E62" s="385">
        <v>1938.1926189858</v>
      </c>
      <c r="F62" s="385">
        <v>146600</v>
      </c>
      <c r="G62" s="385">
        <v>75.637477185684219</v>
      </c>
      <c r="H62" s="385">
        <v>321558</v>
      </c>
      <c r="I62" s="385">
        <v>165.90611111101123</v>
      </c>
      <c r="J62" s="386">
        <v>2.1934379263301502</v>
      </c>
      <c r="K62" s="353" t="str">
        <f>IF(COUNTIF('6.6 - Lists and lookups'!$D$9:$L$72,C62)=1,"IN LIST","CHECK")</f>
        <v>IN LIST</v>
      </c>
    </row>
    <row r="63" spans="2:11" s="153" customFormat="1" ht="26" x14ac:dyDescent="0.3">
      <c r="B63" s="383" t="s">
        <v>671</v>
      </c>
      <c r="C63" s="379" t="s">
        <v>672</v>
      </c>
      <c r="D63" s="384">
        <v>162.0701</v>
      </c>
      <c r="E63" s="385">
        <v>62.575589750199995</v>
      </c>
      <c r="F63" s="385">
        <v>177100</v>
      </c>
      <c r="G63" s="385">
        <v>2830.1770819416683</v>
      </c>
      <c r="H63" s="385">
        <v>400109</v>
      </c>
      <c r="I63" s="385">
        <v>6394.010853069447</v>
      </c>
      <c r="J63" s="386">
        <v>2.2592264257481647</v>
      </c>
      <c r="K63" s="353" t="str">
        <f>IF(COUNTIF('6.6 - Lists and lookups'!$D$9:$L$72,C63)=1,"IN LIST","CHECK")</f>
        <v>IN LIST</v>
      </c>
    </row>
    <row r="64" spans="2:11" s="153" customFormat="1" ht="13" x14ac:dyDescent="0.3">
      <c r="B64" s="383" t="s">
        <v>673</v>
      </c>
      <c r="C64" s="379" t="s">
        <v>674</v>
      </c>
      <c r="D64" s="384">
        <v>2490.9569000000001</v>
      </c>
      <c r="E64" s="385">
        <v>961.76344100380004</v>
      </c>
      <c r="F64" s="385">
        <v>160500</v>
      </c>
      <c r="G64" s="385">
        <v>166.88095342081718</v>
      </c>
      <c r="H64" s="385">
        <v>381292</v>
      </c>
      <c r="I64" s="385">
        <v>396.45091895159015</v>
      </c>
      <c r="J64" s="386">
        <v>2.3756510903426791</v>
      </c>
      <c r="K64" s="353" t="str">
        <f>IF(COUNTIF('6.6 - Lists and lookups'!$D$9:$L$72,C64)=1,"IN LIST","CHECK")</f>
        <v>IN LIST</v>
      </c>
    </row>
    <row r="65" spans="2:11" s="153" customFormat="1" ht="13" x14ac:dyDescent="0.3">
      <c r="B65" s="383" t="s">
        <v>675</v>
      </c>
      <c r="C65" s="379" t="s">
        <v>676</v>
      </c>
      <c r="D65" s="384">
        <v>1564.9379999999999</v>
      </c>
      <c r="E65" s="385">
        <v>604.225691676</v>
      </c>
      <c r="F65" s="385">
        <v>212200</v>
      </c>
      <c r="G65" s="385">
        <v>351.19327582943396</v>
      </c>
      <c r="H65" s="385">
        <v>555257</v>
      </c>
      <c r="I65" s="385">
        <v>918.95629009059394</v>
      </c>
      <c r="J65" s="386">
        <v>2.6166682375117811</v>
      </c>
      <c r="K65" s="353" t="str">
        <f>IF(COUNTIF('6.6 - Lists and lookups'!$D$9:$L$72,C65)=1,"IN LIST","CHECK")</f>
        <v>IN LIST</v>
      </c>
    </row>
    <row r="66" spans="2:11" s="153" customFormat="1" ht="13" x14ac:dyDescent="0.3">
      <c r="B66" s="383" t="s">
        <v>678</v>
      </c>
      <c r="C66" s="379" t="s">
        <v>679</v>
      </c>
      <c r="D66" s="384">
        <v>986.59469999999999</v>
      </c>
      <c r="E66" s="385">
        <v>380.92618685939999</v>
      </c>
      <c r="F66" s="385">
        <v>146496.34146341463</v>
      </c>
      <c r="G66" s="385">
        <v>384.57933982230128</v>
      </c>
      <c r="H66" s="385">
        <v>360381</v>
      </c>
      <c r="I66" s="385">
        <v>946.06517596286119</v>
      </c>
      <c r="J66" s="386">
        <v>2.46</v>
      </c>
      <c r="K66" s="353" t="str">
        <f>IF(COUNTIF('6.6 - Lists and lookups'!$D$9:$L$72,C66)=1,"IN LIST","CHECK")</f>
        <v>IN LIST</v>
      </c>
    </row>
    <row r="67" spans="2:11" s="153" customFormat="1" ht="13" x14ac:dyDescent="0.3">
      <c r="B67" s="383" t="s">
        <v>680</v>
      </c>
      <c r="C67" s="379" t="s">
        <v>681</v>
      </c>
      <c r="D67" s="384">
        <v>1377.4107999999999</v>
      </c>
      <c r="E67" s="385">
        <v>531.82106470159999</v>
      </c>
      <c r="F67" s="385">
        <v>173358.53658536586</v>
      </c>
      <c r="G67" s="385">
        <v>325.97154962757213</v>
      </c>
      <c r="H67" s="385">
        <v>426462</v>
      </c>
      <c r="I67" s="385">
        <v>801.8900120838274</v>
      </c>
      <c r="J67" s="386">
        <v>2.46</v>
      </c>
      <c r="K67" s="353" t="str">
        <f>IF(COUNTIF('6.6 - Lists and lookups'!$D$9:$L$72,C67)=1,"IN LIST","CHECK")</f>
        <v>IN LIST</v>
      </c>
    </row>
    <row r="68" spans="2:11" s="153" customFormat="1" ht="13" x14ac:dyDescent="0.3">
      <c r="B68" s="383" t="s">
        <v>682</v>
      </c>
      <c r="C68" s="379" t="s">
        <v>683</v>
      </c>
      <c r="D68" s="384">
        <v>40.698999999999998</v>
      </c>
      <c r="E68" s="385">
        <v>15.713965298</v>
      </c>
      <c r="F68" s="385">
        <v>54800</v>
      </c>
      <c r="G68" s="385">
        <v>3487.3438346573598</v>
      </c>
      <c r="H68" s="385">
        <v>144714</v>
      </c>
      <c r="I68" s="385">
        <v>9209.2605052665167</v>
      </c>
      <c r="J68" s="386">
        <v>2.6407664233576642</v>
      </c>
      <c r="K68" s="353" t="str">
        <f>IF(COUNTIF('6.6 - Lists and lookups'!$D$9:$L$72,C68)=1,"IN LIST","CHECK")</f>
        <v>IN LIST</v>
      </c>
    </row>
    <row r="69" spans="2:11" s="153" customFormat="1" ht="13" x14ac:dyDescent="0.3">
      <c r="B69" s="383" t="s">
        <v>684</v>
      </c>
      <c r="C69" s="379" t="s">
        <v>685</v>
      </c>
      <c r="D69" s="384">
        <v>651.28599999999994</v>
      </c>
      <c r="E69" s="385">
        <v>251.46282717199998</v>
      </c>
      <c r="F69" s="385">
        <v>36500</v>
      </c>
      <c r="G69" s="385">
        <v>145.15067857339443</v>
      </c>
      <c r="H69" s="385">
        <v>88145</v>
      </c>
      <c r="I69" s="385">
        <v>350.52894692744798</v>
      </c>
      <c r="J69" s="386">
        <v>2.4149315068493151</v>
      </c>
      <c r="K69" s="353" t="str">
        <f>IF(COUNTIF('6.6 - Lists and lookups'!$D$9:$L$72,C69)=1,"IN LIST","CHECK")</f>
        <v>IN LIST</v>
      </c>
    </row>
    <row r="70" spans="2:11" s="153" customFormat="1" ht="13" x14ac:dyDescent="0.3">
      <c r="B70" s="383" t="s">
        <v>686</v>
      </c>
      <c r="C70" s="379" t="s">
        <v>687</v>
      </c>
      <c r="D70" s="384">
        <v>546.4502</v>
      </c>
      <c r="E70" s="385">
        <v>210.98551512040001</v>
      </c>
      <c r="F70" s="385">
        <v>47700</v>
      </c>
      <c r="G70" s="385">
        <v>226.08187094161295</v>
      </c>
      <c r="H70" s="385">
        <v>102742</v>
      </c>
      <c r="I70" s="385">
        <v>486.96233929314877</v>
      </c>
      <c r="J70" s="386">
        <v>2.1539203354297696</v>
      </c>
      <c r="K70" s="353" t="str">
        <f>IF(COUNTIF('6.6 - Lists and lookups'!$D$9:$L$72,C70)=1,"IN LIST","CHECK")</f>
        <v>IN LIST</v>
      </c>
    </row>
    <row r="71" spans="2:11" s="153" customFormat="1" ht="13" x14ac:dyDescent="0.3">
      <c r="B71" s="383" t="s">
        <v>688</v>
      </c>
      <c r="C71" s="379" t="s">
        <v>689</v>
      </c>
      <c r="D71" s="384">
        <v>906.17600000000004</v>
      </c>
      <c r="E71" s="385">
        <v>349.87636595200001</v>
      </c>
      <c r="F71" s="385">
        <v>71600</v>
      </c>
      <c r="G71" s="385">
        <v>204.64371694606803</v>
      </c>
      <c r="H71" s="385">
        <v>181804</v>
      </c>
      <c r="I71" s="385">
        <v>519.62355189473396</v>
      </c>
      <c r="J71" s="386">
        <v>2.5391620111731843</v>
      </c>
      <c r="K71" s="353" t="str">
        <f>IF(COUNTIF('6.6 - Lists and lookups'!$D$9:$L$72,C71)=1,"IN LIST","CHECK")</f>
        <v>IN LIST</v>
      </c>
    </row>
    <row r="72" spans="2:11" s="153" customFormat="1" ht="13" x14ac:dyDescent="0.3">
      <c r="B72" s="383" t="s">
        <v>690</v>
      </c>
      <c r="C72" s="379" t="s">
        <v>691</v>
      </c>
      <c r="D72" s="384">
        <v>901.625</v>
      </c>
      <c r="E72" s="385">
        <v>348.11921575000002</v>
      </c>
      <c r="F72" s="385">
        <v>64400</v>
      </c>
      <c r="G72" s="385">
        <v>184.99409709761187</v>
      </c>
      <c r="H72" s="385">
        <v>163002</v>
      </c>
      <c r="I72" s="385">
        <v>468.23614619728153</v>
      </c>
      <c r="J72" s="386">
        <v>2.5310869565217393</v>
      </c>
      <c r="K72" s="353" t="str">
        <f>IF(COUNTIF('6.6 - Lists and lookups'!$D$9:$L$72,C72)=1,"IN LIST","CHECK")</f>
        <v>IN LIST</v>
      </c>
    </row>
    <row r="73" spans="2:11" s="153" customFormat="1" ht="13" x14ac:dyDescent="0.3">
      <c r="B73" s="383" t="s">
        <v>692</v>
      </c>
      <c r="C73" s="379" t="s">
        <v>693</v>
      </c>
      <c r="D73" s="384">
        <v>1242.1502</v>
      </c>
      <c r="E73" s="385">
        <v>479.59667652040002</v>
      </c>
      <c r="F73" s="385">
        <v>42300</v>
      </c>
      <c r="G73" s="385">
        <v>88.199109941498392</v>
      </c>
      <c r="H73" s="385">
        <v>96384</v>
      </c>
      <c r="I73" s="385">
        <v>200.96886554613192</v>
      </c>
      <c r="J73" s="386">
        <v>2.2785815602836879</v>
      </c>
      <c r="K73" s="353" t="str">
        <f>IF(COUNTIF('6.6 - Lists and lookups'!$D$9:$L$72,C73)=1,"IN LIST","CHECK")</f>
        <v>IN LIST</v>
      </c>
    </row>
    <row r="74" spans="2:11" s="153" customFormat="1" ht="13" x14ac:dyDescent="0.3">
      <c r="B74" s="383" t="s">
        <v>694</v>
      </c>
      <c r="C74" s="379" t="s">
        <v>695</v>
      </c>
      <c r="D74" s="384">
        <v>77.897099999999995</v>
      </c>
      <c r="E74" s="385">
        <v>30.076226104199996</v>
      </c>
      <c r="F74" s="385">
        <v>29100</v>
      </c>
      <c r="G74" s="385">
        <v>967.54160243316994</v>
      </c>
      <c r="H74" s="385">
        <v>67375</v>
      </c>
      <c r="I74" s="385">
        <v>2240.1414248774854</v>
      </c>
      <c r="J74" s="386">
        <v>2.3152920962199315</v>
      </c>
      <c r="K74" s="353" t="str">
        <f>IF(COUNTIF('6.6 - Lists and lookups'!$D$9:$L$72,C74)=1,"IN LIST","CHECK")</f>
        <v>IN LIST</v>
      </c>
    </row>
    <row r="75" spans="2:11" s="153" customFormat="1" ht="13" x14ac:dyDescent="0.3">
      <c r="B75" s="383" t="s">
        <v>696</v>
      </c>
      <c r="C75" s="379" t="s">
        <v>697</v>
      </c>
      <c r="D75" s="384">
        <v>1038.2969000000001</v>
      </c>
      <c r="E75" s="385">
        <v>400.88850968380001</v>
      </c>
      <c r="F75" s="385">
        <v>49200</v>
      </c>
      <c r="G75" s="385">
        <v>122.7273888164228</v>
      </c>
      <c r="H75" s="385">
        <v>110255</v>
      </c>
      <c r="I75" s="385">
        <v>275.02659052753444</v>
      </c>
      <c r="J75" s="386">
        <v>2.2409552845528453</v>
      </c>
      <c r="K75" s="353" t="str">
        <f>IF(COUNTIF('6.6 - Lists and lookups'!$D$9:$L$72,C75)=1,"IN LIST","CHECK")</f>
        <v>IN LIST</v>
      </c>
    </row>
    <row r="76" spans="2:11" s="153" customFormat="1" ht="13" x14ac:dyDescent="0.3">
      <c r="B76" s="383" t="s">
        <v>698</v>
      </c>
      <c r="C76" s="379" t="s">
        <v>699</v>
      </c>
      <c r="D76" s="384">
        <v>731.76080000000002</v>
      </c>
      <c r="E76" s="385">
        <v>282.53430840160001</v>
      </c>
      <c r="F76" s="385">
        <v>29300</v>
      </c>
      <c r="G76" s="385">
        <v>103.70421973090923</v>
      </c>
      <c r="H76" s="385">
        <v>67176</v>
      </c>
      <c r="I76" s="385">
        <v>237.76227524380744</v>
      </c>
      <c r="J76" s="386">
        <v>2.2926962457337883</v>
      </c>
      <c r="K76" s="353" t="str">
        <f>IF(COUNTIF('6.6 - Lists and lookups'!$D$9:$L$72,C76)=1,"IN LIST","CHECK")</f>
        <v>IN LIST</v>
      </c>
    </row>
    <row r="77" spans="2:11" s="153" customFormat="1" ht="13" x14ac:dyDescent="0.3">
      <c r="B77" s="383" t="s">
        <v>700</v>
      </c>
      <c r="C77" s="379" t="s">
        <v>701</v>
      </c>
      <c r="D77" s="384">
        <v>2142.3761</v>
      </c>
      <c r="E77" s="385">
        <v>827.17569696219994</v>
      </c>
      <c r="F77" s="385">
        <v>23500</v>
      </c>
      <c r="G77" s="385">
        <v>28.409925589332076</v>
      </c>
      <c r="H77" s="385">
        <v>54955</v>
      </c>
      <c r="I77" s="385">
        <v>66.436913223904014</v>
      </c>
      <c r="J77" s="386">
        <v>2.3385106382978722</v>
      </c>
      <c r="K77" s="353" t="str">
        <f>IF(COUNTIF('6.6 - Lists and lookups'!$D$9:$L$72,C77)=1,"IN LIST","CHECK")</f>
        <v>IN LIST</v>
      </c>
    </row>
    <row r="78" spans="2:11" s="153" customFormat="1" ht="13" x14ac:dyDescent="0.3">
      <c r="B78" s="383" t="s">
        <v>702</v>
      </c>
      <c r="C78" s="379" t="s">
        <v>703</v>
      </c>
      <c r="D78" s="384">
        <v>1535.4656</v>
      </c>
      <c r="E78" s="385">
        <v>592.84633909119998</v>
      </c>
      <c r="F78" s="385">
        <v>42200</v>
      </c>
      <c r="G78" s="385">
        <v>71.182020057153807</v>
      </c>
      <c r="H78" s="385">
        <v>104676</v>
      </c>
      <c r="I78" s="385">
        <v>176.56514529627088</v>
      </c>
      <c r="J78" s="386">
        <v>2.4804739336492889</v>
      </c>
      <c r="K78" s="353" t="str">
        <f>IF(COUNTIF('6.6 - Lists and lookups'!$D$9:$L$72,C78)=1,"IN LIST","CHECK")</f>
        <v>IN LIST</v>
      </c>
    </row>
    <row r="79" spans="2:11" s="153" customFormat="1" ht="13" x14ac:dyDescent="0.3">
      <c r="B79" s="383" t="s">
        <v>704</v>
      </c>
      <c r="C79" s="379" t="s">
        <v>705</v>
      </c>
      <c r="D79" s="384">
        <v>265.43790000000001</v>
      </c>
      <c r="E79" s="385">
        <v>102.48610406580001</v>
      </c>
      <c r="F79" s="385">
        <v>61600</v>
      </c>
      <c r="G79" s="385">
        <v>601.05709512043154</v>
      </c>
      <c r="H79" s="385">
        <v>126489</v>
      </c>
      <c r="I79" s="385">
        <v>1234.2063458553289</v>
      </c>
      <c r="J79" s="386">
        <v>2.0533928571428572</v>
      </c>
      <c r="K79" s="353" t="str">
        <f>IF(COUNTIF('6.6 - Lists and lookups'!$D$9:$L$72,C79)=1,"IN LIST","CHECK")</f>
        <v>IN LIST</v>
      </c>
    </row>
    <row r="80" spans="2:11" s="153" customFormat="1" ht="13" x14ac:dyDescent="0.3">
      <c r="B80" s="383" t="s">
        <v>706</v>
      </c>
      <c r="C80" s="379" t="s">
        <v>707</v>
      </c>
      <c r="D80" s="384">
        <v>160.3347</v>
      </c>
      <c r="E80" s="385">
        <v>61.905548339399999</v>
      </c>
      <c r="F80" s="385">
        <v>33400</v>
      </c>
      <c r="G80" s="385">
        <v>539.53160735905237</v>
      </c>
      <c r="H80" s="385">
        <v>80476</v>
      </c>
      <c r="I80" s="385">
        <v>1299.9804081984162</v>
      </c>
      <c r="J80" s="386">
        <v>2.4094610778443113</v>
      </c>
      <c r="K80" s="353" t="str">
        <f>IF(COUNTIF('6.6 - Lists and lookups'!$D$9:$L$72,C80)=1,"IN LIST","CHECK")</f>
        <v>IN LIST</v>
      </c>
    </row>
    <row r="81" spans="2:11" s="153" customFormat="1" ht="13" x14ac:dyDescent="0.3">
      <c r="B81" s="383" t="s">
        <v>708</v>
      </c>
      <c r="C81" s="379" t="s">
        <v>709</v>
      </c>
      <c r="D81" s="384">
        <v>66.035200000000003</v>
      </c>
      <c r="E81" s="385">
        <v>25.496322790400001</v>
      </c>
      <c r="F81" s="385">
        <v>45300</v>
      </c>
      <c r="G81" s="385">
        <v>1776.7267998762777</v>
      </c>
      <c r="H81" s="385">
        <v>103672</v>
      </c>
      <c r="I81" s="385">
        <v>4066.1549844762353</v>
      </c>
      <c r="J81" s="386">
        <v>2.2885651214128035</v>
      </c>
      <c r="K81" s="353" t="str">
        <f>IF(COUNTIF('6.6 - Lists and lookups'!$D$9:$L$72,C81)=1,"IN LIST","CHECK")</f>
        <v>IN LIST</v>
      </c>
    </row>
    <row r="82" spans="2:11" s="153" customFormat="1" ht="13" x14ac:dyDescent="0.3">
      <c r="B82" s="383" t="s">
        <v>710</v>
      </c>
      <c r="C82" s="379" t="s">
        <v>711</v>
      </c>
      <c r="D82" s="384">
        <v>792.42410000000007</v>
      </c>
      <c r="E82" s="385">
        <v>305.95652985820004</v>
      </c>
      <c r="F82" s="385">
        <v>30100</v>
      </c>
      <c r="G82" s="385">
        <v>98.379988862961284</v>
      </c>
      <c r="H82" s="385">
        <v>71681</v>
      </c>
      <c r="I82" s="385">
        <v>234.28491633508065</v>
      </c>
      <c r="J82" s="386">
        <v>2.3814285714285712</v>
      </c>
      <c r="K82" s="353" t="str">
        <f>IF(COUNTIF('6.6 - Lists and lookups'!$D$9:$L$72,C82)=1,"IN LIST","CHECK")</f>
        <v>IN LIST</v>
      </c>
    </row>
    <row r="83" spans="2:11" s="153" customFormat="1" ht="13" x14ac:dyDescent="0.3">
      <c r="B83" s="383" t="s">
        <v>712</v>
      </c>
      <c r="C83" s="379" t="s">
        <v>713</v>
      </c>
      <c r="D83" s="384">
        <v>109.6301</v>
      </c>
      <c r="E83" s="385">
        <v>42.328400870199999</v>
      </c>
      <c r="F83" s="385">
        <v>47900</v>
      </c>
      <c r="G83" s="385">
        <v>1131.6279144795785</v>
      </c>
      <c r="H83" s="385">
        <v>113047</v>
      </c>
      <c r="I83" s="385">
        <v>2670.7127525714595</v>
      </c>
      <c r="J83" s="386">
        <v>2.3600626304801668</v>
      </c>
      <c r="K83" s="353" t="str">
        <f>IF(COUNTIF('6.6 - Lists and lookups'!$D$9:$L$72,C83)=1,"IN LIST","CHECK")</f>
        <v>IN LIST</v>
      </c>
    </row>
    <row r="84" spans="2:11" s="153" customFormat="1" ht="13" x14ac:dyDescent="0.3">
      <c r="B84" s="383" t="s">
        <v>714</v>
      </c>
      <c r="C84" s="379" t="s">
        <v>715</v>
      </c>
      <c r="D84" s="384">
        <v>539.14330000000007</v>
      </c>
      <c r="E84" s="385">
        <v>208.16430641660003</v>
      </c>
      <c r="F84" s="385">
        <v>38000</v>
      </c>
      <c r="G84" s="385">
        <v>182.54810660935527</v>
      </c>
      <c r="H84" s="385">
        <v>91104</v>
      </c>
      <c r="I84" s="385">
        <v>437.65428169838691</v>
      </c>
      <c r="J84" s="386">
        <v>2.3974736842105262</v>
      </c>
      <c r="K84" s="353" t="str">
        <f>IF(COUNTIF('6.6 - Lists and lookups'!$D$9:$L$72,C84)=1,"IN LIST","CHECK")</f>
        <v>IN LIST</v>
      </c>
    </row>
    <row r="85" spans="2:11" s="153" customFormat="1" ht="13" x14ac:dyDescent="0.3">
      <c r="B85" s="383" t="s">
        <v>716</v>
      </c>
      <c r="C85" s="379" t="s">
        <v>717</v>
      </c>
      <c r="D85" s="384">
        <v>275.6234</v>
      </c>
      <c r="E85" s="385">
        <v>106.4187459868</v>
      </c>
      <c r="F85" s="385">
        <v>41800</v>
      </c>
      <c r="G85" s="385">
        <v>392.78793987278141</v>
      </c>
      <c r="H85" s="385">
        <v>102315</v>
      </c>
      <c r="I85" s="385">
        <v>961.43775282496722</v>
      </c>
      <c r="J85" s="386">
        <v>2.4477272727272728</v>
      </c>
      <c r="K85" s="353" t="str">
        <f>IF(COUNTIF('6.6 - Lists and lookups'!$D$9:$L$72,C85)=1,"IN LIST","CHECK")</f>
        <v>IN LIST</v>
      </c>
    </row>
    <row r="86" spans="2:11" s="153" customFormat="1" ht="13" x14ac:dyDescent="0.3">
      <c r="B86" s="383" t="s">
        <v>718</v>
      </c>
      <c r="C86" s="379" t="s">
        <v>719</v>
      </c>
      <c r="D86" s="384">
        <v>338.12690000000003</v>
      </c>
      <c r="E86" s="385">
        <v>130.55147234380001</v>
      </c>
      <c r="F86" s="385">
        <v>39800</v>
      </c>
      <c r="G86" s="385">
        <v>304.86059854758986</v>
      </c>
      <c r="H86" s="385">
        <v>108063</v>
      </c>
      <c r="I86" s="385">
        <v>827.74248394090966</v>
      </c>
      <c r="J86" s="386">
        <v>2.7151507537688442</v>
      </c>
      <c r="K86" s="353" t="str">
        <f>IF(COUNTIF('6.6 - Lists and lookups'!$D$9:$L$72,C86)=1,"IN LIST","CHECK")</f>
        <v>IN LIST</v>
      </c>
    </row>
    <row r="87" spans="2:11" s="153" customFormat="1" ht="13" x14ac:dyDescent="0.3">
      <c r="B87" s="383" t="s">
        <v>720</v>
      </c>
      <c r="C87" s="379" t="s">
        <v>721</v>
      </c>
      <c r="D87" s="384">
        <v>814.23829999999998</v>
      </c>
      <c r="E87" s="385">
        <v>314.37903610659998</v>
      </c>
      <c r="F87" s="385">
        <v>57800</v>
      </c>
      <c r="G87" s="385">
        <v>183.85449842909091</v>
      </c>
      <c r="H87" s="385">
        <v>152120</v>
      </c>
      <c r="I87" s="385">
        <v>483.87450347808493</v>
      </c>
      <c r="J87" s="386">
        <v>2.6318339100346022</v>
      </c>
      <c r="K87" s="353" t="str">
        <f>IF(COUNTIF('6.6 - Lists and lookups'!$D$9:$L$72,C87)=1,"IN LIST","CHECK")</f>
        <v>IN LIST</v>
      </c>
    </row>
    <row r="88" spans="2:11" s="153" customFormat="1" ht="13" x14ac:dyDescent="0.3">
      <c r="B88" s="383" t="s">
        <v>722</v>
      </c>
      <c r="C88" s="379" t="s">
        <v>723</v>
      </c>
      <c r="D88" s="384">
        <v>47.033000000000001</v>
      </c>
      <c r="E88" s="385">
        <v>18.159535366</v>
      </c>
      <c r="F88" s="385">
        <v>53200</v>
      </c>
      <c r="G88" s="385">
        <v>2929.5903737496542</v>
      </c>
      <c r="H88" s="385">
        <v>129307</v>
      </c>
      <c r="I88" s="385">
        <v>7120.6117003467389</v>
      </c>
      <c r="J88" s="386">
        <v>2.4305827067669172</v>
      </c>
      <c r="K88" s="353" t="str">
        <f>IF(COUNTIF('6.6 - Lists and lookups'!$D$9:$L$72,C88)=1,"IN LIST","CHECK")</f>
        <v>IN LIST</v>
      </c>
    </row>
    <row r="89" spans="2:11" s="153" customFormat="1" ht="13" x14ac:dyDescent="0.3">
      <c r="B89" s="383" t="s">
        <v>724</v>
      </c>
      <c r="C89" s="379" t="s">
        <v>725</v>
      </c>
      <c r="D89" s="384">
        <v>912.90070000000003</v>
      </c>
      <c r="E89" s="385">
        <v>352.47278607140004</v>
      </c>
      <c r="F89" s="385">
        <v>33500</v>
      </c>
      <c r="G89" s="385">
        <v>95.042798547329383</v>
      </c>
      <c r="H89" s="385">
        <v>83186</v>
      </c>
      <c r="I89" s="385">
        <v>236.0068728345714</v>
      </c>
      <c r="J89" s="386">
        <v>2.4831641791044774</v>
      </c>
      <c r="K89" s="353" t="str">
        <f>IF(COUNTIF('6.6 - Lists and lookups'!$D$9:$L$72,C89)=1,"IN LIST","CHECK")</f>
        <v>IN LIST</v>
      </c>
    </row>
    <row r="90" spans="2:11" s="153" customFormat="1" ht="13" x14ac:dyDescent="0.3">
      <c r="B90" s="383" t="s">
        <v>726</v>
      </c>
      <c r="C90" s="379" t="s">
        <v>727</v>
      </c>
      <c r="D90" s="384">
        <v>1085.8924999999999</v>
      </c>
      <c r="E90" s="385">
        <v>419.26526603499997</v>
      </c>
      <c r="F90" s="385">
        <v>43000</v>
      </c>
      <c r="G90" s="385">
        <v>102.56036806161374</v>
      </c>
      <c r="H90" s="385">
        <v>99435</v>
      </c>
      <c r="I90" s="385">
        <v>237.16488833038517</v>
      </c>
      <c r="J90" s="386">
        <v>2.3124418604651162</v>
      </c>
      <c r="K90" s="353" t="str">
        <f>IF(COUNTIF('6.6 - Lists and lookups'!$D$9:$L$72,C90)=1,"IN LIST","CHECK")</f>
        <v>IN LIST</v>
      </c>
    </row>
    <row r="91" spans="2:11" s="153" customFormat="1" ht="13" x14ac:dyDescent="0.3">
      <c r="B91" s="383" t="s">
        <v>728</v>
      </c>
      <c r="C91" s="379" t="s">
        <v>729</v>
      </c>
      <c r="D91" s="384">
        <v>886.54700000000003</v>
      </c>
      <c r="E91" s="385">
        <v>342.29756979400003</v>
      </c>
      <c r="F91" s="385">
        <v>36700</v>
      </c>
      <c r="G91" s="385">
        <v>107.21665369136751</v>
      </c>
      <c r="H91" s="385">
        <v>89213</v>
      </c>
      <c r="I91" s="385">
        <v>260.62995438059863</v>
      </c>
      <c r="J91" s="386">
        <v>2.4308719346049048</v>
      </c>
      <c r="K91" s="353" t="str">
        <f>IF(COUNTIF('6.6 - Lists and lookups'!$D$9:$L$72,C91)=1,"IN LIST","CHECK")</f>
        <v>IN LIST</v>
      </c>
    </row>
    <row r="92" spans="2:11" s="153" customFormat="1" ht="13" x14ac:dyDescent="0.3">
      <c r="B92" s="383" t="s">
        <v>730</v>
      </c>
      <c r="C92" s="379" t="s">
        <v>731</v>
      </c>
      <c r="D92" s="384">
        <v>673.75970000000007</v>
      </c>
      <c r="E92" s="385">
        <v>260.13996768940001</v>
      </c>
      <c r="F92" s="385">
        <v>49700</v>
      </c>
      <c r="G92" s="385">
        <v>191.05099628266441</v>
      </c>
      <c r="H92" s="385">
        <v>135216</v>
      </c>
      <c r="I92" s="385">
        <v>519.78172059067913</v>
      </c>
      <c r="J92" s="386">
        <v>2.7206438631790744</v>
      </c>
      <c r="K92" s="353" t="str">
        <f>IF(COUNTIF('6.6 - Lists and lookups'!$D$9:$L$72,C92)=1,"IN LIST","CHECK")</f>
        <v>IN LIST</v>
      </c>
    </row>
    <row r="93" spans="2:11" s="153" customFormat="1" ht="13" x14ac:dyDescent="0.3">
      <c r="B93" s="383" t="s">
        <v>732</v>
      </c>
      <c r="C93" s="379" t="s">
        <v>733</v>
      </c>
      <c r="D93" s="384">
        <v>983.80050000000006</v>
      </c>
      <c r="E93" s="385">
        <v>379.84734065100002</v>
      </c>
      <c r="F93" s="385">
        <v>29500</v>
      </c>
      <c r="G93" s="385">
        <v>77.662778813829604</v>
      </c>
      <c r="H93" s="385">
        <v>68475</v>
      </c>
      <c r="I93" s="385">
        <v>180.2697891280333</v>
      </c>
      <c r="J93" s="386">
        <v>2.3211864406779661</v>
      </c>
      <c r="K93" s="353" t="str">
        <f>IF(COUNTIF('6.6 - Lists and lookups'!$D$9:$L$72,C93)=1,"IN LIST","CHECK")</f>
        <v>IN LIST</v>
      </c>
    </row>
    <row r="94" spans="2:11" s="153" customFormat="1" ht="13" x14ac:dyDescent="0.3">
      <c r="B94" s="383" t="s">
        <v>734</v>
      </c>
      <c r="C94" s="379" t="s">
        <v>735</v>
      </c>
      <c r="D94" s="384">
        <v>1159.6722</v>
      </c>
      <c r="E94" s="385">
        <v>447.7517557644</v>
      </c>
      <c r="F94" s="385">
        <v>21800</v>
      </c>
      <c r="G94" s="385">
        <v>48.687692944460103</v>
      </c>
      <c r="H94" s="385">
        <v>57488</v>
      </c>
      <c r="I94" s="385">
        <v>128.3925730271157</v>
      </c>
      <c r="J94" s="386">
        <v>2.6370642201834862</v>
      </c>
      <c r="K94" s="353" t="str">
        <f>IF(COUNTIF('6.6 - Lists and lookups'!$D$9:$L$72,C94)=1,"IN LIST","CHECK")</f>
        <v>IN LIST</v>
      </c>
    </row>
    <row r="95" spans="2:11" s="153" customFormat="1" ht="13" x14ac:dyDescent="0.3">
      <c r="B95" s="383" t="s">
        <v>736</v>
      </c>
      <c r="C95" s="379" t="s">
        <v>737</v>
      </c>
      <c r="D95" s="384">
        <v>44.161499999999997</v>
      </c>
      <c r="E95" s="385">
        <v>17.050843473</v>
      </c>
      <c r="F95" s="385">
        <v>44500</v>
      </c>
      <c r="G95" s="385">
        <v>2609.8415641704601</v>
      </c>
      <c r="H95" s="385">
        <v>101593</v>
      </c>
      <c r="I95" s="385">
        <v>5958.2389669386412</v>
      </c>
      <c r="J95" s="386">
        <v>2.2829887640449438</v>
      </c>
      <c r="K95" s="353" t="str">
        <f>IF(COUNTIF('6.6 - Lists and lookups'!$D$9:$L$72,C95)=1,"IN LIST","CHECK")</f>
        <v>IN LIST</v>
      </c>
    </row>
    <row r="96" spans="2:11" s="153" customFormat="1" ht="13" x14ac:dyDescent="0.3">
      <c r="B96" s="383" t="s">
        <v>738</v>
      </c>
      <c r="C96" s="379" t="s">
        <v>739</v>
      </c>
      <c r="D96" s="384">
        <v>29.796100000000003</v>
      </c>
      <c r="E96" s="385">
        <v>11.504333802200001</v>
      </c>
      <c r="F96" s="385">
        <v>41500</v>
      </c>
      <c r="G96" s="385">
        <v>3607.3362189876525</v>
      </c>
      <c r="H96" s="385">
        <v>90959</v>
      </c>
      <c r="I96" s="385">
        <v>7906.4986781421185</v>
      </c>
      <c r="J96" s="386">
        <v>2.1917831325301207</v>
      </c>
      <c r="K96" s="353" t="str">
        <f>IF(COUNTIF('6.6 - Lists and lookups'!$D$9:$L$72,C96)=1,"IN LIST","CHECK")</f>
        <v>IN LIST</v>
      </c>
    </row>
    <row r="97" spans="2:11" s="153" customFormat="1" ht="13" x14ac:dyDescent="0.3">
      <c r="B97" s="383" t="s">
        <v>740</v>
      </c>
      <c r="C97" s="379" t="s">
        <v>741</v>
      </c>
      <c r="D97" s="384">
        <v>292.10700000000003</v>
      </c>
      <c r="E97" s="385">
        <v>112.78309691400001</v>
      </c>
      <c r="F97" s="385">
        <v>45100</v>
      </c>
      <c r="G97" s="385">
        <v>399.88261746695872</v>
      </c>
      <c r="H97" s="385">
        <v>100194</v>
      </c>
      <c r="I97" s="385">
        <v>888.37780431229407</v>
      </c>
      <c r="J97" s="386">
        <v>2.2215964523281597</v>
      </c>
      <c r="K97" s="353" t="str">
        <f>IF(COUNTIF('6.6 - Lists and lookups'!$D$9:$L$72,C97)=1,"IN LIST","CHECK")</f>
        <v>IN LIST</v>
      </c>
    </row>
    <row r="98" spans="2:11" s="153" customFormat="1" ht="13" x14ac:dyDescent="0.3">
      <c r="B98" s="383" t="s">
        <v>742</v>
      </c>
      <c r="C98" s="379" t="s">
        <v>743</v>
      </c>
      <c r="D98" s="384">
        <v>509.44129999999996</v>
      </c>
      <c r="E98" s="385">
        <v>196.69630481259998</v>
      </c>
      <c r="F98" s="385">
        <v>43300</v>
      </c>
      <c r="G98" s="385">
        <v>220.13631644607432</v>
      </c>
      <c r="H98" s="385">
        <v>93429</v>
      </c>
      <c r="I98" s="385">
        <v>474.9911295436554</v>
      </c>
      <c r="J98" s="386">
        <v>2.1577136258660508</v>
      </c>
      <c r="K98" s="353" t="str">
        <f>IF(COUNTIF('6.6 - Lists and lookups'!$D$9:$L$72,C98)=1,"IN LIST","CHECK")</f>
        <v>IN LIST</v>
      </c>
    </row>
    <row r="99" spans="2:11" s="153" customFormat="1" ht="13" x14ac:dyDescent="0.3">
      <c r="B99" s="383" t="s">
        <v>744</v>
      </c>
      <c r="C99" s="379" t="s">
        <v>745</v>
      </c>
      <c r="D99" s="384">
        <v>833.12559999999996</v>
      </c>
      <c r="E99" s="385">
        <v>321.67146041119997</v>
      </c>
      <c r="F99" s="385">
        <v>64600</v>
      </c>
      <c r="G99" s="385">
        <v>200.82602266741458</v>
      </c>
      <c r="H99" s="385">
        <v>160749</v>
      </c>
      <c r="I99" s="385">
        <v>499.73037643597877</v>
      </c>
      <c r="J99" s="386">
        <v>2.4883746130030961</v>
      </c>
      <c r="K99" s="353" t="str">
        <f>IF(COUNTIF('6.6 - Lists and lookups'!$D$9:$L$72,C99)=1,"IN LIST","CHECK")</f>
        <v>IN LIST</v>
      </c>
    </row>
    <row r="100" spans="2:11" s="153" customFormat="1" ht="13" x14ac:dyDescent="0.3">
      <c r="B100" s="383" t="s">
        <v>746</v>
      </c>
      <c r="C100" s="379" t="s">
        <v>747</v>
      </c>
      <c r="D100" s="384">
        <v>110.001</v>
      </c>
      <c r="E100" s="385">
        <v>42.471606102000003</v>
      </c>
      <c r="F100" s="385">
        <v>76200</v>
      </c>
      <c r="G100" s="385">
        <v>1794.139826428926</v>
      </c>
      <c r="H100" s="385">
        <v>187659</v>
      </c>
      <c r="I100" s="385">
        <v>4418.4578174255357</v>
      </c>
      <c r="J100" s="386">
        <v>2.4627165354330707</v>
      </c>
      <c r="K100" s="353" t="str">
        <f>IF(COUNTIF('6.6 - Lists and lookups'!$D$9:$L$72,C100)=1,"IN LIST","CHECK")</f>
        <v>IN LIST</v>
      </c>
    </row>
    <row r="101" spans="2:11" s="153" customFormat="1" ht="13" x14ac:dyDescent="0.3">
      <c r="B101" s="383" t="s">
        <v>748</v>
      </c>
      <c r="C101" s="379" t="s">
        <v>749</v>
      </c>
      <c r="D101" s="384">
        <v>611.7079</v>
      </c>
      <c r="E101" s="385">
        <v>236.18164360579999</v>
      </c>
      <c r="F101" s="385">
        <v>64800</v>
      </c>
      <c r="G101" s="385">
        <v>274.36509887345318</v>
      </c>
      <c r="H101" s="385">
        <v>155710</v>
      </c>
      <c r="I101" s="385">
        <v>659.28070286397224</v>
      </c>
      <c r="J101" s="386">
        <v>2.4029320987654321</v>
      </c>
      <c r="K101" s="353" t="str">
        <f>IF(COUNTIF('6.6 - Lists and lookups'!$D$9:$L$72,C101)=1,"IN LIST","CHECK")</f>
        <v>IN LIST</v>
      </c>
    </row>
    <row r="102" spans="2:11" s="153" customFormat="1" ht="13" x14ac:dyDescent="0.3">
      <c r="B102" s="383" t="s">
        <v>750</v>
      </c>
      <c r="C102" s="379" t="s">
        <v>751</v>
      </c>
      <c r="D102" s="384">
        <v>153.1241</v>
      </c>
      <c r="E102" s="385">
        <v>59.121521258199998</v>
      </c>
      <c r="F102" s="385">
        <v>33800</v>
      </c>
      <c r="G102" s="385">
        <v>571.70382765331885</v>
      </c>
      <c r="H102" s="385">
        <v>77103</v>
      </c>
      <c r="I102" s="385">
        <v>1304.1443853122439</v>
      </c>
      <c r="J102" s="386">
        <v>2.2811538461538463</v>
      </c>
      <c r="K102" s="353" t="str">
        <f>IF(COUNTIF('6.6 - Lists and lookups'!$D$9:$L$72,C102)=1,"IN LIST","CHECK")</f>
        <v>IN LIST</v>
      </c>
    </row>
    <row r="103" spans="2:11" s="153" customFormat="1" ht="13" x14ac:dyDescent="0.3">
      <c r="B103" s="383" t="s">
        <v>752</v>
      </c>
      <c r="C103" s="379" t="s">
        <v>753</v>
      </c>
      <c r="D103" s="384">
        <v>44.673500000000004</v>
      </c>
      <c r="E103" s="385">
        <v>17.248527697</v>
      </c>
      <c r="F103" s="385">
        <v>35800</v>
      </c>
      <c r="G103" s="385">
        <v>2075.5394679991509</v>
      </c>
      <c r="H103" s="385">
        <v>89708</v>
      </c>
      <c r="I103" s="385">
        <v>5200.9076702588782</v>
      </c>
      <c r="J103" s="386">
        <v>2.505810055865922</v>
      </c>
      <c r="K103" s="353" t="str">
        <f>IF(COUNTIF('6.6 - Lists and lookups'!$D$9:$L$72,C103)=1,"IN LIST","CHECK")</f>
        <v>IN LIST</v>
      </c>
    </row>
    <row r="104" spans="2:11" s="153" customFormat="1" ht="13" x14ac:dyDescent="0.3">
      <c r="B104" s="383" t="s">
        <v>754</v>
      </c>
      <c r="C104" s="379" t="s">
        <v>755</v>
      </c>
      <c r="D104" s="384">
        <v>338.75819999999999</v>
      </c>
      <c r="E104" s="385">
        <v>130.7952185364</v>
      </c>
      <c r="F104" s="385">
        <v>79800</v>
      </c>
      <c r="G104" s="385">
        <v>610.11404616287143</v>
      </c>
      <c r="H104" s="385">
        <v>181763</v>
      </c>
      <c r="I104" s="385">
        <v>1389.6761826153131</v>
      </c>
      <c r="J104" s="386">
        <v>2.2777318295739351</v>
      </c>
      <c r="K104" s="353" t="str">
        <f>IF(COUNTIF('6.6 - Lists and lookups'!$D$9:$L$72,C104)=1,"IN LIST","CHECK")</f>
        <v>IN LIST</v>
      </c>
    </row>
    <row r="105" spans="2:11" s="153" customFormat="1" ht="13" x14ac:dyDescent="0.3">
      <c r="B105" s="383" t="s">
        <v>756</v>
      </c>
      <c r="C105" s="379" t="s">
        <v>757</v>
      </c>
      <c r="D105" s="384">
        <v>328.22390000000001</v>
      </c>
      <c r="E105" s="385">
        <v>126.7279042378</v>
      </c>
      <c r="F105" s="385">
        <v>76000</v>
      </c>
      <c r="G105" s="385">
        <v>599.71006746382352</v>
      </c>
      <c r="H105" s="385">
        <v>192424</v>
      </c>
      <c r="I105" s="385">
        <v>1518.4027634428785</v>
      </c>
      <c r="J105" s="386">
        <v>2.5318947368421054</v>
      </c>
      <c r="K105" s="353" t="str">
        <f>IF(COUNTIF('6.6 - Lists and lookups'!$D$9:$L$72,C105)=1,"IN LIST","CHECK")</f>
        <v>IN LIST</v>
      </c>
    </row>
    <row r="106" spans="2:11" s="153" customFormat="1" ht="13" x14ac:dyDescent="0.3">
      <c r="B106" s="383" t="s">
        <v>758</v>
      </c>
      <c r="C106" s="379" t="s">
        <v>759</v>
      </c>
      <c r="D106" s="384">
        <v>338.98419999999999</v>
      </c>
      <c r="E106" s="385">
        <v>130.88247758840001</v>
      </c>
      <c r="F106" s="385">
        <v>54000</v>
      </c>
      <c r="G106" s="385">
        <v>412.58387673420668</v>
      </c>
      <c r="H106" s="385">
        <v>134909</v>
      </c>
      <c r="I106" s="385">
        <v>1030.764411598798</v>
      </c>
      <c r="J106" s="386">
        <v>2.4983148148148149</v>
      </c>
      <c r="K106" s="353" t="str">
        <f>IF(COUNTIF('6.6 - Lists and lookups'!$D$9:$L$72,C106)=1,"IN LIST","CHECK")</f>
        <v>IN LIST</v>
      </c>
    </row>
    <row r="107" spans="2:11" s="153" customFormat="1" ht="13" x14ac:dyDescent="0.3">
      <c r="B107" s="383" t="s">
        <v>760</v>
      </c>
      <c r="C107" s="379" t="s">
        <v>761</v>
      </c>
      <c r="D107" s="384">
        <v>30.5379</v>
      </c>
      <c r="E107" s="385">
        <v>11.790744265800001</v>
      </c>
      <c r="F107" s="385">
        <v>35500</v>
      </c>
      <c r="G107" s="385">
        <v>3010.8362288011449</v>
      </c>
      <c r="H107" s="385">
        <v>93374</v>
      </c>
      <c r="I107" s="385">
        <v>7919.2625923402284</v>
      </c>
      <c r="J107" s="386">
        <v>2.6302535211267606</v>
      </c>
      <c r="K107" s="353" t="str">
        <f>IF(COUNTIF('6.6 - Lists and lookups'!$D$9:$L$72,C107)=1,"IN LIST","CHECK")</f>
        <v>IN LIST</v>
      </c>
    </row>
    <row r="108" spans="2:11" s="153" customFormat="1" ht="13" x14ac:dyDescent="0.3">
      <c r="B108" s="383" t="s">
        <v>762</v>
      </c>
      <c r="C108" s="379" t="s">
        <v>763</v>
      </c>
      <c r="D108" s="384">
        <v>357.81569999999999</v>
      </c>
      <c r="E108" s="385">
        <v>138.1533574014</v>
      </c>
      <c r="F108" s="385">
        <v>23900</v>
      </c>
      <c r="G108" s="385">
        <v>172.99615767251564</v>
      </c>
      <c r="H108" s="385">
        <v>66627</v>
      </c>
      <c r="I108" s="385">
        <v>482.26840992664012</v>
      </c>
      <c r="J108" s="386">
        <v>2.7877405857740585</v>
      </c>
      <c r="K108" s="353" t="str">
        <f>IF(COUNTIF('6.6 - Lists and lookups'!$D$9:$L$72,C108)=1,"IN LIST","CHECK")</f>
        <v>IN LIST</v>
      </c>
    </row>
    <row r="109" spans="2:11" s="153" customFormat="1" ht="13" x14ac:dyDescent="0.3">
      <c r="B109" s="383" t="s">
        <v>764</v>
      </c>
      <c r="C109" s="379" t="s">
        <v>765</v>
      </c>
      <c r="D109" s="384">
        <v>167.09270000000001</v>
      </c>
      <c r="E109" s="385">
        <v>64.514825655400003</v>
      </c>
      <c r="F109" s="385">
        <v>34800</v>
      </c>
      <c r="G109" s="385">
        <v>539.41089736304946</v>
      </c>
      <c r="H109" s="385">
        <v>86186</v>
      </c>
      <c r="I109" s="385">
        <v>1335.9099885095338</v>
      </c>
      <c r="J109" s="386">
        <v>2.4766091954022991</v>
      </c>
      <c r="K109" s="353" t="str">
        <f>IF(COUNTIF('6.6 - Lists and lookups'!$D$9:$L$72,C109)=1,"IN LIST","CHECK")</f>
        <v>IN LIST</v>
      </c>
    </row>
    <row r="110" spans="2:11" s="153" customFormat="1" ht="13" x14ac:dyDescent="0.3">
      <c r="B110" s="383" t="s">
        <v>766</v>
      </c>
      <c r="C110" s="379" t="s">
        <v>767</v>
      </c>
      <c r="D110" s="384">
        <v>336.32429999999999</v>
      </c>
      <c r="E110" s="385">
        <v>129.85548487860001</v>
      </c>
      <c r="F110" s="385">
        <v>63500</v>
      </c>
      <c r="G110" s="385">
        <v>489.00514336660649</v>
      </c>
      <c r="H110" s="385">
        <v>148934</v>
      </c>
      <c r="I110" s="385">
        <v>1146.9211342072783</v>
      </c>
      <c r="J110" s="386">
        <v>2.3454173228346455</v>
      </c>
      <c r="K110" s="353" t="str">
        <f>IF(COUNTIF('6.6 - Lists and lookups'!$D$9:$L$72,C110)=1,"IN LIST","CHECK")</f>
        <v>IN LIST</v>
      </c>
    </row>
    <row r="111" spans="2:11" s="153" customFormat="1" ht="13" x14ac:dyDescent="0.3">
      <c r="B111" s="383" t="s">
        <v>768</v>
      </c>
      <c r="C111" s="379" t="s">
        <v>769</v>
      </c>
      <c r="D111" s="384">
        <v>641.18290000000002</v>
      </c>
      <c r="E111" s="385">
        <v>247.56200005580001</v>
      </c>
      <c r="F111" s="385">
        <v>36600</v>
      </c>
      <c r="G111" s="385">
        <v>147.84175273971945</v>
      </c>
      <c r="H111" s="385">
        <v>91948</v>
      </c>
      <c r="I111" s="385">
        <v>371.41402953310723</v>
      </c>
      <c r="J111" s="386">
        <v>2.5122404371584701</v>
      </c>
      <c r="K111" s="353" t="str">
        <f>IF(COUNTIF('6.6 - Lists and lookups'!$D$9:$L$72,C111)=1,"IN LIST","CHECK")</f>
        <v>IN LIST</v>
      </c>
    </row>
    <row r="112" spans="2:11" s="153" customFormat="1" ht="13" x14ac:dyDescent="0.3">
      <c r="B112" s="383" t="s">
        <v>770</v>
      </c>
      <c r="C112" s="379" t="s">
        <v>771</v>
      </c>
      <c r="D112" s="384">
        <v>46.5961</v>
      </c>
      <c r="E112" s="385">
        <v>17.9908474022</v>
      </c>
      <c r="F112" s="385">
        <v>51400</v>
      </c>
      <c r="G112" s="385">
        <v>2857.0082804278904</v>
      </c>
      <c r="H112" s="385">
        <v>118866</v>
      </c>
      <c r="I112" s="385">
        <v>6607.0261918548949</v>
      </c>
      <c r="J112" s="386">
        <v>2.312568093385214</v>
      </c>
      <c r="K112" s="353" t="str">
        <f>IF(COUNTIF('6.6 - Lists and lookups'!$D$9:$L$72,C112)=1,"IN LIST","CHECK")</f>
        <v>IN LIST</v>
      </c>
    </row>
    <row r="113" spans="2:11" s="153" customFormat="1" ht="13" x14ac:dyDescent="0.3">
      <c r="B113" s="383" t="s">
        <v>772</v>
      </c>
      <c r="C113" s="379" t="s">
        <v>773</v>
      </c>
      <c r="D113" s="384">
        <v>1164.5242000000001</v>
      </c>
      <c r="E113" s="385">
        <v>449.62512266840002</v>
      </c>
      <c r="F113" s="385">
        <v>39400</v>
      </c>
      <c r="G113" s="385">
        <v>87.628555464543354</v>
      </c>
      <c r="H113" s="385">
        <v>91125</v>
      </c>
      <c r="I113" s="385">
        <v>202.66883544940387</v>
      </c>
      <c r="J113" s="386">
        <v>2.3128172588832485</v>
      </c>
      <c r="K113" s="353" t="str">
        <f>IF(COUNTIF('6.6 - Lists and lookups'!$D$9:$L$72,C113)=1,"IN LIST","CHECK")</f>
        <v>IN LIST</v>
      </c>
    </row>
    <row r="114" spans="2:11" s="153" customFormat="1" ht="13" x14ac:dyDescent="0.3">
      <c r="B114" s="383" t="s">
        <v>774</v>
      </c>
      <c r="C114" s="379" t="s">
        <v>775</v>
      </c>
      <c r="D114" s="384">
        <v>525.90210000000002</v>
      </c>
      <c r="E114" s="385">
        <v>203.05185261420002</v>
      </c>
      <c r="F114" s="385">
        <v>37300</v>
      </c>
      <c r="G114" s="385">
        <v>183.69692036679058</v>
      </c>
      <c r="H114" s="385">
        <v>87140</v>
      </c>
      <c r="I114" s="385">
        <v>429.15146489978906</v>
      </c>
      <c r="J114" s="386">
        <v>2.3361930294906168</v>
      </c>
      <c r="K114" s="353" t="str">
        <f>IF(COUNTIF('6.6 - Lists and lookups'!$D$9:$L$72,C114)=1,"IN LIST","CHECK")</f>
        <v>IN LIST</v>
      </c>
    </row>
    <row r="115" spans="2:11" s="153" customFormat="1" ht="13" x14ac:dyDescent="0.3">
      <c r="B115" s="383" t="s">
        <v>776</v>
      </c>
      <c r="C115" s="379" t="s">
        <v>777</v>
      </c>
      <c r="D115" s="384">
        <v>40.553000000000004</v>
      </c>
      <c r="E115" s="385">
        <v>15.657594406000001</v>
      </c>
      <c r="F115" s="385">
        <v>53800</v>
      </c>
      <c r="G115" s="385">
        <v>3436.0322923797157</v>
      </c>
      <c r="H115" s="385">
        <v>132538</v>
      </c>
      <c r="I115" s="385">
        <v>8464.7741257885282</v>
      </c>
      <c r="J115" s="386">
        <v>2.4635315985130113</v>
      </c>
      <c r="K115" s="353" t="str">
        <f>IF(COUNTIF('6.6 - Lists and lookups'!$D$9:$L$72,C115)=1,"IN LIST","CHECK")</f>
        <v>IN LIST</v>
      </c>
    </row>
    <row r="116" spans="2:11" s="153" customFormat="1" ht="13" x14ac:dyDescent="0.3">
      <c r="B116" s="383" t="s">
        <v>778</v>
      </c>
      <c r="C116" s="379" t="s">
        <v>779</v>
      </c>
      <c r="D116" s="384">
        <v>460.54220000000004</v>
      </c>
      <c r="E116" s="385">
        <v>177.81626450440001</v>
      </c>
      <c r="F116" s="385">
        <v>54000</v>
      </c>
      <c r="G116" s="385">
        <v>303.68425605220034</v>
      </c>
      <c r="H116" s="385">
        <v>121529</v>
      </c>
      <c r="I116" s="385">
        <v>683.4526658105159</v>
      </c>
      <c r="J116" s="386">
        <v>2.250537037037037</v>
      </c>
      <c r="K116" s="353" t="str">
        <f>IF(COUNTIF('6.6 - Lists and lookups'!$D$9:$L$72,C116)=1,"IN LIST","CHECK")</f>
        <v>IN LIST</v>
      </c>
    </row>
    <row r="117" spans="2:11" s="153" customFormat="1" ht="13" x14ac:dyDescent="0.3">
      <c r="B117" s="383" t="s">
        <v>780</v>
      </c>
      <c r="C117" s="379" t="s">
        <v>781</v>
      </c>
      <c r="D117" s="384">
        <v>414.4144</v>
      </c>
      <c r="E117" s="385">
        <v>160.00622866879999</v>
      </c>
      <c r="F117" s="385">
        <v>37700</v>
      </c>
      <c r="G117" s="385">
        <v>235.61582766903385</v>
      </c>
      <c r="H117" s="385">
        <v>95429</v>
      </c>
      <c r="I117" s="385">
        <v>596.40803232435621</v>
      </c>
      <c r="J117" s="386">
        <v>2.5312732095490715</v>
      </c>
      <c r="K117" s="353" t="str">
        <f>IF(COUNTIF('6.6 - Lists and lookups'!$D$9:$L$72,C117)=1,"IN LIST","CHECK")</f>
        <v>IN LIST</v>
      </c>
    </row>
    <row r="118" spans="2:11" s="153" customFormat="1" ht="13" x14ac:dyDescent="0.3">
      <c r="B118" s="383" t="s">
        <v>782</v>
      </c>
      <c r="C118" s="379" t="s">
        <v>783</v>
      </c>
      <c r="D118" s="384">
        <v>633.80870000000004</v>
      </c>
      <c r="E118" s="385">
        <v>244.71480668740003</v>
      </c>
      <c r="F118" s="385">
        <v>71000</v>
      </c>
      <c r="G118" s="385">
        <v>290.13364970063202</v>
      </c>
      <c r="H118" s="385">
        <v>185656</v>
      </c>
      <c r="I118" s="385">
        <v>758.66271646226107</v>
      </c>
      <c r="J118" s="386">
        <v>2.6148732394366196</v>
      </c>
      <c r="K118" s="353" t="str">
        <f>IF(COUNTIF('6.6 - Lists and lookups'!$D$9:$L$72,C118)=1,"IN LIST","CHECK")</f>
        <v>IN LIST</v>
      </c>
    </row>
    <row r="119" spans="2:11" s="153" customFormat="1" ht="13" x14ac:dyDescent="0.3">
      <c r="B119" s="383" t="s">
        <v>784</v>
      </c>
      <c r="C119" s="379" t="s">
        <v>785</v>
      </c>
      <c r="D119" s="384">
        <v>514.42750000000001</v>
      </c>
      <c r="E119" s="385">
        <v>198.621486605</v>
      </c>
      <c r="F119" s="385">
        <v>48000</v>
      </c>
      <c r="G119" s="385">
        <v>241.66569700214737</v>
      </c>
      <c r="H119" s="385">
        <v>126199</v>
      </c>
      <c r="I119" s="385">
        <v>635.37436033279153</v>
      </c>
      <c r="J119" s="386">
        <v>2.6291458333333333</v>
      </c>
      <c r="K119" s="353" t="str">
        <f>IF(COUNTIF('6.6 - Lists and lookups'!$D$9:$L$72,C119)=1,"IN LIST","CHECK")</f>
        <v>IN LIST</v>
      </c>
    </row>
    <row r="120" spans="2:11" s="153" customFormat="1" ht="13" x14ac:dyDescent="0.3">
      <c r="B120" s="383" t="s">
        <v>786</v>
      </c>
      <c r="C120" s="379" t="s">
        <v>787</v>
      </c>
      <c r="D120" s="384">
        <v>79.691599999999994</v>
      </c>
      <c r="E120" s="385">
        <v>30.769086143199999</v>
      </c>
      <c r="F120" s="385">
        <v>52100</v>
      </c>
      <c r="G120" s="385">
        <v>1693.2579588982742</v>
      </c>
      <c r="H120" s="385">
        <v>136974</v>
      </c>
      <c r="I120" s="385">
        <v>4451.6759244171244</v>
      </c>
      <c r="J120" s="386">
        <v>2.6290595009596931</v>
      </c>
      <c r="K120" s="353" t="str">
        <f>IF(COUNTIF('6.6 - Lists and lookups'!$D$9:$L$72,C120)=1,"IN LIST","CHECK")</f>
        <v>IN LIST</v>
      </c>
    </row>
    <row r="121" spans="2:11" s="153" customFormat="1" ht="13" x14ac:dyDescent="0.3">
      <c r="B121" s="383" t="s">
        <v>788</v>
      </c>
      <c r="C121" s="379" t="s">
        <v>789</v>
      </c>
      <c r="D121" s="384">
        <v>74.252700000000004</v>
      </c>
      <c r="E121" s="385">
        <v>28.6691159754</v>
      </c>
      <c r="F121" s="385">
        <v>45500</v>
      </c>
      <c r="G121" s="385">
        <v>1587.0737011577899</v>
      </c>
      <c r="H121" s="385">
        <v>114993</v>
      </c>
      <c r="I121" s="385">
        <v>4011.0410135656643</v>
      </c>
      <c r="J121" s="386">
        <v>2.5273186813186812</v>
      </c>
      <c r="K121" s="353" t="str">
        <f>IF(COUNTIF('6.6 - Lists and lookups'!$D$9:$L$72,C121)=1,"IN LIST","CHECK")</f>
        <v>IN LIST</v>
      </c>
    </row>
    <row r="122" spans="2:11" s="153" customFormat="1" ht="13" x14ac:dyDescent="0.3">
      <c r="B122" s="383" t="s">
        <v>790</v>
      </c>
      <c r="C122" s="379" t="s">
        <v>791</v>
      </c>
      <c r="D122" s="384">
        <v>25.3736</v>
      </c>
      <c r="E122" s="385">
        <v>9.7967977071999996</v>
      </c>
      <c r="F122" s="385">
        <v>38500</v>
      </c>
      <c r="G122" s="385">
        <v>3929.8555661412752</v>
      </c>
      <c r="H122" s="385">
        <v>82178</v>
      </c>
      <c r="I122" s="385">
        <v>8388.2511873859148</v>
      </c>
      <c r="J122" s="386">
        <v>2.1344935064935067</v>
      </c>
      <c r="K122" s="353" t="str">
        <f>IF(COUNTIF('6.6 - Lists and lookups'!$D$9:$L$72,C122)=1,"IN LIST","CHECK")</f>
        <v>IN LIST</v>
      </c>
    </row>
    <row r="123" spans="2:11" s="153" customFormat="1" ht="13" x14ac:dyDescent="0.3">
      <c r="B123" s="383" t="s">
        <v>792</v>
      </c>
      <c r="C123" s="379" t="s">
        <v>793</v>
      </c>
      <c r="D123" s="384">
        <v>215.26499999999999</v>
      </c>
      <c r="E123" s="385">
        <v>83.114247030000001</v>
      </c>
      <c r="F123" s="385">
        <v>33500</v>
      </c>
      <c r="G123" s="385">
        <v>403.059658206471</v>
      </c>
      <c r="H123" s="385">
        <v>100293</v>
      </c>
      <c r="I123" s="385">
        <v>1206.6884268806448</v>
      </c>
      <c r="J123" s="386">
        <v>2.9938208955223882</v>
      </c>
      <c r="K123" s="353" t="str">
        <f>IF(COUNTIF('6.6 - Lists and lookups'!$D$9:$L$72,C123)=1,"IN LIST","CHECK")</f>
        <v>IN LIST</v>
      </c>
    </row>
    <row r="124" spans="2:11" s="153" customFormat="1" ht="13" x14ac:dyDescent="0.3">
      <c r="B124" s="383" t="s">
        <v>794</v>
      </c>
      <c r="C124" s="379" t="s">
        <v>795</v>
      </c>
      <c r="D124" s="384">
        <v>55.741000000000007</v>
      </c>
      <c r="E124" s="385">
        <v>21.521711582000002</v>
      </c>
      <c r="F124" s="385">
        <v>52200</v>
      </c>
      <c r="G124" s="385">
        <v>2425.4576501089364</v>
      </c>
      <c r="H124" s="385">
        <v>124470</v>
      </c>
      <c r="I124" s="385">
        <v>5783.4619484494115</v>
      </c>
      <c r="J124" s="386">
        <v>2.3844827586206896</v>
      </c>
      <c r="K124" s="353" t="str">
        <f>IF(COUNTIF('6.6 - Lists and lookups'!$D$9:$L$72,C124)=1,"IN LIST","CHECK")</f>
        <v>IN LIST</v>
      </c>
    </row>
    <row r="125" spans="2:11" s="153" customFormat="1" ht="13" x14ac:dyDescent="0.3">
      <c r="B125" s="383" t="s">
        <v>796</v>
      </c>
      <c r="C125" s="379" t="s">
        <v>797</v>
      </c>
      <c r="D125" s="384">
        <v>752.17539999999997</v>
      </c>
      <c r="E125" s="385">
        <v>290.41642629079996</v>
      </c>
      <c r="F125" s="385">
        <v>73600</v>
      </c>
      <c r="G125" s="385">
        <v>253.42919111022599</v>
      </c>
      <c r="H125" s="385">
        <v>176262</v>
      </c>
      <c r="I125" s="385">
        <v>606.92847939498165</v>
      </c>
      <c r="J125" s="386">
        <v>2.3948641304347826</v>
      </c>
      <c r="K125" s="353" t="str">
        <f>IF(COUNTIF('6.6 - Lists and lookups'!$D$9:$L$72,C125)=1,"IN LIST","CHECK")</f>
        <v>IN LIST</v>
      </c>
    </row>
    <row r="126" spans="2:11" s="153" customFormat="1" ht="13" x14ac:dyDescent="0.3">
      <c r="B126" s="383" t="s">
        <v>798</v>
      </c>
      <c r="C126" s="379" t="s">
        <v>799</v>
      </c>
      <c r="D126" s="384">
        <v>39.045000000000002</v>
      </c>
      <c r="E126" s="385">
        <v>15.075352590000001</v>
      </c>
      <c r="F126" s="385">
        <v>36500</v>
      </c>
      <c r="G126" s="385">
        <v>2421.1705684556728</v>
      </c>
      <c r="H126" s="385">
        <v>100068</v>
      </c>
      <c r="I126" s="385">
        <v>6637.8546971019796</v>
      </c>
      <c r="J126" s="386">
        <v>2.7415890410958905</v>
      </c>
      <c r="K126" s="353" t="str">
        <f>IF(COUNTIF('6.6 - Lists and lookups'!$D$9:$L$72,C126)=1,"IN LIST","CHECK")</f>
        <v>IN LIST</v>
      </c>
    </row>
    <row r="127" spans="2:11" s="153" customFormat="1" ht="13" x14ac:dyDescent="0.3">
      <c r="B127" s="383" t="s">
        <v>800</v>
      </c>
      <c r="C127" s="379" t="s">
        <v>801</v>
      </c>
      <c r="D127" s="384">
        <v>627.60550000000001</v>
      </c>
      <c r="E127" s="385">
        <v>242.319738761</v>
      </c>
      <c r="F127" s="385">
        <v>51700</v>
      </c>
      <c r="G127" s="385">
        <v>213.3544723362042</v>
      </c>
      <c r="H127" s="385">
        <v>131190</v>
      </c>
      <c r="I127" s="385">
        <v>541.3921320268206</v>
      </c>
      <c r="J127" s="386">
        <v>2.53752417794971</v>
      </c>
      <c r="K127" s="353" t="str">
        <f>IF(COUNTIF('6.6 - Lists and lookups'!$D$9:$L$72,C127)=1,"IN LIST","CHECK")</f>
        <v>IN LIST</v>
      </c>
    </row>
    <row r="128" spans="2:11" s="153" customFormat="1" ht="13" x14ac:dyDescent="0.3">
      <c r="B128" s="383" t="s">
        <v>802</v>
      </c>
      <c r="C128" s="379" t="s">
        <v>803</v>
      </c>
      <c r="D128" s="384">
        <v>660.97080000000005</v>
      </c>
      <c r="E128" s="385">
        <v>255.20214782160002</v>
      </c>
      <c r="F128" s="385">
        <v>48600</v>
      </c>
      <c r="G128" s="385">
        <v>190.43726870972105</v>
      </c>
      <c r="H128" s="385">
        <v>127916</v>
      </c>
      <c r="I128" s="385">
        <v>501.23402601384117</v>
      </c>
      <c r="J128" s="386">
        <v>2.6320164609053496</v>
      </c>
      <c r="K128" s="353" t="str">
        <f>IF(COUNTIF('6.6 - Lists and lookups'!$D$9:$L$72,C128)=1,"IN LIST","CHECK")</f>
        <v>IN LIST</v>
      </c>
    </row>
    <row r="129" spans="2:11" s="153" customFormat="1" ht="13" x14ac:dyDescent="0.3">
      <c r="B129" s="383" t="s">
        <v>804</v>
      </c>
      <c r="C129" s="379" t="s">
        <v>805</v>
      </c>
      <c r="D129" s="384">
        <v>51.4422</v>
      </c>
      <c r="E129" s="385">
        <v>19.8619363044</v>
      </c>
      <c r="F129" s="385">
        <v>38900</v>
      </c>
      <c r="G129" s="385">
        <v>1958.5200256322698</v>
      </c>
      <c r="H129" s="385">
        <v>99138</v>
      </c>
      <c r="I129" s="385">
        <v>4991.3562545278137</v>
      </c>
      <c r="J129" s="386">
        <v>2.54853470437018</v>
      </c>
      <c r="K129" s="353" t="str">
        <f>IF(COUNTIF('6.6 - Lists and lookups'!$D$9:$L$72,C129)=1,"IN LIST","CHECK")</f>
        <v>IN LIST</v>
      </c>
    </row>
    <row r="130" spans="2:11" s="153" customFormat="1" ht="13" x14ac:dyDescent="0.3">
      <c r="B130" s="383" t="s">
        <v>806</v>
      </c>
      <c r="C130" s="379" t="s">
        <v>807</v>
      </c>
      <c r="D130" s="384">
        <v>212.47659999999999</v>
      </c>
      <c r="E130" s="385">
        <v>82.037640213199992</v>
      </c>
      <c r="F130" s="385">
        <v>60700</v>
      </c>
      <c r="G130" s="385">
        <v>739.90426641054535</v>
      </c>
      <c r="H130" s="385">
        <v>155217</v>
      </c>
      <c r="I130" s="385">
        <v>1892.021754850834</v>
      </c>
      <c r="J130" s="386">
        <v>2.5571169686985171</v>
      </c>
      <c r="K130" s="353" t="str">
        <f>IF(COUNTIF('6.6 - Lists and lookups'!$D$9:$L$72,C130)=1,"IN LIST","CHECK")</f>
        <v>IN LIST</v>
      </c>
    </row>
    <row r="131" spans="2:11" s="153" customFormat="1" ht="13" x14ac:dyDescent="0.3">
      <c r="B131" s="383" t="s">
        <v>808</v>
      </c>
      <c r="C131" s="379" t="s">
        <v>809</v>
      </c>
      <c r="D131" s="384">
        <v>101.12819999999999</v>
      </c>
      <c r="E131" s="385">
        <v>39.045800276399994</v>
      </c>
      <c r="F131" s="385">
        <v>45200</v>
      </c>
      <c r="G131" s="385">
        <v>1157.6148953289535</v>
      </c>
      <c r="H131" s="385">
        <v>108105</v>
      </c>
      <c r="I131" s="385">
        <v>2768.6716429100998</v>
      </c>
      <c r="J131" s="386">
        <v>2.3917035398230087</v>
      </c>
      <c r="K131" s="353" t="str">
        <f>IF(COUNTIF('6.6 - Lists and lookups'!$D$9:$L$72,C131)=1,"IN LIST","CHECK")</f>
        <v>IN LIST</v>
      </c>
    </row>
    <row r="132" spans="2:11" s="153" customFormat="1" ht="13" x14ac:dyDescent="0.3">
      <c r="B132" s="383" t="s">
        <v>810</v>
      </c>
      <c r="C132" s="379" t="s">
        <v>811</v>
      </c>
      <c r="D132" s="384">
        <v>375.38209999999998</v>
      </c>
      <c r="E132" s="385">
        <v>144.93577957419998</v>
      </c>
      <c r="F132" s="385">
        <v>52600</v>
      </c>
      <c r="G132" s="385">
        <v>362.91935748737177</v>
      </c>
      <c r="H132" s="385">
        <v>133571</v>
      </c>
      <c r="I132" s="385">
        <v>921.58748096855015</v>
      </c>
      <c r="J132" s="386">
        <v>2.5393726235741445</v>
      </c>
      <c r="K132" s="353" t="str">
        <f>IF(COUNTIF('6.6 - Lists and lookups'!$D$9:$L$72,C132)=1,"IN LIST","CHECK")</f>
        <v>IN LIST</v>
      </c>
    </row>
    <row r="133" spans="2:11" s="153" customFormat="1" ht="13" x14ac:dyDescent="0.3">
      <c r="B133" s="383" t="s">
        <v>812</v>
      </c>
      <c r="C133" s="379" t="s">
        <v>813</v>
      </c>
      <c r="D133" s="384">
        <v>88.824200000000005</v>
      </c>
      <c r="E133" s="385">
        <v>34.2952012684</v>
      </c>
      <c r="F133" s="385">
        <v>40500</v>
      </c>
      <c r="G133" s="385">
        <v>1180.923234216945</v>
      </c>
      <c r="H133" s="385">
        <v>93952</v>
      </c>
      <c r="I133" s="385">
        <v>2739.5086345963064</v>
      </c>
      <c r="J133" s="386">
        <v>2.3198024691358023</v>
      </c>
      <c r="K133" s="353" t="str">
        <f>IF(COUNTIF('6.6 - Lists and lookups'!$D$9:$L$72,C133)=1,"IN LIST","CHECK")</f>
        <v>IN LIST</v>
      </c>
    </row>
    <row r="134" spans="2:11" s="153" customFormat="1" ht="13" x14ac:dyDescent="0.3">
      <c r="B134" s="383" t="s">
        <v>814</v>
      </c>
      <c r="C134" s="379" t="s">
        <v>815</v>
      </c>
      <c r="D134" s="384">
        <v>21.430500000000002</v>
      </c>
      <c r="E134" s="385">
        <v>8.2743589110000002</v>
      </c>
      <c r="F134" s="385">
        <v>41300</v>
      </c>
      <c r="G134" s="385">
        <v>4991.3232486320412</v>
      </c>
      <c r="H134" s="385">
        <v>102451</v>
      </c>
      <c r="I134" s="385">
        <v>12381.744749288166</v>
      </c>
      <c r="J134" s="386">
        <v>2.4806537530266346</v>
      </c>
      <c r="K134" s="353" t="str">
        <f>IF(COUNTIF('6.6 - Lists and lookups'!$D$9:$L$72,C134)=1,"IN LIST","CHECK")</f>
        <v>IN LIST</v>
      </c>
    </row>
    <row r="135" spans="2:11" s="153" customFormat="1" ht="13" x14ac:dyDescent="0.3">
      <c r="B135" s="383" t="s">
        <v>816</v>
      </c>
      <c r="C135" s="379" t="s">
        <v>817</v>
      </c>
      <c r="D135" s="384">
        <v>580.61720000000003</v>
      </c>
      <c r="E135" s="385">
        <v>224.17746215440002</v>
      </c>
      <c r="F135" s="385">
        <v>56100</v>
      </c>
      <c r="G135" s="385">
        <v>250.24817151940849</v>
      </c>
      <c r="H135" s="385">
        <v>133178</v>
      </c>
      <c r="I135" s="385">
        <v>594.07399263122613</v>
      </c>
      <c r="J135" s="386">
        <v>2.373939393939394</v>
      </c>
      <c r="K135" s="353" t="str">
        <f>IF(COUNTIF('6.6 - Lists and lookups'!$D$9:$L$72,C135)=1,"IN LIST","CHECK")</f>
        <v>IN LIST</v>
      </c>
    </row>
    <row r="136" spans="2:11" s="153" customFormat="1" ht="13" x14ac:dyDescent="0.3">
      <c r="B136" s="383" t="s">
        <v>818</v>
      </c>
      <c r="C136" s="379" t="s">
        <v>819</v>
      </c>
      <c r="D136" s="384">
        <v>308.75259999999997</v>
      </c>
      <c r="E136" s="385">
        <v>119.20999636519998</v>
      </c>
      <c r="F136" s="385">
        <v>63000</v>
      </c>
      <c r="G136" s="385">
        <v>528.47917054706897</v>
      </c>
      <c r="H136" s="385">
        <v>156554</v>
      </c>
      <c r="I136" s="385">
        <v>1313.2623502512038</v>
      </c>
      <c r="J136" s="386">
        <v>2.4849841269841271</v>
      </c>
      <c r="K136" s="353" t="str">
        <f>IF(COUNTIF('6.6 - Lists and lookups'!$D$9:$L$72,C136)=1,"IN LIST","CHECK")</f>
        <v>IN LIST</v>
      </c>
    </row>
    <row r="137" spans="2:11" s="153" customFormat="1" ht="13" x14ac:dyDescent="0.3">
      <c r="B137" s="383" t="s">
        <v>820</v>
      </c>
      <c r="C137" s="379" t="s">
        <v>821</v>
      </c>
      <c r="D137" s="384">
        <v>72.725499999999997</v>
      </c>
      <c r="E137" s="385">
        <v>28.079461000999999</v>
      </c>
      <c r="F137" s="385">
        <v>42100</v>
      </c>
      <c r="G137" s="385">
        <v>1499.3165288500618</v>
      </c>
      <c r="H137" s="385">
        <v>116777</v>
      </c>
      <c r="I137" s="385">
        <v>4158.804899988686</v>
      </c>
      <c r="J137" s="386">
        <v>2.7738004750593825</v>
      </c>
      <c r="K137" s="353" t="str">
        <f>IF(COUNTIF('6.6 - Lists and lookups'!$D$9:$L$72,C137)=1,"IN LIST","CHECK")</f>
        <v>IN LIST</v>
      </c>
    </row>
    <row r="138" spans="2:11" s="153" customFormat="1" ht="13" x14ac:dyDescent="0.3">
      <c r="B138" s="383" t="s">
        <v>822</v>
      </c>
      <c r="C138" s="379" t="s">
        <v>823</v>
      </c>
      <c r="D138" s="384">
        <v>315.33789999999999</v>
      </c>
      <c r="E138" s="385">
        <v>121.75259386579999</v>
      </c>
      <c r="F138" s="385">
        <v>45500</v>
      </c>
      <c r="G138" s="385">
        <v>373.70867063540106</v>
      </c>
      <c r="H138" s="385">
        <v>116595</v>
      </c>
      <c r="I138" s="385">
        <v>957.63873522493589</v>
      </c>
      <c r="J138" s="386">
        <v>2.5625274725274725</v>
      </c>
      <c r="K138" s="353" t="str">
        <f>IF(COUNTIF('6.6 - Lists and lookups'!$D$9:$L$72,C138)=1,"IN LIST","CHECK")</f>
        <v>IN LIST</v>
      </c>
    </row>
    <row r="139" spans="2:11" s="153" customFormat="1" ht="13" x14ac:dyDescent="0.3">
      <c r="B139" s="383" t="s">
        <v>824</v>
      </c>
      <c r="C139" s="379" t="s">
        <v>825</v>
      </c>
      <c r="D139" s="384">
        <v>98.991200000000006</v>
      </c>
      <c r="E139" s="385">
        <v>38.220700302400004</v>
      </c>
      <c r="F139" s="385">
        <v>42500</v>
      </c>
      <c r="G139" s="385">
        <v>1111.962880421929</v>
      </c>
      <c r="H139" s="385">
        <v>106838</v>
      </c>
      <c r="I139" s="385">
        <v>2795.2915345533656</v>
      </c>
      <c r="J139" s="386">
        <v>2.5138352941176469</v>
      </c>
      <c r="K139" s="353" t="str">
        <f>IF(COUNTIF('6.6 - Lists and lookups'!$D$9:$L$72,C139)=1,"IN LIST","CHECK")</f>
        <v>IN LIST</v>
      </c>
    </row>
    <row r="140" spans="2:11" s="153" customFormat="1" ht="13" x14ac:dyDescent="0.3">
      <c r="B140" s="383" t="s">
        <v>826</v>
      </c>
      <c r="C140" s="379" t="s">
        <v>827</v>
      </c>
      <c r="D140" s="384">
        <v>393.32940000000002</v>
      </c>
      <c r="E140" s="385">
        <v>151.86526799880002</v>
      </c>
      <c r="F140" s="385">
        <v>69400</v>
      </c>
      <c r="G140" s="385">
        <v>456.98401559827602</v>
      </c>
      <c r="H140" s="385">
        <v>176712</v>
      </c>
      <c r="I140" s="385">
        <v>1163.6103654813048</v>
      </c>
      <c r="J140" s="386">
        <v>2.5462824207492796</v>
      </c>
      <c r="K140" s="353" t="str">
        <f>IF(COUNTIF('6.6 - Lists and lookups'!$D$9:$L$72,C140)=1,"IN LIST","CHECK")</f>
        <v>IN LIST</v>
      </c>
    </row>
    <row r="141" spans="2:11" s="153" customFormat="1" ht="13" x14ac:dyDescent="0.3">
      <c r="B141" s="383" t="s">
        <v>828</v>
      </c>
      <c r="C141" s="379" t="s">
        <v>829</v>
      </c>
      <c r="D141" s="384">
        <v>369.23070000000001</v>
      </c>
      <c r="E141" s="385">
        <v>142.5607117314</v>
      </c>
      <c r="F141" s="385">
        <v>46400</v>
      </c>
      <c r="G141" s="385">
        <v>325.47536720651817</v>
      </c>
      <c r="H141" s="385">
        <v>120841</v>
      </c>
      <c r="I141" s="385">
        <v>847.64588035782037</v>
      </c>
      <c r="J141" s="386">
        <v>2.6043318965517241</v>
      </c>
      <c r="K141" s="353" t="str">
        <f>IF(COUNTIF('6.6 - Lists and lookups'!$D$9:$L$72,C141)=1,"IN LIST","CHECK")</f>
        <v>IN LIST</v>
      </c>
    </row>
    <row r="142" spans="2:11" s="153" customFormat="1" ht="13" x14ac:dyDescent="0.3">
      <c r="B142" s="383" t="s">
        <v>830</v>
      </c>
      <c r="C142" s="379" t="s">
        <v>831</v>
      </c>
      <c r="D142" s="384">
        <v>356.92099999999999</v>
      </c>
      <c r="E142" s="385">
        <v>137.807911942</v>
      </c>
      <c r="F142" s="385">
        <v>50700</v>
      </c>
      <c r="G142" s="385">
        <v>367.90340471408052</v>
      </c>
      <c r="H142" s="385">
        <v>110056</v>
      </c>
      <c r="I142" s="385">
        <v>798.61887789374452</v>
      </c>
      <c r="J142" s="386">
        <v>2.1707297830374754</v>
      </c>
      <c r="K142" s="353" t="str">
        <f>IF(COUNTIF('6.6 - Lists and lookups'!$D$9:$L$72,C142)=1,"IN LIST","CHECK")</f>
        <v>IN LIST</v>
      </c>
    </row>
    <row r="143" spans="2:11" s="153" customFormat="1" ht="13" x14ac:dyDescent="0.3">
      <c r="B143" s="383" t="s">
        <v>832</v>
      </c>
      <c r="C143" s="379" t="s">
        <v>833</v>
      </c>
      <c r="D143" s="384">
        <v>373.43690000000004</v>
      </c>
      <c r="E143" s="385">
        <v>144.18473396380003</v>
      </c>
      <c r="F143" s="385">
        <v>50600</v>
      </c>
      <c r="G143" s="385">
        <v>350.93867851990467</v>
      </c>
      <c r="H143" s="385">
        <v>152223</v>
      </c>
      <c r="I143" s="385">
        <v>1055.7497719433884</v>
      </c>
      <c r="J143" s="386">
        <v>3.0083596837944664</v>
      </c>
      <c r="K143" s="353" t="str">
        <f>IF(COUNTIF('6.6 - Lists and lookups'!$D$9:$L$72,C143)=1,"IN LIST","CHECK")</f>
        <v>IN LIST</v>
      </c>
    </row>
    <row r="144" spans="2:11" s="153" customFormat="1" ht="13" x14ac:dyDescent="0.3">
      <c r="B144" s="383" t="s">
        <v>834</v>
      </c>
      <c r="C144" s="379" t="s">
        <v>835</v>
      </c>
      <c r="D144" s="384">
        <v>103.6091</v>
      </c>
      <c r="E144" s="385">
        <v>40.003680728200003</v>
      </c>
      <c r="F144" s="385">
        <v>61000</v>
      </c>
      <c r="G144" s="385">
        <v>1524.8596851488956</v>
      </c>
      <c r="H144" s="385">
        <v>140678</v>
      </c>
      <c r="I144" s="385">
        <v>3516.6264063504318</v>
      </c>
      <c r="J144" s="386">
        <v>2.3061967213114754</v>
      </c>
      <c r="K144" s="353" t="str">
        <f>IF(COUNTIF('6.6 - Lists and lookups'!$D$9:$L$72,C144)=1,"IN LIST","CHECK")</f>
        <v>IN LIST</v>
      </c>
    </row>
    <row r="145" spans="2:11" s="153" customFormat="1" ht="13" x14ac:dyDescent="0.3">
      <c r="B145" s="383" t="s">
        <v>836</v>
      </c>
      <c r="C145" s="379" t="s">
        <v>837</v>
      </c>
      <c r="D145" s="384">
        <v>240.11419999999998</v>
      </c>
      <c r="E145" s="385">
        <v>92.708572848399996</v>
      </c>
      <c r="F145" s="385">
        <v>49300</v>
      </c>
      <c r="G145" s="385">
        <v>531.77390704327775</v>
      </c>
      <c r="H145" s="385">
        <v>132386</v>
      </c>
      <c r="I145" s="385">
        <v>1427.9801309904942</v>
      </c>
      <c r="J145" s="386">
        <v>2.6853144016227182</v>
      </c>
      <c r="K145" s="353" t="str">
        <f>IF(COUNTIF('6.6 - Lists and lookups'!$D$9:$L$72,C145)=1,"IN LIST","CHECK")</f>
        <v>IN LIST</v>
      </c>
    </row>
    <row r="146" spans="2:11" s="153" customFormat="1" ht="13" x14ac:dyDescent="0.3">
      <c r="B146" s="383" t="s">
        <v>838</v>
      </c>
      <c r="C146" s="379" t="s">
        <v>839</v>
      </c>
      <c r="D146" s="384">
        <v>331.3288</v>
      </c>
      <c r="E146" s="385">
        <v>127.92671233759999</v>
      </c>
      <c r="F146" s="385">
        <v>44100</v>
      </c>
      <c r="G146" s="385">
        <v>344.72862777571908</v>
      </c>
      <c r="H146" s="385">
        <v>115681</v>
      </c>
      <c r="I146" s="385">
        <v>904.27556439281091</v>
      </c>
      <c r="J146" s="386">
        <v>2.6231519274376418</v>
      </c>
      <c r="K146" s="353" t="str">
        <f>IF(COUNTIF('6.6 - Lists and lookups'!$D$9:$L$72,C146)=1,"IN LIST","CHECK")</f>
        <v>IN LIST</v>
      </c>
    </row>
    <row r="147" spans="2:11" s="153" customFormat="1" ht="13" x14ac:dyDescent="0.3">
      <c r="B147" s="383" t="s">
        <v>840</v>
      </c>
      <c r="C147" s="379" t="s">
        <v>841</v>
      </c>
      <c r="D147" s="384">
        <v>110.684</v>
      </c>
      <c r="E147" s="385">
        <v>42.735313767999997</v>
      </c>
      <c r="F147" s="385">
        <v>37100</v>
      </c>
      <c r="G147" s="385">
        <v>868.13449414241359</v>
      </c>
      <c r="H147" s="385">
        <v>94721</v>
      </c>
      <c r="I147" s="385">
        <v>2216.4573428480744</v>
      </c>
      <c r="J147" s="386">
        <v>2.5531266846361187</v>
      </c>
      <c r="K147" s="353" t="str">
        <f>IF(COUNTIF('6.6 - Lists and lookups'!$D$9:$L$72,C147)=1,"IN LIST","CHECK")</f>
        <v>IN LIST</v>
      </c>
    </row>
    <row r="148" spans="2:11" s="153" customFormat="1" ht="13" x14ac:dyDescent="0.3">
      <c r="B148" s="383" t="s">
        <v>842</v>
      </c>
      <c r="C148" s="379" t="s">
        <v>843</v>
      </c>
      <c r="D148" s="384">
        <v>202.76220000000001</v>
      </c>
      <c r="E148" s="385">
        <v>78.2868909444</v>
      </c>
      <c r="F148" s="385">
        <v>43800</v>
      </c>
      <c r="G148" s="385">
        <v>559.48064192646405</v>
      </c>
      <c r="H148" s="385">
        <v>117937</v>
      </c>
      <c r="I148" s="385">
        <v>1506.4718828055113</v>
      </c>
      <c r="J148" s="386">
        <v>2.6926255707762556</v>
      </c>
      <c r="K148" s="353" t="str">
        <f>IF(COUNTIF('6.6 - Lists and lookups'!$D$9:$L$72,C148)=1,"IN LIST","CHECK")</f>
        <v>IN LIST</v>
      </c>
    </row>
    <row r="149" spans="2:11" s="153" customFormat="1" ht="13" x14ac:dyDescent="0.3">
      <c r="B149" s="383" t="s">
        <v>844</v>
      </c>
      <c r="C149" s="379" t="s">
        <v>845</v>
      </c>
      <c r="D149" s="384">
        <v>165.69740000000002</v>
      </c>
      <c r="E149" s="385">
        <v>63.976097534800004</v>
      </c>
      <c r="F149" s="385">
        <v>34200</v>
      </c>
      <c r="G149" s="385">
        <v>534.57465081230998</v>
      </c>
      <c r="H149" s="385">
        <v>81845</v>
      </c>
      <c r="I149" s="385">
        <v>1279.3059150799272</v>
      </c>
      <c r="J149" s="386">
        <v>2.3931286549707602</v>
      </c>
      <c r="K149" s="353" t="str">
        <f>IF(COUNTIF('6.6 - Lists and lookups'!$D$9:$L$72,C149)=1,"IN LIST","CHECK")</f>
        <v>IN LIST</v>
      </c>
    </row>
    <row r="150" spans="2:11" s="153" customFormat="1" ht="13" x14ac:dyDescent="0.3">
      <c r="B150" s="383" t="s">
        <v>846</v>
      </c>
      <c r="C150" s="379" t="s">
        <v>847</v>
      </c>
      <c r="D150" s="384">
        <v>73.006500000000003</v>
      </c>
      <c r="E150" s="385">
        <v>28.187955663</v>
      </c>
      <c r="F150" s="385">
        <v>34400</v>
      </c>
      <c r="G150" s="385">
        <v>1220.3793851270327</v>
      </c>
      <c r="H150" s="385">
        <v>82261</v>
      </c>
      <c r="I150" s="385">
        <v>2918.30315697485</v>
      </c>
      <c r="J150" s="386">
        <v>2.3913081395348836</v>
      </c>
      <c r="K150" s="353" t="str">
        <f>IF(COUNTIF('6.6 - Lists and lookups'!$D$9:$L$72,C150)=1,"IN LIST","CHECK")</f>
        <v>IN LIST</v>
      </c>
    </row>
    <row r="151" spans="2:11" s="153" customFormat="1" ht="13" x14ac:dyDescent="0.3">
      <c r="B151" s="383" t="s">
        <v>848</v>
      </c>
      <c r="C151" s="379" t="s">
        <v>849</v>
      </c>
      <c r="D151" s="384">
        <v>566.93150000000003</v>
      </c>
      <c r="E151" s="385">
        <v>218.89338601300003</v>
      </c>
      <c r="F151" s="385">
        <v>60200</v>
      </c>
      <c r="G151" s="385">
        <v>275.01973036510446</v>
      </c>
      <c r="H151" s="385">
        <v>142162</v>
      </c>
      <c r="I151" s="385">
        <v>649.4577227269765</v>
      </c>
      <c r="J151" s="386">
        <v>2.3614950166112956</v>
      </c>
      <c r="K151" s="353" t="str">
        <f>IF(COUNTIF('6.6 - Lists and lookups'!$D$9:$L$72,C151)=1,"IN LIST","CHECK")</f>
        <v>IN LIST</v>
      </c>
    </row>
    <row r="152" spans="2:11" s="153" customFormat="1" ht="13" x14ac:dyDescent="0.3">
      <c r="B152" s="383" t="s">
        <v>850</v>
      </c>
      <c r="C152" s="379" t="s">
        <v>851</v>
      </c>
      <c r="D152" s="384">
        <v>169.38</v>
      </c>
      <c r="E152" s="385">
        <v>65.39795676</v>
      </c>
      <c r="F152" s="385">
        <v>31900</v>
      </c>
      <c r="G152" s="385">
        <v>487.7828235072829</v>
      </c>
      <c r="H152" s="385">
        <v>95789</v>
      </c>
      <c r="I152" s="385">
        <v>1464.7093693084364</v>
      </c>
      <c r="J152" s="386">
        <v>3.0027899686520376</v>
      </c>
      <c r="K152" s="353" t="str">
        <f>IF(COUNTIF('6.6 - Lists and lookups'!$D$9:$L$72,C152)=1,"IN LIST","CHECK")</f>
        <v>IN LIST</v>
      </c>
    </row>
    <row r="153" spans="2:11" s="153" customFormat="1" ht="13" x14ac:dyDescent="0.3">
      <c r="B153" s="383" t="s">
        <v>852</v>
      </c>
      <c r="C153" s="379" t="s">
        <v>853</v>
      </c>
      <c r="D153" s="384">
        <v>142.2841</v>
      </c>
      <c r="E153" s="385">
        <v>54.9361755782</v>
      </c>
      <c r="F153" s="385">
        <v>58300</v>
      </c>
      <c r="G153" s="385">
        <v>1061.2314997612402</v>
      </c>
      <c r="H153" s="385">
        <v>147617</v>
      </c>
      <c r="I153" s="385">
        <v>2687.0636415138079</v>
      </c>
      <c r="J153" s="386">
        <v>2.5320240137221268</v>
      </c>
      <c r="K153" s="353" t="str">
        <f>IF(COUNTIF('6.6 - Lists and lookups'!$D$9:$L$72,C153)=1,"IN LIST","CHECK")</f>
        <v>IN LIST</v>
      </c>
    </row>
    <row r="154" spans="2:11" s="153" customFormat="1" ht="13" x14ac:dyDescent="0.3">
      <c r="B154" s="383" t="s">
        <v>854</v>
      </c>
      <c r="C154" s="379" t="s">
        <v>855</v>
      </c>
      <c r="D154" s="384">
        <v>583.17660000000001</v>
      </c>
      <c r="E154" s="385">
        <v>225.1656516132</v>
      </c>
      <c r="F154" s="385">
        <v>25300</v>
      </c>
      <c r="G154" s="385">
        <v>112.36172044331839</v>
      </c>
      <c r="H154" s="385">
        <v>61907</v>
      </c>
      <c r="I154" s="385">
        <v>274.93980345788583</v>
      </c>
      <c r="J154" s="386">
        <v>2.4469169960474306</v>
      </c>
      <c r="K154" s="353" t="str">
        <f>IF(COUNTIF('6.6 - Lists and lookups'!$D$9:$L$72,C154)=1,"IN LIST","CHECK")</f>
        <v>IN LIST</v>
      </c>
    </row>
    <row r="155" spans="2:11" s="153" customFormat="1" ht="13" x14ac:dyDescent="0.3">
      <c r="B155" s="383" t="s">
        <v>856</v>
      </c>
      <c r="C155" s="379" t="s">
        <v>857</v>
      </c>
      <c r="D155" s="384">
        <v>138.0412</v>
      </c>
      <c r="E155" s="385">
        <v>53.2979834024</v>
      </c>
      <c r="F155" s="385">
        <v>29600</v>
      </c>
      <c r="G155" s="385">
        <v>555.36810420236498</v>
      </c>
      <c r="H155" s="385">
        <v>71010</v>
      </c>
      <c r="I155" s="385">
        <v>1332.3205770070924</v>
      </c>
      <c r="J155" s="386">
        <v>2.3989864864864865</v>
      </c>
      <c r="K155" s="353" t="str">
        <f>IF(COUNTIF('6.6 - Lists and lookups'!$D$9:$L$72,C155)=1,"IN LIST","CHECK")</f>
        <v>IN LIST</v>
      </c>
    </row>
    <row r="156" spans="2:11" s="153" customFormat="1" ht="13" x14ac:dyDescent="0.3">
      <c r="B156" s="383" t="s">
        <v>858</v>
      </c>
      <c r="C156" s="379" t="s">
        <v>859</v>
      </c>
      <c r="D156" s="384">
        <v>113.1417</v>
      </c>
      <c r="E156" s="385">
        <v>43.684236653399999</v>
      </c>
      <c r="F156" s="385">
        <v>45300</v>
      </c>
      <c r="G156" s="385">
        <v>1036.9873315956006</v>
      </c>
      <c r="H156" s="385">
        <v>111204</v>
      </c>
      <c r="I156" s="385">
        <v>2545.6322124228959</v>
      </c>
      <c r="J156" s="386">
        <v>2.4548344370860926</v>
      </c>
      <c r="K156" s="353" t="str">
        <f>IF(COUNTIF('6.6 - Lists and lookups'!$D$9:$L$72,C156)=1,"IN LIST","CHECK")</f>
        <v>IN LIST</v>
      </c>
    </row>
    <row r="157" spans="2:11" s="153" customFormat="1" ht="13" x14ac:dyDescent="0.3">
      <c r="B157" s="383" t="s">
        <v>860</v>
      </c>
      <c r="C157" s="379" t="s">
        <v>861</v>
      </c>
      <c r="D157" s="384">
        <v>346.63309999999996</v>
      </c>
      <c r="E157" s="385">
        <v>133.83573317619999</v>
      </c>
      <c r="F157" s="385">
        <v>44800</v>
      </c>
      <c r="G157" s="385">
        <v>334.73870495422204</v>
      </c>
      <c r="H157" s="385">
        <v>117125</v>
      </c>
      <c r="I157" s="385">
        <v>875.13997361078702</v>
      </c>
      <c r="J157" s="386">
        <v>2.6143973214285716</v>
      </c>
      <c r="K157" s="353" t="str">
        <f>IF(COUNTIF('6.6 - Lists and lookups'!$D$9:$L$72,C157)=1,"IN LIST","CHECK")</f>
        <v>IN LIST</v>
      </c>
    </row>
    <row r="158" spans="2:11" s="153" customFormat="1" ht="13" x14ac:dyDescent="0.3">
      <c r="B158" s="383" t="s">
        <v>862</v>
      </c>
      <c r="C158" s="379" t="s">
        <v>863</v>
      </c>
      <c r="D158" s="384">
        <v>282.1644</v>
      </c>
      <c r="E158" s="385">
        <v>108.9442391688</v>
      </c>
      <c r="F158" s="385">
        <v>46300</v>
      </c>
      <c r="G158" s="385">
        <v>424.98805217467276</v>
      </c>
      <c r="H158" s="385">
        <v>112457</v>
      </c>
      <c r="I158" s="385">
        <v>1032.2436583889239</v>
      </c>
      <c r="J158" s="386">
        <v>2.4288768898488122</v>
      </c>
      <c r="K158" s="353" t="str">
        <f>IF(COUNTIF('6.6 - Lists and lookups'!$D$9:$L$72,C158)=1,"IN LIST","CHECK")</f>
        <v>IN LIST</v>
      </c>
    </row>
    <row r="159" spans="2:11" s="153" customFormat="1" ht="13" x14ac:dyDescent="0.3">
      <c r="B159" s="383" t="s">
        <v>864</v>
      </c>
      <c r="C159" s="379" t="s">
        <v>865</v>
      </c>
      <c r="D159" s="384">
        <v>130.46860000000001</v>
      </c>
      <c r="E159" s="385">
        <v>50.374187397200004</v>
      </c>
      <c r="F159" s="385">
        <v>40300</v>
      </c>
      <c r="G159" s="385">
        <v>800.01290506653481</v>
      </c>
      <c r="H159" s="385">
        <v>103271</v>
      </c>
      <c r="I159" s="385">
        <v>2050.0777349659083</v>
      </c>
      <c r="J159" s="386">
        <v>2.5625558312655086</v>
      </c>
      <c r="K159" s="353" t="str">
        <f>IF(COUNTIF('6.6 - Lists and lookups'!$D$9:$L$72,C159)=1,"IN LIST","CHECK")</f>
        <v>IN LIST</v>
      </c>
    </row>
    <row r="160" spans="2:11" s="153" customFormat="1" ht="13" x14ac:dyDescent="0.3">
      <c r="B160" s="383" t="s">
        <v>866</v>
      </c>
      <c r="C160" s="379" t="s">
        <v>867</v>
      </c>
      <c r="D160" s="384">
        <v>279.04259999999999</v>
      </c>
      <c r="E160" s="385">
        <v>107.7389059452</v>
      </c>
      <c r="F160" s="385">
        <v>76700</v>
      </c>
      <c r="G160" s="385">
        <v>711.90624526122872</v>
      </c>
      <c r="H160" s="385">
        <v>182817</v>
      </c>
      <c r="I160" s="385">
        <v>1696.8522039103266</v>
      </c>
      <c r="J160" s="386">
        <v>2.3835332464146024</v>
      </c>
      <c r="K160" s="353" t="str">
        <f>IF(COUNTIF('6.6 - Lists and lookups'!$D$9:$L$72,C160)=1,"IN LIST","CHECK")</f>
        <v>IN LIST</v>
      </c>
    </row>
    <row r="161" spans="2:11" s="153" customFormat="1" ht="13" x14ac:dyDescent="0.3">
      <c r="B161" s="383" t="s">
        <v>868</v>
      </c>
      <c r="C161" s="379" t="s">
        <v>869</v>
      </c>
      <c r="D161" s="384">
        <v>591.79660000000001</v>
      </c>
      <c r="E161" s="385">
        <v>228.4938508532</v>
      </c>
      <c r="F161" s="385">
        <v>36400</v>
      </c>
      <c r="G161" s="385">
        <v>159.30406820175585</v>
      </c>
      <c r="H161" s="385">
        <v>98287</v>
      </c>
      <c r="I161" s="385">
        <v>430.15161954247185</v>
      </c>
      <c r="J161" s="386">
        <v>2.7001923076923076</v>
      </c>
      <c r="K161" s="353" t="str">
        <f>IF(COUNTIF('6.6 - Lists and lookups'!$D$9:$L$72,C161)=1,"IN LIST","CHECK")</f>
        <v>IN LIST</v>
      </c>
    </row>
    <row r="162" spans="2:11" s="153" customFormat="1" ht="13" x14ac:dyDescent="0.3">
      <c r="B162" s="383" t="s">
        <v>870</v>
      </c>
      <c r="C162" s="379" t="s">
        <v>871</v>
      </c>
      <c r="D162" s="384">
        <v>297.35140000000001</v>
      </c>
      <c r="E162" s="385">
        <v>114.80797024280001</v>
      </c>
      <c r="F162" s="385">
        <v>49100</v>
      </c>
      <c r="G162" s="385">
        <v>427.67065645496177</v>
      </c>
      <c r="H162" s="385">
        <v>113660</v>
      </c>
      <c r="I162" s="385">
        <v>990.00095341488714</v>
      </c>
      <c r="J162" s="386">
        <v>2.314867617107943</v>
      </c>
      <c r="K162" s="353" t="str">
        <f>IF(COUNTIF('6.6 - Lists and lookups'!$D$9:$L$72,C162)=1,"IN LIST","CHECK")</f>
        <v>IN LIST</v>
      </c>
    </row>
    <row r="163" spans="2:11" s="153" customFormat="1" ht="13" x14ac:dyDescent="0.3">
      <c r="B163" s="383" t="s">
        <v>872</v>
      </c>
      <c r="C163" s="379" t="s">
        <v>873</v>
      </c>
      <c r="D163" s="384">
        <v>481.38059999999996</v>
      </c>
      <c r="E163" s="385">
        <v>185.86201242119998</v>
      </c>
      <c r="F163" s="385">
        <v>21800</v>
      </c>
      <c r="G163" s="385">
        <v>117.2913158316445</v>
      </c>
      <c r="H163" s="385">
        <v>51773</v>
      </c>
      <c r="I163" s="385">
        <v>278.5561144289785</v>
      </c>
      <c r="J163" s="386">
        <v>2.374908256880734</v>
      </c>
      <c r="K163" s="353" t="str">
        <f>IF(COUNTIF('6.6 - Lists and lookups'!$D$9:$L$72,C163)=1,"IN LIST","CHECK")</f>
        <v>IN LIST</v>
      </c>
    </row>
    <row r="164" spans="2:11" s="153" customFormat="1" ht="13" x14ac:dyDescent="0.3">
      <c r="B164" s="383" t="s">
        <v>874</v>
      </c>
      <c r="C164" s="379" t="s">
        <v>875</v>
      </c>
      <c r="D164" s="384">
        <v>279.32799999999997</v>
      </c>
      <c r="E164" s="385">
        <v>107.84909945599999</v>
      </c>
      <c r="F164" s="385">
        <v>41900</v>
      </c>
      <c r="G164" s="385">
        <v>388.50579384850829</v>
      </c>
      <c r="H164" s="385">
        <v>105011</v>
      </c>
      <c r="I164" s="385">
        <v>973.68453264500488</v>
      </c>
      <c r="J164" s="386">
        <v>2.5062291169451072</v>
      </c>
      <c r="K164" s="353" t="str">
        <f>IF(COUNTIF('6.6 - Lists and lookups'!$D$9:$L$72,C164)=1,"IN LIST","CHECK")</f>
        <v>IN LIST</v>
      </c>
    </row>
    <row r="165" spans="2:11" s="153" customFormat="1" ht="13" x14ac:dyDescent="0.3">
      <c r="B165" s="383" t="s">
        <v>876</v>
      </c>
      <c r="C165" s="379" t="s">
        <v>877</v>
      </c>
      <c r="D165" s="384">
        <v>23.5261</v>
      </c>
      <c r="E165" s="385">
        <v>9.0834742621999993</v>
      </c>
      <c r="F165" s="385">
        <v>19500</v>
      </c>
      <c r="G165" s="385">
        <v>2146.7556836867329</v>
      </c>
      <c r="H165" s="385">
        <v>57753</v>
      </c>
      <c r="I165" s="385">
        <v>6358.0297948697371</v>
      </c>
      <c r="J165" s="386">
        <v>2.9616923076923078</v>
      </c>
      <c r="K165" s="353" t="str">
        <f>IF(COUNTIF('6.6 - Lists and lookups'!$D$9:$L$72,C165)=1,"IN LIST","CHECK")</f>
        <v>IN LIST</v>
      </c>
    </row>
    <row r="166" spans="2:11" s="153" customFormat="1" ht="13" x14ac:dyDescent="0.3">
      <c r="B166" s="383" t="s">
        <v>878</v>
      </c>
      <c r="C166" s="379" t="s">
        <v>879</v>
      </c>
      <c r="D166" s="384">
        <v>364.0086</v>
      </c>
      <c r="E166" s="385">
        <v>140.54444847720001</v>
      </c>
      <c r="F166" s="385">
        <v>27100</v>
      </c>
      <c r="G166" s="385">
        <v>192.82156138950114</v>
      </c>
      <c r="H166" s="385">
        <v>70798</v>
      </c>
      <c r="I166" s="385">
        <v>503.74099273999633</v>
      </c>
      <c r="J166" s="386">
        <v>2.6124723247232473</v>
      </c>
      <c r="K166" s="353" t="str">
        <f>IF(COUNTIF('6.6 - Lists and lookups'!$D$9:$L$72,C166)=1,"IN LIST","CHECK")</f>
        <v>IN LIST</v>
      </c>
    </row>
    <row r="167" spans="2:11" s="153" customFormat="1" ht="13" x14ac:dyDescent="0.3">
      <c r="B167" s="383" t="s">
        <v>880</v>
      </c>
      <c r="C167" s="379" t="s">
        <v>881</v>
      </c>
      <c r="D167" s="384">
        <v>1766.7732000000001</v>
      </c>
      <c r="E167" s="385">
        <v>682.15466606640007</v>
      </c>
      <c r="F167" s="385">
        <v>64100</v>
      </c>
      <c r="G167" s="385">
        <v>93.966959677382889</v>
      </c>
      <c r="H167" s="385">
        <v>142951</v>
      </c>
      <c r="I167" s="385">
        <v>209.55804762623339</v>
      </c>
      <c r="J167" s="386">
        <v>2.2301248049921996</v>
      </c>
      <c r="K167" s="353" t="str">
        <f>IF(COUNTIF('6.6 - Lists and lookups'!$D$9:$L$72,C167)=1,"IN LIST","CHECK")</f>
        <v>IN LIST</v>
      </c>
    </row>
    <row r="168" spans="2:11" s="153" customFormat="1" ht="13" x14ac:dyDescent="0.3">
      <c r="B168" s="383" t="s">
        <v>882</v>
      </c>
      <c r="C168" s="379" t="s">
        <v>883</v>
      </c>
      <c r="D168" s="384">
        <v>35.690199999999997</v>
      </c>
      <c r="E168" s="385">
        <v>13.780057600399999</v>
      </c>
      <c r="F168" s="385">
        <v>39000</v>
      </c>
      <c r="G168" s="385">
        <v>2830.1768491060539</v>
      </c>
      <c r="H168" s="385">
        <v>102330</v>
      </c>
      <c r="I168" s="385">
        <v>7425.948640231346</v>
      </c>
      <c r="J168" s="386">
        <v>2.6238461538461539</v>
      </c>
      <c r="K168" s="353" t="str">
        <f>IF(COUNTIF('6.6 - Lists and lookups'!$D$9:$L$72,C168)=1,"IN LIST","CHECK")</f>
        <v>IN LIST</v>
      </c>
    </row>
    <row r="169" spans="2:11" s="153" customFormat="1" ht="13" x14ac:dyDescent="0.3">
      <c r="B169" s="383" t="s">
        <v>884</v>
      </c>
      <c r="C169" s="379" t="s">
        <v>885</v>
      </c>
      <c r="D169" s="384">
        <v>922.47130000000004</v>
      </c>
      <c r="E169" s="385">
        <v>356.1680138726</v>
      </c>
      <c r="F169" s="385">
        <v>47100</v>
      </c>
      <c r="G169" s="385">
        <v>132.24095978716241</v>
      </c>
      <c r="H169" s="385">
        <v>118553</v>
      </c>
      <c r="I169" s="385">
        <v>332.85695341077422</v>
      </c>
      <c r="J169" s="386">
        <v>2.5170488322717621</v>
      </c>
      <c r="K169" s="353" t="str">
        <f>IF(COUNTIF('6.6 - Lists and lookups'!$D$9:$L$72,C169)=1,"IN LIST","CHECK")</f>
        <v>IN LIST</v>
      </c>
    </row>
    <row r="170" spans="2:11" s="153" customFormat="1" ht="13" x14ac:dyDescent="0.3">
      <c r="B170" s="383" t="s">
        <v>886</v>
      </c>
      <c r="C170" s="379" t="s">
        <v>887</v>
      </c>
      <c r="D170" s="384">
        <v>750.07619999999997</v>
      </c>
      <c r="E170" s="385">
        <v>289.60592097239999</v>
      </c>
      <c r="F170" s="385">
        <v>40900</v>
      </c>
      <c r="G170" s="385">
        <v>141.22639434536234</v>
      </c>
      <c r="H170" s="385">
        <v>95485</v>
      </c>
      <c r="I170" s="385">
        <v>329.70665682315212</v>
      </c>
      <c r="J170" s="386">
        <v>2.3345965770171149</v>
      </c>
      <c r="K170" s="353" t="str">
        <f>IF(COUNTIF('6.6 - Lists and lookups'!$D$9:$L$72,C170)=1,"IN LIST","CHECK")</f>
        <v>IN LIST</v>
      </c>
    </row>
    <row r="171" spans="2:11" s="153" customFormat="1" ht="13" x14ac:dyDescent="0.3">
      <c r="B171" s="383" t="s">
        <v>888</v>
      </c>
      <c r="C171" s="379" t="s">
        <v>889</v>
      </c>
      <c r="D171" s="384">
        <v>942.58600000000001</v>
      </c>
      <c r="E171" s="385">
        <v>363.93433977199999</v>
      </c>
      <c r="F171" s="385">
        <v>59000</v>
      </c>
      <c r="G171" s="385">
        <v>162.11715563022361</v>
      </c>
      <c r="H171" s="385">
        <v>143787</v>
      </c>
      <c r="I171" s="385">
        <v>395.09049926445698</v>
      </c>
      <c r="J171" s="386">
        <v>2.4370677966101697</v>
      </c>
      <c r="K171" s="353" t="str">
        <f>IF(COUNTIF('6.6 - Lists and lookups'!$D$9:$L$72,C171)=1,"IN LIST","CHECK")</f>
        <v>IN LIST</v>
      </c>
    </row>
    <row r="172" spans="2:11" s="153" customFormat="1" ht="13" x14ac:dyDescent="0.3">
      <c r="B172" s="383" t="s">
        <v>890</v>
      </c>
      <c r="C172" s="379" t="s">
        <v>891</v>
      </c>
      <c r="D172" s="384">
        <v>1155.7321000000002</v>
      </c>
      <c r="E172" s="385">
        <v>446.23047527420005</v>
      </c>
      <c r="F172" s="385">
        <v>40000</v>
      </c>
      <c r="G172" s="385">
        <v>89.639776340736859</v>
      </c>
      <c r="H172" s="385">
        <v>95570</v>
      </c>
      <c r="I172" s="385">
        <v>214.17183562210553</v>
      </c>
      <c r="J172" s="386">
        <v>2.3892500000000001</v>
      </c>
      <c r="K172" s="353" t="str">
        <f>IF(COUNTIF('6.6 - Lists and lookups'!$D$9:$L$72,C172)=1,"IN LIST","CHECK")</f>
        <v>IN LIST</v>
      </c>
    </row>
    <row r="173" spans="2:11" s="153" customFormat="1" ht="13" x14ac:dyDescent="0.3">
      <c r="B173" s="383" t="s">
        <v>892</v>
      </c>
      <c r="C173" s="379" t="s">
        <v>893</v>
      </c>
      <c r="D173" s="384">
        <v>1305.1168</v>
      </c>
      <c r="E173" s="385">
        <v>503.90820671360001</v>
      </c>
      <c r="F173" s="385">
        <v>59000</v>
      </c>
      <c r="G173" s="385">
        <v>117.08481666688371</v>
      </c>
      <c r="H173" s="385">
        <v>142164</v>
      </c>
      <c r="I173" s="385">
        <v>282.12281146831958</v>
      </c>
      <c r="J173" s="386">
        <v>2.4095593220338984</v>
      </c>
      <c r="K173" s="353" t="str">
        <f>IF(COUNTIF('6.6 - Lists and lookups'!$D$9:$L$72,C173)=1,"IN LIST","CHECK")</f>
        <v>IN LIST</v>
      </c>
    </row>
    <row r="174" spans="2:11" s="153" customFormat="1" ht="13" x14ac:dyDescent="0.3">
      <c r="B174" s="383" t="s">
        <v>894</v>
      </c>
      <c r="C174" s="379" t="s">
        <v>895</v>
      </c>
      <c r="D174" s="384">
        <v>552.06100000000004</v>
      </c>
      <c r="E174" s="385">
        <v>213.15185622200002</v>
      </c>
      <c r="F174" s="385">
        <v>54100</v>
      </c>
      <c r="G174" s="385">
        <v>253.80965926777691</v>
      </c>
      <c r="H174" s="385">
        <v>132247</v>
      </c>
      <c r="I174" s="385">
        <v>620.43560090916253</v>
      </c>
      <c r="J174" s="386">
        <v>2.4444916820702405</v>
      </c>
      <c r="K174" s="353" t="str">
        <f>IF(COUNTIF('6.6 - Lists and lookups'!$D$9:$L$72,C174)=1,"IN LIST","CHECK")</f>
        <v>IN LIST</v>
      </c>
    </row>
    <row r="175" spans="2:11" s="153" customFormat="1" ht="13" x14ac:dyDescent="0.3">
      <c r="B175" s="383" t="s">
        <v>896</v>
      </c>
      <c r="C175" s="379" t="s">
        <v>897</v>
      </c>
      <c r="D175" s="384">
        <v>174.31419999999997</v>
      </c>
      <c r="E175" s="385">
        <v>67.303061248399985</v>
      </c>
      <c r="F175" s="385">
        <v>37500</v>
      </c>
      <c r="G175" s="385">
        <v>557.18119361014203</v>
      </c>
      <c r="H175" s="385">
        <v>100146</v>
      </c>
      <c r="I175" s="385">
        <v>1487.9858084075008</v>
      </c>
      <c r="J175" s="386">
        <v>2.67056</v>
      </c>
      <c r="K175" s="353" t="str">
        <f>IF(COUNTIF('6.6 - Lists and lookups'!$D$9:$L$72,C175)=1,"IN LIST","CHECK")</f>
        <v>IN LIST</v>
      </c>
    </row>
    <row r="176" spans="2:11" s="153" customFormat="1" ht="15" customHeight="1" x14ac:dyDescent="0.3">
      <c r="B176" s="383" t="s">
        <v>898</v>
      </c>
      <c r="C176" s="379" t="s">
        <v>899</v>
      </c>
      <c r="D176" s="384">
        <v>1439.5223999999998</v>
      </c>
      <c r="E176" s="385">
        <v>555.8024776847999</v>
      </c>
      <c r="F176" s="385">
        <v>61500</v>
      </c>
      <c r="G176" s="385">
        <v>110.65082015499246</v>
      </c>
      <c r="H176" s="385">
        <v>154910</v>
      </c>
      <c r="I176" s="385">
        <v>278.71412276764033</v>
      </c>
      <c r="J176" s="386">
        <v>2.5188617886178863</v>
      </c>
      <c r="K176" s="353" t="str">
        <f>IF(COUNTIF('6.6 - Lists and lookups'!$D$9:$L$72,C176)=1,"IN LIST","CHECK")</f>
        <v>IN LIST</v>
      </c>
    </row>
    <row r="177" spans="2:11" s="153" customFormat="1" ht="13" x14ac:dyDescent="0.3">
      <c r="B177" s="383" t="s">
        <v>900</v>
      </c>
      <c r="C177" s="379" t="s">
        <v>901</v>
      </c>
      <c r="D177" s="384">
        <v>965.96699999999998</v>
      </c>
      <c r="E177" s="385">
        <v>372.96179063400001</v>
      </c>
      <c r="F177" s="385">
        <v>45600</v>
      </c>
      <c r="G177" s="385">
        <v>122.26453525570082</v>
      </c>
      <c r="H177" s="385">
        <v>103257</v>
      </c>
      <c r="I177" s="385">
        <v>276.85677887933991</v>
      </c>
      <c r="J177" s="386">
        <v>2.2644078947368422</v>
      </c>
      <c r="K177" s="353" t="str">
        <f>IF(COUNTIF('6.6 - Lists and lookups'!$D$9:$L$72,C177)=1,"IN LIST","CHECK")</f>
        <v>IN LIST</v>
      </c>
    </row>
    <row r="178" spans="2:11" s="153" customFormat="1" ht="13" x14ac:dyDescent="0.3">
      <c r="B178" s="383" t="s">
        <v>902</v>
      </c>
      <c r="C178" s="379" t="s">
        <v>903</v>
      </c>
      <c r="D178" s="384">
        <v>39.021999999999998</v>
      </c>
      <c r="E178" s="385">
        <v>15.066472244</v>
      </c>
      <c r="F178" s="385">
        <v>60700</v>
      </c>
      <c r="G178" s="385">
        <v>4028.813050392263</v>
      </c>
      <c r="H178" s="385">
        <v>143118</v>
      </c>
      <c r="I178" s="385">
        <v>9499.1048788474436</v>
      </c>
      <c r="J178" s="386">
        <v>2.3577924217462933</v>
      </c>
      <c r="K178" s="353" t="str">
        <f>IF(COUNTIF('6.6 - Lists and lookups'!$D$9:$L$72,C178)=1,"IN LIST","CHECK")</f>
        <v>IN LIST</v>
      </c>
    </row>
    <row r="179" spans="2:11" s="153" customFormat="1" ht="13" x14ac:dyDescent="0.3">
      <c r="B179" s="383" t="s">
        <v>904</v>
      </c>
      <c r="C179" s="379" t="s">
        <v>905</v>
      </c>
      <c r="D179" s="384">
        <v>907.57659999999998</v>
      </c>
      <c r="E179" s="385">
        <v>350.4171404132</v>
      </c>
      <c r="F179" s="385">
        <v>60400</v>
      </c>
      <c r="G179" s="385">
        <v>172.36599764719946</v>
      </c>
      <c r="H179" s="385">
        <v>142527</v>
      </c>
      <c r="I179" s="385">
        <v>406.73524083878146</v>
      </c>
      <c r="J179" s="386">
        <v>2.3597185430463576</v>
      </c>
      <c r="K179" s="353" t="str">
        <f>IF(COUNTIF('6.6 - Lists and lookups'!$D$9:$L$72,C179)=1,"IN LIST","CHECK")</f>
        <v>IN LIST</v>
      </c>
    </row>
    <row r="180" spans="2:11" s="153" customFormat="1" ht="13" x14ac:dyDescent="0.3">
      <c r="B180" s="383" t="s">
        <v>906</v>
      </c>
      <c r="C180" s="379" t="s">
        <v>907</v>
      </c>
      <c r="D180" s="384">
        <v>1177.3880999999999</v>
      </c>
      <c r="E180" s="385">
        <v>454.59190018619995</v>
      </c>
      <c r="F180" s="385">
        <v>21300</v>
      </c>
      <c r="G180" s="385">
        <v>46.855212315211865</v>
      </c>
      <c r="H180" s="385">
        <v>57090</v>
      </c>
      <c r="I180" s="385">
        <v>125.5851676561242</v>
      </c>
      <c r="J180" s="386">
        <v>2.6802816901408453</v>
      </c>
      <c r="K180" s="353" t="str">
        <f>IF(COUNTIF('6.6 - Lists and lookups'!$D$9:$L$72,C180)=1,"IN LIST","CHECK")</f>
        <v>IN LIST</v>
      </c>
    </row>
    <row r="181" spans="2:11" s="153" customFormat="1" ht="13" x14ac:dyDescent="0.3">
      <c r="B181" s="383" t="s">
        <v>908</v>
      </c>
      <c r="C181" s="379" t="s">
        <v>909</v>
      </c>
      <c r="D181" s="384">
        <v>1311.2564000000002</v>
      </c>
      <c r="E181" s="385">
        <v>506.27871855280006</v>
      </c>
      <c r="F181" s="385">
        <v>35600</v>
      </c>
      <c r="G181" s="385">
        <v>70.316998711229175</v>
      </c>
      <c r="H181" s="385">
        <v>91037</v>
      </c>
      <c r="I181" s="385">
        <v>179.81597223803848</v>
      </c>
      <c r="J181" s="386">
        <v>2.5572191011235956</v>
      </c>
      <c r="K181" s="353" t="str">
        <f>IF(COUNTIF('6.6 - Lists and lookups'!$D$9:$L$72,C181)=1,"IN LIST","CHECK")</f>
        <v>IN LIST</v>
      </c>
    </row>
    <row r="182" spans="2:11" s="153" customFormat="1" ht="13" x14ac:dyDescent="0.3">
      <c r="B182" s="383" t="s">
        <v>910</v>
      </c>
      <c r="C182" s="379" t="s">
        <v>911</v>
      </c>
      <c r="D182" s="384">
        <v>1307.9376999999999</v>
      </c>
      <c r="E182" s="385">
        <v>504.99736184540001</v>
      </c>
      <c r="F182" s="385">
        <v>68700</v>
      </c>
      <c r="G182" s="385">
        <v>136.04031464432052</v>
      </c>
      <c r="H182" s="385">
        <v>164105</v>
      </c>
      <c r="I182" s="385">
        <v>324.96209366384596</v>
      </c>
      <c r="J182" s="386">
        <v>2.3887190684133914</v>
      </c>
      <c r="K182" s="353" t="str">
        <f>IF(COUNTIF('6.6 - Lists and lookups'!$D$9:$L$72,C182)=1,"IN LIST","CHECK")</f>
        <v>IN LIST</v>
      </c>
    </row>
    <row r="183" spans="2:11" s="153" customFormat="1" ht="13" x14ac:dyDescent="0.3">
      <c r="B183" s="383" t="s">
        <v>912</v>
      </c>
      <c r="C183" s="379" t="s">
        <v>913</v>
      </c>
      <c r="D183" s="384">
        <v>1318.7028</v>
      </c>
      <c r="E183" s="385">
        <v>509.15378848559999</v>
      </c>
      <c r="F183" s="385">
        <v>22600</v>
      </c>
      <c r="G183" s="385">
        <v>44.387374720750365</v>
      </c>
      <c r="H183" s="385">
        <v>50358</v>
      </c>
      <c r="I183" s="385">
        <v>98.905283902103847</v>
      </c>
      <c r="J183" s="386">
        <v>2.2282300884955752</v>
      </c>
      <c r="K183" s="353" t="str">
        <f>IF(COUNTIF('6.6 - Lists and lookups'!$D$9:$L$72,C183)=1,"IN LIST","CHECK")</f>
        <v>IN LIST</v>
      </c>
    </row>
    <row r="184" spans="2:11" s="153" customFormat="1" ht="13" x14ac:dyDescent="0.3">
      <c r="B184" s="383" t="s">
        <v>914</v>
      </c>
      <c r="C184" s="379" t="s">
        <v>915</v>
      </c>
      <c r="D184" s="384">
        <v>1506.5306</v>
      </c>
      <c r="E184" s="385">
        <v>581.67447772119999</v>
      </c>
      <c r="F184" s="385">
        <v>22600</v>
      </c>
      <c r="G184" s="385">
        <v>38.85334644308103</v>
      </c>
      <c r="H184" s="385">
        <v>54897</v>
      </c>
      <c r="I184" s="385">
        <v>94.377529189638011</v>
      </c>
      <c r="J184" s="386">
        <v>2.4290707964601772</v>
      </c>
      <c r="K184" s="353" t="str">
        <f>IF(COUNTIF('6.6 - Lists and lookups'!$D$9:$L$72,C184)=1,"IN LIST","CHECK")</f>
        <v>IN LIST</v>
      </c>
    </row>
    <row r="185" spans="2:11" s="153" customFormat="1" ht="13" x14ac:dyDescent="0.3">
      <c r="B185" s="383" t="s">
        <v>916</v>
      </c>
      <c r="C185" s="379" t="s">
        <v>917</v>
      </c>
      <c r="D185" s="384">
        <v>816.24130000000002</v>
      </c>
      <c r="E185" s="385">
        <v>315.15239841260001</v>
      </c>
      <c r="F185" s="385">
        <v>46900</v>
      </c>
      <c r="G185" s="385">
        <v>148.81689060985076</v>
      </c>
      <c r="H185" s="385">
        <v>108959</v>
      </c>
      <c r="I185" s="385">
        <v>345.73431948739295</v>
      </c>
      <c r="J185" s="386">
        <v>2.3232196162046908</v>
      </c>
      <c r="K185" s="353" t="str">
        <f>IF(COUNTIF('6.6 - Lists and lookups'!$D$9:$L$72,C185)=1,"IN LIST","CHECK")</f>
        <v>IN LIST</v>
      </c>
    </row>
    <row r="186" spans="2:11" s="153" customFormat="1" ht="13" x14ac:dyDescent="0.3">
      <c r="B186" s="383" t="s">
        <v>918</v>
      </c>
      <c r="C186" s="379" t="s">
        <v>919</v>
      </c>
      <c r="D186" s="384">
        <v>599.31550000000004</v>
      </c>
      <c r="E186" s="385">
        <v>231.39691318100003</v>
      </c>
      <c r="F186" s="385">
        <v>35100</v>
      </c>
      <c r="G186" s="385">
        <v>151.68741673120147</v>
      </c>
      <c r="H186" s="385">
        <v>92401</v>
      </c>
      <c r="I186" s="385">
        <v>399.31820493959395</v>
      </c>
      <c r="J186" s="386">
        <v>2.6325071225071226</v>
      </c>
      <c r="K186" s="353" t="str">
        <f>IF(COUNTIF('6.6 - Lists and lookups'!$D$9:$L$72,C186)=1,"IN LIST","CHECK")</f>
        <v>IN LIST</v>
      </c>
    </row>
    <row r="187" spans="2:11" s="153" customFormat="1" ht="13" x14ac:dyDescent="0.3">
      <c r="B187" s="383" t="s">
        <v>920</v>
      </c>
      <c r="C187" s="379" t="s">
        <v>921</v>
      </c>
      <c r="D187" s="384">
        <v>109.5581</v>
      </c>
      <c r="E187" s="385">
        <v>42.300601526199998</v>
      </c>
      <c r="F187" s="385">
        <v>48900</v>
      </c>
      <c r="G187" s="385">
        <v>1156.0119297526417</v>
      </c>
      <c r="H187" s="385">
        <v>126372</v>
      </c>
      <c r="I187" s="385">
        <v>2987.4752471717961</v>
      </c>
      <c r="J187" s="386">
        <v>2.5842944785276072</v>
      </c>
      <c r="K187" s="353" t="str">
        <f>IF(COUNTIF('6.6 - Lists and lookups'!$D$9:$L$72,C187)=1,"IN LIST","CHECK")</f>
        <v>IN LIST</v>
      </c>
    </row>
    <row r="188" spans="2:11" s="153" customFormat="1" ht="13" x14ac:dyDescent="0.3">
      <c r="B188" s="383" t="s">
        <v>922</v>
      </c>
      <c r="C188" s="379" t="s">
        <v>923</v>
      </c>
      <c r="D188" s="384">
        <v>637.80330000000004</v>
      </c>
      <c r="E188" s="385">
        <v>246.25712973660001</v>
      </c>
      <c r="F188" s="385">
        <v>49300</v>
      </c>
      <c r="G188" s="385">
        <v>200.19724932525591</v>
      </c>
      <c r="H188" s="385">
        <v>118351</v>
      </c>
      <c r="I188" s="385">
        <v>480.59928306071726</v>
      </c>
      <c r="J188" s="386">
        <v>2.4006288032454361</v>
      </c>
      <c r="K188" s="353" t="str">
        <f>IF(COUNTIF('6.6 - Lists and lookups'!$D$9:$L$72,C188)=1,"IN LIST","CHECK")</f>
        <v>IN LIST</v>
      </c>
    </row>
    <row r="189" spans="2:11" s="153" customFormat="1" ht="13" x14ac:dyDescent="0.3">
      <c r="B189" s="383" t="s">
        <v>924</v>
      </c>
      <c r="C189" s="379" t="s">
        <v>925</v>
      </c>
      <c r="D189" s="384">
        <v>80.0989</v>
      </c>
      <c r="E189" s="385">
        <v>30.926345487799999</v>
      </c>
      <c r="F189" s="385">
        <v>45800</v>
      </c>
      <c r="G189" s="385">
        <v>1480.937992433262</v>
      </c>
      <c r="H189" s="385">
        <v>110813</v>
      </c>
      <c r="I189" s="385">
        <v>3583.1262392032108</v>
      </c>
      <c r="J189" s="386">
        <v>2.4194978165938865</v>
      </c>
      <c r="K189" s="353" t="str">
        <f>IF(COUNTIF('6.6 - Lists and lookups'!$D$9:$L$72,C189)=1,"IN LIST","CHECK")</f>
        <v>IN LIST</v>
      </c>
    </row>
    <row r="190" spans="2:11" s="153" customFormat="1" ht="13" x14ac:dyDescent="0.3">
      <c r="B190" s="383" t="s">
        <v>926</v>
      </c>
      <c r="C190" s="379" t="s">
        <v>927</v>
      </c>
      <c r="D190" s="384">
        <v>119.9817</v>
      </c>
      <c r="E190" s="385">
        <v>46.3251743334</v>
      </c>
      <c r="F190" s="385">
        <v>51600</v>
      </c>
      <c r="G190" s="385">
        <v>1113.8652091978615</v>
      </c>
      <c r="H190" s="385">
        <v>117298</v>
      </c>
      <c r="I190" s="385">
        <v>2532.0573896994338</v>
      </c>
      <c r="J190" s="386">
        <v>2.2732170542635659</v>
      </c>
      <c r="K190" s="353" t="str">
        <f>IF(COUNTIF('6.6 - Lists and lookups'!$D$9:$L$72,C190)=1,"IN LIST","CHECK")</f>
        <v>IN LIST</v>
      </c>
    </row>
    <row r="191" spans="2:11" s="153" customFormat="1" ht="13" x14ac:dyDescent="0.3">
      <c r="B191" s="383" t="s">
        <v>928</v>
      </c>
      <c r="C191" s="379" t="s">
        <v>929</v>
      </c>
      <c r="D191" s="384">
        <v>76.697100000000006</v>
      </c>
      <c r="E191" s="385">
        <v>29.612903704200001</v>
      </c>
      <c r="F191" s="385">
        <v>47900</v>
      </c>
      <c r="G191" s="385">
        <v>1617.5381002304864</v>
      </c>
      <c r="H191" s="385">
        <v>110602</v>
      </c>
      <c r="I191" s="385">
        <v>3734.9258655885646</v>
      </c>
      <c r="J191" s="386">
        <v>2.3090187891440501</v>
      </c>
      <c r="K191" s="353" t="str">
        <f>IF(COUNTIF('6.6 - Lists and lookups'!$D$9:$L$72,C191)=1,"IN LIST","CHECK")</f>
        <v>IN LIST</v>
      </c>
    </row>
    <row r="192" spans="2:11" s="153" customFormat="1" ht="13" x14ac:dyDescent="0.3">
      <c r="B192" s="383" t="s">
        <v>930</v>
      </c>
      <c r="C192" s="379" t="s">
        <v>931</v>
      </c>
      <c r="D192" s="384">
        <v>651.34050000000002</v>
      </c>
      <c r="E192" s="385">
        <v>251.483869731</v>
      </c>
      <c r="F192" s="385">
        <v>48900</v>
      </c>
      <c r="G192" s="385">
        <v>194.445870632999</v>
      </c>
      <c r="H192" s="385">
        <v>123383</v>
      </c>
      <c r="I192" s="385">
        <v>490.61993571188788</v>
      </c>
      <c r="J192" s="386">
        <v>2.5231697341513293</v>
      </c>
      <c r="K192" s="353" t="str">
        <f>IF(COUNTIF('6.6 - Lists and lookups'!$D$9:$L$72,C192)=1,"IN LIST","CHECK")</f>
        <v>IN LIST</v>
      </c>
    </row>
    <row r="193" spans="2:11" s="153" customFormat="1" ht="13" x14ac:dyDescent="0.3">
      <c r="B193" s="383" t="s">
        <v>932</v>
      </c>
      <c r="C193" s="379" t="s">
        <v>933</v>
      </c>
      <c r="D193" s="384">
        <v>409.23169999999999</v>
      </c>
      <c r="E193" s="385">
        <v>158.00517783339998</v>
      </c>
      <c r="F193" s="385">
        <v>48800</v>
      </c>
      <c r="G193" s="385">
        <v>308.85063811930593</v>
      </c>
      <c r="H193" s="385">
        <v>119438</v>
      </c>
      <c r="I193" s="385">
        <v>755.91193679700132</v>
      </c>
      <c r="J193" s="386">
        <v>2.4474999999999998</v>
      </c>
      <c r="K193" s="353" t="str">
        <f>IF(COUNTIF('6.6 - Lists and lookups'!$D$9:$L$72,C193)=1,"IN LIST","CHECK")</f>
        <v>IN LIST</v>
      </c>
    </row>
    <row r="194" spans="2:11" s="153" customFormat="1" ht="13" x14ac:dyDescent="0.3">
      <c r="B194" s="383" t="s">
        <v>934</v>
      </c>
      <c r="C194" s="379" t="s">
        <v>935</v>
      </c>
      <c r="D194" s="384">
        <v>588.74540000000002</v>
      </c>
      <c r="E194" s="385">
        <v>227.31577643080001</v>
      </c>
      <c r="F194" s="385">
        <v>59300</v>
      </c>
      <c r="G194" s="385">
        <v>260.87058685982686</v>
      </c>
      <c r="H194" s="385">
        <v>161837</v>
      </c>
      <c r="I194" s="385">
        <v>711.94794545756827</v>
      </c>
      <c r="J194" s="386">
        <v>2.7291231028667791</v>
      </c>
      <c r="K194" s="353" t="str">
        <f>IF(COUNTIF('6.6 - Lists and lookups'!$D$9:$L$72,C194)=1,"IN LIST","CHECK")</f>
        <v>IN LIST</v>
      </c>
    </row>
    <row r="195" spans="2:11" s="153" customFormat="1" ht="13" x14ac:dyDescent="0.3">
      <c r="B195" s="383" t="s">
        <v>936</v>
      </c>
      <c r="C195" s="379" t="s">
        <v>937</v>
      </c>
      <c r="D195" s="384">
        <v>45.603000000000002</v>
      </c>
      <c r="E195" s="385">
        <v>17.607409506</v>
      </c>
      <c r="F195" s="385">
        <v>61400</v>
      </c>
      <c r="G195" s="385">
        <v>3487.1682844132747</v>
      </c>
      <c r="H195" s="385">
        <v>160021</v>
      </c>
      <c r="I195" s="385">
        <v>9088.2761570048297</v>
      </c>
      <c r="J195" s="386">
        <v>2.6062052117263845</v>
      </c>
      <c r="K195" s="353" t="str">
        <f>IF(COUNTIF('6.6 - Lists and lookups'!$D$9:$L$72,C195)=1,"IN LIST","CHECK")</f>
        <v>IN LIST</v>
      </c>
    </row>
    <row r="196" spans="2:11" s="153" customFormat="1" ht="13" x14ac:dyDescent="0.3">
      <c r="B196" s="383" t="s">
        <v>938</v>
      </c>
      <c r="C196" s="379" t="s">
        <v>939</v>
      </c>
      <c r="D196" s="384">
        <v>678.50119999999993</v>
      </c>
      <c r="E196" s="385">
        <v>261.9706703224</v>
      </c>
      <c r="F196" s="385">
        <v>57500</v>
      </c>
      <c r="G196" s="385">
        <v>219.49021976099979</v>
      </c>
      <c r="H196" s="385">
        <v>150024</v>
      </c>
      <c r="I196" s="385">
        <v>572.67479529433444</v>
      </c>
      <c r="J196" s="386">
        <v>2.6091130434782608</v>
      </c>
      <c r="K196" s="353" t="str">
        <f>IF(COUNTIF('6.6 - Lists and lookups'!$D$9:$L$72,C196)=1,"IN LIST","CHECK")</f>
        <v>IN LIST</v>
      </c>
    </row>
    <row r="197" spans="2:11" s="153" customFormat="1" ht="13" x14ac:dyDescent="0.3">
      <c r="B197" s="383" t="s">
        <v>940</v>
      </c>
      <c r="C197" s="379" t="s">
        <v>941</v>
      </c>
      <c r="D197" s="384">
        <v>577.66390000000001</v>
      </c>
      <c r="E197" s="385">
        <v>223.03718711780002</v>
      </c>
      <c r="F197" s="385">
        <v>47200</v>
      </c>
      <c r="G197" s="385">
        <v>211.62390276680946</v>
      </c>
      <c r="H197" s="385">
        <v>139487</v>
      </c>
      <c r="I197" s="385">
        <v>625.39795180580404</v>
      </c>
      <c r="J197" s="386">
        <v>2.9552330508474576</v>
      </c>
      <c r="K197" s="353" t="str">
        <f>IF(COUNTIF('6.6 - Lists and lookups'!$D$9:$L$72,C197)=1,"IN LIST","CHECK")</f>
        <v>IN LIST</v>
      </c>
    </row>
    <row r="198" spans="2:11" s="153" customFormat="1" ht="13" x14ac:dyDescent="0.3">
      <c r="B198" s="383" t="s">
        <v>942</v>
      </c>
      <c r="C198" s="379" t="s">
        <v>943</v>
      </c>
      <c r="D198" s="384">
        <v>714.42200000000003</v>
      </c>
      <c r="E198" s="385">
        <v>275.83976304399999</v>
      </c>
      <c r="F198" s="385">
        <v>44200</v>
      </c>
      <c r="G198" s="385">
        <v>160.2379566754106</v>
      </c>
      <c r="H198" s="385">
        <v>115161</v>
      </c>
      <c r="I198" s="385">
        <v>417.49238300219372</v>
      </c>
      <c r="J198" s="386">
        <v>2.6054524886877828</v>
      </c>
      <c r="K198" s="353" t="str">
        <f>IF(COUNTIF('6.6 - Lists and lookups'!$D$9:$L$72,C198)=1,"IN LIST","CHECK")</f>
        <v>IN LIST</v>
      </c>
    </row>
    <row r="199" spans="2:11" s="153" customFormat="1" ht="13" x14ac:dyDescent="0.3">
      <c r="B199" s="383" t="s">
        <v>944</v>
      </c>
      <c r="C199" s="379" t="s">
        <v>945</v>
      </c>
      <c r="D199" s="384">
        <v>739.43560000000002</v>
      </c>
      <c r="E199" s="385">
        <v>285.4975640312</v>
      </c>
      <c r="F199" s="385">
        <v>49300</v>
      </c>
      <c r="G199" s="385">
        <v>172.6809829964516</v>
      </c>
      <c r="H199" s="385">
        <v>116285</v>
      </c>
      <c r="I199" s="385">
        <v>407.30645248970336</v>
      </c>
      <c r="J199" s="386">
        <v>2.3587221095334687</v>
      </c>
      <c r="K199" s="353" t="str">
        <f>IF(COUNTIF('6.6 - Lists and lookups'!$D$9:$L$72,C199)=1,"IN LIST","CHECK")</f>
        <v>IN LIST</v>
      </c>
    </row>
    <row r="200" spans="2:11" s="153" customFormat="1" ht="13" x14ac:dyDescent="0.3">
      <c r="B200" s="383" t="s">
        <v>946</v>
      </c>
      <c r="C200" s="379" t="s">
        <v>947</v>
      </c>
      <c r="D200" s="384">
        <v>564.22379999999998</v>
      </c>
      <c r="E200" s="385">
        <v>217.8479376276</v>
      </c>
      <c r="F200" s="385">
        <v>54300</v>
      </c>
      <c r="G200" s="385">
        <v>249.25643359921585</v>
      </c>
      <c r="H200" s="385">
        <v>125752</v>
      </c>
      <c r="I200" s="385">
        <v>577.24668578211038</v>
      </c>
      <c r="J200" s="386">
        <v>2.3158747697974218</v>
      </c>
      <c r="K200" s="353" t="str">
        <f>IF(COUNTIF('6.6 - Lists and lookups'!$D$9:$L$72,C200)=1,"IN LIST","CHECK")</f>
        <v>IN LIST</v>
      </c>
    </row>
    <row r="201" spans="2:11" s="153" customFormat="1" ht="13" x14ac:dyDescent="0.3">
      <c r="B201" s="383" t="s">
        <v>948</v>
      </c>
      <c r="C201" s="379" t="s">
        <v>949</v>
      </c>
      <c r="D201" s="384">
        <v>959.05289999999991</v>
      </c>
      <c r="E201" s="385">
        <v>370.29224279579995</v>
      </c>
      <c r="F201" s="385">
        <v>68800</v>
      </c>
      <c r="G201" s="385">
        <v>185.79919330889197</v>
      </c>
      <c r="H201" s="385">
        <v>173173</v>
      </c>
      <c r="I201" s="385">
        <v>467.66575149535976</v>
      </c>
      <c r="J201" s="386">
        <v>2.517049418604651</v>
      </c>
      <c r="K201" s="353" t="str">
        <f>IF(COUNTIF('6.6 - Lists and lookups'!$D$9:$L$72,C201)=1,"IN LIST","CHECK")</f>
        <v>IN LIST</v>
      </c>
    </row>
    <row r="202" spans="2:11" s="153" customFormat="1" ht="13" x14ac:dyDescent="0.3">
      <c r="B202" s="383" t="s">
        <v>950</v>
      </c>
      <c r="C202" s="379" t="s">
        <v>951</v>
      </c>
      <c r="D202" s="384">
        <v>78.882499999999993</v>
      </c>
      <c r="E202" s="385">
        <v>30.456691014999997</v>
      </c>
      <c r="F202" s="385">
        <v>42100</v>
      </c>
      <c r="G202" s="385">
        <v>1382.290675611006</v>
      </c>
      <c r="H202" s="385">
        <v>100590</v>
      </c>
      <c r="I202" s="385">
        <v>3302.7225429860114</v>
      </c>
      <c r="J202" s="386">
        <v>2.3893111638954871</v>
      </c>
      <c r="K202" s="353" t="str">
        <f>IF(COUNTIF('6.6 - Lists and lookups'!$D$9:$L$72,C202)=1,"IN LIST","CHECK")</f>
        <v>IN LIST</v>
      </c>
    </row>
    <row r="203" spans="2:11" s="153" customFormat="1" ht="13" x14ac:dyDescent="0.3">
      <c r="B203" s="383" t="s">
        <v>952</v>
      </c>
      <c r="C203" s="379" t="s">
        <v>953</v>
      </c>
      <c r="D203" s="384">
        <v>386.95949999999999</v>
      </c>
      <c r="E203" s="385">
        <v>149.40583686899998</v>
      </c>
      <c r="F203" s="385">
        <v>48200</v>
      </c>
      <c r="G203" s="385">
        <v>322.61122463550117</v>
      </c>
      <c r="H203" s="385">
        <v>124477</v>
      </c>
      <c r="I203" s="385">
        <v>833.14683421064899</v>
      </c>
      <c r="J203" s="386">
        <v>2.5825103734439834</v>
      </c>
      <c r="K203" s="353" t="str">
        <f>IF(COUNTIF('6.6 - Lists and lookups'!$D$9:$L$72,C203)=1,"IN LIST","CHECK")</f>
        <v>IN LIST</v>
      </c>
    </row>
    <row r="204" spans="2:11" s="153" customFormat="1" ht="13" x14ac:dyDescent="0.3">
      <c r="B204" s="383" t="s">
        <v>954</v>
      </c>
      <c r="C204" s="379" t="s">
        <v>955</v>
      </c>
      <c r="D204" s="384">
        <v>331.2944</v>
      </c>
      <c r="E204" s="385">
        <v>127.9134304288</v>
      </c>
      <c r="F204" s="385">
        <v>46100</v>
      </c>
      <c r="G204" s="385">
        <v>360.39999744718347</v>
      </c>
      <c r="H204" s="385">
        <v>106909</v>
      </c>
      <c r="I204" s="385">
        <v>835.79182922084465</v>
      </c>
      <c r="J204" s="386">
        <v>2.3190672451193057</v>
      </c>
      <c r="K204" s="353" t="str">
        <f>IF(COUNTIF('6.6 - Lists and lookups'!$D$9:$L$72,C204)=1,"IN LIST","CHECK")</f>
        <v>IN LIST</v>
      </c>
    </row>
    <row r="205" spans="2:11" s="153" customFormat="1" ht="13" x14ac:dyDescent="0.3">
      <c r="B205" s="383" t="s">
        <v>956</v>
      </c>
      <c r="C205" s="379" t="s">
        <v>957</v>
      </c>
      <c r="D205" s="384">
        <v>210.95740000000001</v>
      </c>
      <c r="E205" s="385">
        <v>81.451074054800003</v>
      </c>
      <c r="F205" s="385">
        <v>52800</v>
      </c>
      <c r="G205" s="385">
        <v>648.24191224877336</v>
      </c>
      <c r="H205" s="385">
        <v>123025</v>
      </c>
      <c r="I205" s="385">
        <v>1510.415932848586</v>
      </c>
      <c r="J205" s="386">
        <v>2.3300189393939394</v>
      </c>
      <c r="K205" s="353" t="str">
        <f>IF(COUNTIF('6.6 - Lists and lookups'!$D$9:$L$72,C205)=1,"IN LIST","CHECK")</f>
        <v>IN LIST</v>
      </c>
    </row>
    <row r="206" spans="2:11" s="153" customFormat="1" ht="13" x14ac:dyDescent="0.3">
      <c r="B206" s="383" t="s">
        <v>958</v>
      </c>
      <c r="C206" s="379" t="s">
        <v>959</v>
      </c>
      <c r="D206" s="384">
        <v>407.32230000000004</v>
      </c>
      <c r="E206" s="385">
        <v>157.26795467460002</v>
      </c>
      <c r="F206" s="385">
        <v>46300</v>
      </c>
      <c r="G206" s="385">
        <v>294.40199750672923</v>
      </c>
      <c r="H206" s="385">
        <v>110793</v>
      </c>
      <c r="I206" s="385">
        <v>704.48554016766855</v>
      </c>
      <c r="J206" s="386">
        <v>2.3929373650107992</v>
      </c>
      <c r="K206" s="353" t="str">
        <f>IF(COUNTIF('6.6 - Lists and lookups'!$D$9:$L$72,C206)=1,"IN LIST","CHECK")</f>
        <v>IN LIST</v>
      </c>
    </row>
    <row r="207" spans="2:11" s="153" customFormat="1" ht="13" x14ac:dyDescent="0.3">
      <c r="B207" s="383" t="s">
        <v>960</v>
      </c>
      <c r="C207" s="379" t="s">
        <v>961</v>
      </c>
      <c r="D207" s="384">
        <v>598.1721</v>
      </c>
      <c r="E207" s="385">
        <v>230.95544415419999</v>
      </c>
      <c r="F207" s="385">
        <v>63000</v>
      </c>
      <c r="G207" s="385">
        <v>272.77988718004559</v>
      </c>
      <c r="H207" s="385">
        <v>137231</v>
      </c>
      <c r="I207" s="385">
        <v>594.18820154928312</v>
      </c>
      <c r="J207" s="386">
        <v>2.1782698412698411</v>
      </c>
      <c r="K207" s="353" t="str">
        <f>IF(COUNTIF('6.6 - Lists and lookups'!$D$9:$L$72,C207)=1,"IN LIST","CHECK")</f>
        <v>IN LIST</v>
      </c>
    </row>
    <row r="208" spans="2:11" s="153" customFormat="1" ht="13" x14ac:dyDescent="0.3">
      <c r="B208" s="383" t="s">
        <v>962</v>
      </c>
      <c r="C208" s="379" t="s">
        <v>963</v>
      </c>
      <c r="D208" s="384">
        <v>575.84980000000007</v>
      </c>
      <c r="E208" s="385">
        <v>222.33675947960003</v>
      </c>
      <c r="F208" s="385">
        <v>42400</v>
      </c>
      <c r="G208" s="385">
        <v>190.70170897174702</v>
      </c>
      <c r="H208" s="385">
        <v>95993</v>
      </c>
      <c r="I208" s="385">
        <v>431.74597050294602</v>
      </c>
      <c r="J208" s="386">
        <v>2.2639858490566036</v>
      </c>
      <c r="K208" s="353" t="str">
        <f>IF(COUNTIF('6.6 - Lists and lookups'!$D$9:$L$72,C208)=1,"IN LIST","CHECK")</f>
        <v>IN LIST</v>
      </c>
    </row>
    <row r="209" spans="2:11" s="153" customFormat="1" ht="13" x14ac:dyDescent="0.3">
      <c r="B209" s="383" t="s">
        <v>964</v>
      </c>
      <c r="C209" s="379" t="s">
        <v>965</v>
      </c>
      <c r="D209" s="384">
        <v>30.850700000000003</v>
      </c>
      <c r="E209" s="385">
        <v>11.911516971400001</v>
      </c>
      <c r="F209" s="385">
        <v>30200</v>
      </c>
      <c r="G209" s="385">
        <v>2535.3613710588947</v>
      </c>
      <c r="H209" s="385">
        <v>78838</v>
      </c>
      <c r="I209" s="385">
        <v>6618.6364162761965</v>
      </c>
      <c r="J209" s="386">
        <v>2.6105298013245033</v>
      </c>
      <c r="K209" s="353" t="str">
        <f>IF(COUNTIF('6.6 - Lists and lookups'!$D$9:$L$72,C209)=1,"IN LIST","CHECK")</f>
        <v>IN LIST</v>
      </c>
    </row>
    <row r="210" spans="2:11" s="153" customFormat="1" ht="13" x14ac:dyDescent="0.3">
      <c r="B210" s="383" t="s">
        <v>966</v>
      </c>
      <c r="C210" s="379" t="s">
        <v>967</v>
      </c>
      <c r="D210" s="384">
        <v>593.72379999999998</v>
      </c>
      <c r="E210" s="385">
        <v>229.2379466276</v>
      </c>
      <c r="F210" s="385">
        <v>34900</v>
      </c>
      <c r="G210" s="385">
        <v>152.24355528142775</v>
      </c>
      <c r="H210" s="385">
        <v>92723</v>
      </c>
      <c r="I210" s="385">
        <v>404.48364402177145</v>
      </c>
      <c r="J210" s="386">
        <v>2.6568194842406876</v>
      </c>
      <c r="K210" s="353" t="str">
        <f>IF(COUNTIF('6.6 - Lists and lookups'!$D$9:$L$72,C210)=1,"IN LIST","CHECK")</f>
        <v>IN LIST</v>
      </c>
    </row>
    <row r="211" spans="2:11" s="153" customFormat="1" ht="13" x14ac:dyDescent="0.3">
      <c r="B211" s="383" t="s">
        <v>968</v>
      </c>
      <c r="C211" s="379" t="s">
        <v>969</v>
      </c>
      <c r="D211" s="384">
        <v>39.509799999999998</v>
      </c>
      <c r="E211" s="385">
        <v>15.2548127996</v>
      </c>
      <c r="F211" s="385">
        <v>56800</v>
      </c>
      <c r="G211" s="385">
        <v>3723.4150786491045</v>
      </c>
      <c r="H211" s="385">
        <v>139614</v>
      </c>
      <c r="I211" s="385">
        <v>9152.1280420865514</v>
      </c>
      <c r="J211" s="386">
        <v>2.457992957746479</v>
      </c>
      <c r="K211" s="353" t="str">
        <f>IF(COUNTIF('6.6 - Lists and lookups'!$D$9:$L$72,C211)=1,"IN LIST","CHECK")</f>
        <v>IN LIST</v>
      </c>
    </row>
    <row r="212" spans="2:11" s="153" customFormat="1" ht="13" x14ac:dyDescent="0.3">
      <c r="B212" s="383" t="s">
        <v>970</v>
      </c>
      <c r="C212" s="379" t="s">
        <v>971</v>
      </c>
      <c r="D212" s="384">
        <v>871.07060000000001</v>
      </c>
      <c r="E212" s="385">
        <v>336.32210080120001</v>
      </c>
      <c r="F212" s="385">
        <v>40200</v>
      </c>
      <c r="G212" s="385">
        <v>119.52827335531607</v>
      </c>
      <c r="H212" s="385">
        <v>103417</v>
      </c>
      <c r="I212" s="385">
        <v>307.49391655688362</v>
      </c>
      <c r="J212" s="386">
        <v>2.5725621890547266</v>
      </c>
      <c r="K212" s="353" t="str">
        <f>IF(COUNTIF('6.6 - Lists and lookups'!$D$9:$L$72,C212)=1,"IN LIST","CHECK")</f>
        <v>IN LIST</v>
      </c>
    </row>
    <row r="213" spans="2:11" s="153" customFormat="1" ht="13" x14ac:dyDescent="0.3">
      <c r="B213" s="383" t="s">
        <v>972</v>
      </c>
      <c r="C213" s="379" t="s">
        <v>973</v>
      </c>
      <c r="D213" s="384">
        <v>95.052300000000002</v>
      </c>
      <c r="E213" s="385">
        <v>36.6998831346</v>
      </c>
      <c r="F213" s="385">
        <v>50900</v>
      </c>
      <c r="G213" s="385">
        <v>1386.9253973730608</v>
      </c>
      <c r="H213" s="385">
        <v>139369</v>
      </c>
      <c r="I213" s="385">
        <v>3797.5325286146585</v>
      </c>
      <c r="J213" s="386">
        <v>2.7380943025540274</v>
      </c>
      <c r="K213" s="353" t="str">
        <f>IF(COUNTIF('6.6 - Lists and lookups'!$D$9:$L$72,C213)=1,"IN LIST","CHECK")</f>
        <v>IN LIST</v>
      </c>
    </row>
    <row r="214" spans="2:11" s="153" customFormat="1" ht="13" x14ac:dyDescent="0.3">
      <c r="B214" s="383" t="s">
        <v>974</v>
      </c>
      <c r="C214" s="379" t="s">
        <v>975</v>
      </c>
      <c r="D214" s="384">
        <v>34.0794</v>
      </c>
      <c r="E214" s="385">
        <v>13.158124498799999</v>
      </c>
      <c r="F214" s="385">
        <v>28200</v>
      </c>
      <c r="G214" s="385">
        <v>2143.1625762905492</v>
      </c>
      <c r="H214" s="385">
        <v>80998</v>
      </c>
      <c r="I214" s="385">
        <v>6155.7405090206348</v>
      </c>
      <c r="J214" s="386">
        <v>2.8722695035460992</v>
      </c>
      <c r="K214" s="353" t="str">
        <f>IF(COUNTIF('6.6 - Lists and lookups'!$D$9:$L$72,C214)=1,"IN LIST","CHECK")</f>
        <v>IN LIST</v>
      </c>
    </row>
    <row r="215" spans="2:11" s="153" customFormat="1" ht="13" x14ac:dyDescent="0.3">
      <c r="B215" s="383" t="s">
        <v>976</v>
      </c>
      <c r="C215" s="379" t="s">
        <v>977</v>
      </c>
      <c r="D215" s="384">
        <v>270.93110000000001</v>
      </c>
      <c r="E215" s="385">
        <v>104.60703957220001</v>
      </c>
      <c r="F215" s="385">
        <v>62600</v>
      </c>
      <c r="G215" s="385">
        <v>598.43008898835478</v>
      </c>
      <c r="H215" s="385">
        <v>143929</v>
      </c>
      <c r="I215" s="385">
        <v>1375.9016657828261</v>
      </c>
      <c r="J215" s="386">
        <v>2.2991853035143768</v>
      </c>
      <c r="K215" s="353" t="str">
        <f>IF(COUNTIF('6.6 - Lists and lookups'!$D$9:$L$72,C215)=1,"IN LIST","CHECK")</f>
        <v>IN LIST</v>
      </c>
    </row>
    <row r="216" spans="2:11" s="153" customFormat="1" ht="13" x14ac:dyDescent="0.3">
      <c r="B216" s="383" t="s">
        <v>978</v>
      </c>
      <c r="C216" s="379" t="s">
        <v>979</v>
      </c>
      <c r="D216" s="384">
        <v>258.3211</v>
      </c>
      <c r="E216" s="385">
        <v>99.738293352200003</v>
      </c>
      <c r="F216" s="385">
        <v>35200</v>
      </c>
      <c r="G216" s="385">
        <v>352.9236245872014</v>
      </c>
      <c r="H216" s="385">
        <v>87608</v>
      </c>
      <c r="I216" s="385">
        <v>878.37877564873702</v>
      </c>
      <c r="J216" s="386">
        <v>2.4888636363636363</v>
      </c>
      <c r="K216" s="353" t="str">
        <f>IF(COUNTIF('6.6 - Lists and lookups'!$D$9:$L$72,C216)=1,"IN LIST","CHECK")</f>
        <v>IN LIST</v>
      </c>
    </row>
    <row r="217" spans="2:11" s="153" customFormat="1" ht="13" x14ac:dyDescent="0.3">
      <c r="B217" s="383" t="s">
        <v>980</v>
      </c>
      <c r="C217" s="379" t="s">
        <v>981</v>
      </c>
      <c r="D217" s="384">
        <v>129.1439</v>
      </c>
      <c r="E217" s="385">
        <v>49.862718077800004</v>
      </c>
      <c r="F217" s="385">
        <v>56500</v>
      </c>
      <c r="G217" s="385">
        <v>1133.1111134343689</v>
      </c>
      <c r="H217" s="385">
        <v>151423</v>
      </c>
      <c r="I217" s="385">
        <v>3036.7979491959727</v>
      </c>
      <c r="J217" s="386">
        <v>2.6800530973451329</v>
      </c>
      <c r="K217" s="353" t="str">
        <f>IF(COUNTIF('6.6 - Lists and lookups'!$D$9:$L$72,C217)=1,"IN LIST","CHECK")</f>
        <v>IN LIST</v>
      </c>
    </row>
    <row r="218" spans="2:11" s="153" customFormat="1" ht="13" x14ac:dyDescent="0.3">
      <c r="B218" s="383" t="s">
        <v>982</v>
      </c>
      <c r="C218" s="379" t="s">
        <v>983</v>
      </c>
      <c r="D218" s="384">
        <v>78.040700000000001</v>
      </c>
      <c r="E218" s="385">
        <v>30.1316703514</v>
      </c>
      <c r="F218" s="385">
        <v>34800</v>
      </c>
      <c r="G218" s="385">
        <v>1154.9309943377598</v>
      </c>
      <c r="H218" s="385">
        <v>87739</v>
      </c>
      <c r="I218" s="385">
        <v>2911.8531756379516</v>
      </c>
      <c r="J218" s="386">
        <v>2.5212356321839082</v>
      </c>
      <c r="K218" s="353" t="str">
        <f>IF(COUNTIF('6.6 - Lists and lookups'!$D$9:$L$72,C218)=1,"IN LIST","CHECK")</f>
        <v>IN LIST</v>
      </c>
    </row>
    <row r="219" spans="2:11" s="153" customFormat="1" ht="13" x14ac:dyDescent="0.3">
      <c r="B219" s="383" t="s">
        <v>984</v>
      </c>
      <c r="C219" s="379" t="s">
        <v>985</v>
      </c>
      <c r="D219" s="384">
        <v>44.887900000000002</v>
      </c>
      <c r="E219" s="385">
        <v>17.331307965800001</v>
      </c>
      <c r="F219" s="385">
        <v>37400</v>
      </c>
      <c r="G219" s="385">
        <v>2157.9444594603997</v>
      </c>
      <c r="H219" s="385">
        <v>102995</v>
      </c>
      <c r="I219" s="385">
        <v>5942.7136257252369</v>
      </c>
      <c r="J219" s="386">
        <v>2.7538770053475936</v>
      </c>
      <c r="K219" s="353" t="str">
        <f>IF(COUNTIF('6.6 - Lists and lookups'!$D$9:$L$72,C219)=1,"IN LIST","CHECK")</f>
        <v>IN LIST</v>
      </c>
    </row>
    <row r="220" spans="2:11" s="153" customFormat="1" ht="13" x14ac:dyDescent="0.3">
      <c r="B220" s="383" t="s">
        <v>986</v>
      </c>
      <c r="C220" s="379" t="s">
        <v>987</v>
      </c>
      <c r="D220" s="384">
        <v>95.092999999999989</v>
      </c>
      <c r="E220" s="385">
        <v>36.715597485999993</v>
      </c>
      <c r="F220" s="385">
        <v>34400</v>
      </c>
      <c r="G220" s="385">
        <v>936.93150474037759</v>
      </c>
      <c r="H220" s="385">
        <v>90645</v>
      </c>
      <c r="I220" s="385">
        <v>2468.8417513718468</v>
      </c>
      <c r="J220" s="386">
        <v>2.6350290697674419</v>
      </c>
      <c r="K220" s="353" t="str">
        <f>IF(COUNTIF('6.6 - Lists and lookups'!$D$9:$L$72,C220)=1,"IN LIST","CHECK")</f>
        <v>IN LIST</v>
      </c>
    </row>
    <row r="221" spans="2:11" s="153" customFormat="1" ht="13" x14ac:dyDescent="0.3">
      <c r="B221" s="383" t="s">
        <v>988</v>
      </c>
      <c r="C221" s="379" t="s">
        <v>989</v>
      </c>
      <c r="D221" s="384">
        <v>248.19470000000001</v>
      </c>
      <c r="E221" s="385">
        <v>95.828470059400004</v>
      </c>
      <c r="F221" s="385">
        <v>35300</v>
      </c>
      <c r="G221" s="385">
        <v>368.36651965870925</v>
      </c>
      <c r="H221" s="385">
        <v>88143</v>
      </c>
      <c r="I221" s="385">
        <v>919.79972074440809</v>
      </c>
      <c r="J221" s="386">
        <v>2.4969688385269122</v>
      </c>
      <c r="K221" s="353" t="str">
        <f>IF(COUNTIF('6.6 - Lists and lookups'!$D$9:$L$72,C221)=1,"IN LIST","CHECK")</f>
        <v>IN LIST</v>
      </c>
    </row>
    <row r="222" spans="2:11" s="153" customFormat="1" ht="13" x14ac:dyDescent="0.3">
      <c r="B222" s="383" t="s">
        <v>990</v>
      </c>
      <c r="C222" s="379" t="s">
        <v>991</v>
      </c>
      <c r="D222" s="384">
        <v>345.1703</v>
      </c>
      <c r="E222" s="385">
        <v>133.27094317059999</v>
      </c>
      <c r="F222" s="385">
        <v>45300</v>
      </c>
      <c r="G222" s="385">
        <v>339.90905235818371</v>
      </c>
      <c r="H222" s="385">
        <v>128878</v>
      </c>
      <c r="I222" s="385">
        <v>967.03750220348786</v>
      </c>
      <c r="J222" s="386">
        <v>2.8449889624724061</v>
      </c>
      <c r="K222" s="353" t="str">
        <f>IF(COUNTIF('6.6 - Lists and lookups'!$D$9:$L$72,C222)=1,"IN LIST","CHECK")</f>
        <v>IN LIST</v>
      </c>
    </row>
    <row r="223" spans="2:11" s="153" customFormat="1" ht="13" x14ac:dyDescent="0.3">
      <c r="B223" s="383" t="s">
        <v>992</v>
      </c>
      <c r="C223" s="379" t="s">
        <v>993</v>
      </c>
      <c r="D223" s="384">
        <v>63.603400000000001</v>
      </c>
      <c r="E223" s="385">
        <v>24.5573999468</v>
      </c>
      <c r="F223" s="385">
        <v>40300</v>
      </c>
      <c r="G223" s="385">
        <v>1641.0532095133863</v>
      </c>
      <c r="H223" s="385">
        <v>103889</v>
      </c>
      <c r="I223" s="385">
        <v>4230.4560020629324</v>
      </c>
      <c r="J223" s="386">
        <v>2.577890818858561</v>
      </c>
      <c r="K223" s="353" t="str">
        <f>IF(COUNTIF('6.6 - Lists and lookups'!$D$9:$L$72,C223)=1,"IN LIST","CHECK")</f>
        <v>IN LIST</v>
      </c>
    </row>
    <row r="224" spans="2:11" s="153" customFormat="1" ht="13" x14ac:dyDescent="0.3">
      <c r="B224" s="383" t="s">
        <v>994</v>
      </c>
      <c r="C224" s="379" t="s">
        <v>995</v>
      </c>
      <c r="D224" s="384">
        <v>284.26130000000001</v>
      </c>
      <c r="E224" s="385">
        <v>109.7538564526</v>
      </c>
      <c r="F224" s="385">
        <v>26700</v>
      </c>
      <c r="G224" s="385">
        <v>243.27163402710204</v>
      </c>
      <c r="H224" s="385">
        <v>65340</v>
      </c>
      <c r="I224" s="385">
        <v>595.33215607980696</v>
      </c>
      <c r="J224" s="386">
        <v>2.4471910112359549</v>
      </c>
      <c r="K224" s="353" t="str">
        <f>IF(COUNTIF('6.6 - Lists and lookups'!$D$9:$L$72,C224)=1,"IN LIST","CHECK")</f>
        <v>IN LIST</v>
      </c>
    </row>
    <row r="225" spans="2:11" s="153" customFormat="1" ht="13" x14ac:dyDescent="0.3">
      <c r="B225" s="383" t="s">
        <v>996</v>
      </c>
      <c r="C225" s="379" t="s">
        <v>997</v>
      </c>
      <c r="D225" s="384">
        <v>78.950400000000002</v>
      </c>
      <c r="E225" s="385">
        <v>30.482907340800001</v>
      </c>
      <c r="F225" s="385">
        <v>50400</v>
      </c>
      <c r="G225" s="385">
        <v>1653.3855985758244</v>
      </c>
      <c r="H225" s="385">
        <v>134291</v>
      </c>
      <c r="I225" s="385">
        <v>4405.4524884592465</v>
      </c>
      <c r="J225" s="386">
        <v>2.6645039682539684</v>
      </c>
      <c r="K225" s="353" t="str">
        <f>IF(COUNTIF('6.6 - Lists and lookups'!$D$9:$L$72,C225)=1,"IN LIST","CHECK")</f>
        <v>IN LIST</v>
      </c>
    </row>
    <row r="226" spans="2:11" s="153" customFormat="1" ht="13" x14ac:dyDescent="0.3">
      <c r="B226" s="383" t="s">
        <v>998</v>
      </c>
      <c r="C226" s="379" t="s">
        <v>999</v>
      </c>
      <c r="D226" s="384">
        <v>351.11330000000004</v>
      </c>
      <c r="E226" s="385">
        <v>135.56554735660001</v>
      </c>
      <c r="F226" s="385">
        <v>42100</v>
      </c>
      <c r="G226" s="385">
        <v>310.55087978406164</v>
      </c>
      <c r="H226" s="385">
        <v>114829</v>
      </c>
      <c r="I226" s="385">
        <v>847.03674524285066</v>
      </c>
      <c r="J226" s="386">
        <v>2.7275296912114015</v>
      </c>
      <c r="K226" s="353" t="str">
        <f>IF(COUNTIF('6.6 - Lists and lookups'!$D$9:$L$72,C226)=1,"IN LIST","CHECK")</f>
        <v>IN LIST</v>
      </c>
    </row>
    <row r="227" spans="2:11" s="153" customFormat="1" ht="13" x14ac:dyDescent="0.3">
      <c r="B227" s="383" t="s">
        <v>1000</v>
      </c>
      <c r="C227" s="379" t="s">
        <v>1001</v>
      </c>
      <c r="D227" s="384">
        <v>977.86940000000004</v>
      </c>
      <c r="E227" s="385">
        <v>377.55733107880002</v>
      </c>
      <c r="F227" s="385">
        <v>53800</v>
      </c>
      <c r="G227" s="385">
        <v>142.49491553051422</v>
      </c>
      <c r="H227" s="385">
        <v>135964</v>
      </c>
      <c r="I227" s="385">
        <v>360.11484563551738</v>
      </c>
      <c r="J227" s="386">
        <v>2.5272118959107805</v>
      </c>
      <c r="K227" s="353" t="str">
        <f>IF(COUNTIF('6.6 - Lists and lookups'!$D$9:$L$72,C227)=1,"IN LIST","CHECK")</f>
        <v>IN LIST</v>
      </c>
    </row>
    <row r="228" spans="2:11" s="153" customFormat="1" ht="13" x14ac:dyDescent="0.3">
      <c r="B228" s="383" t="s">
        <v>1002</v>
      </c>
      <c r="C228" s="379" t="s">
        <v>1003</v>
      </c>
      <c r="D228" s="384">
        <v>282.88220000000001</v>
      </c>
      <c r="E228" s="385">
        <v>109.22138318440001</v>
      </c>
      <c r="F228" s="385">
        <v>58200</v>
      </c>
      <c r="G228" s="385">
        <v>532.86268954990351</v>
      </c>
      <c r="H228" s="385">
        <v>148729</v>
      </c>
      <c r="I228" s="385">
        <v>1361.7205318568317</v>
      </c>
      <c r="J228" s="386">
        <v>2.5554810996563573</v>
      </c>
      <c r="K228" s="353" t="str">
        <f>IF(COUNTIF('6.6 - Lists and lookups'!$D$9:$L$72,C228)=1,"IN LIST","CHECK")</f>
        <v>IN LIST</v>
      </c>
    </row>
    <row r="229" spans="2:11" s="153" customFormat="1" ht="13" x14ac:dyDescent="0.3">
      <c r="B229" s="383" t="s">
        <v>1004</v>
      </c>
      <c r="C229" s="379" t="s">
        <v>1005</v>
      </c>
      <c r="D229" s="384">
        <v>42.0655</v>
      </c>
      <c r="E229" s="385">
        <v>16.241573680999998</v>
      </c>
      <c r="F229" s="385">
        <v>25500</v>
      </c>
      <c r="G229" s="385">
        <v>1570.044904566782</v>
      </c>
      <c r="H229" s="385">
        <v>64626</v>
      </c>
      <c r="I229" s="385">
        <v>3979.0479216679551</v>
      </c>
      <c r="J229" s="386">
        <v>2.5343529411764707</v>
      </c>
      <c r="K229" s="353" t="str">
        <f>IF(COUNTIF('6.6 - Lists and lookups'!$D$9:$L$72,C229)=1,"IN LIST","CHECK")</f>
        <v>IN LIST</v>
      </c>
    </row>
    <row r="230" spans="2:11" s="153" customFormat="1" ht="13" x14ac:dyDescent="0.3">
      <c r="B230" s="383" t="s">
        <v>1006</v>
      </c>
      <c r="C230" s="379" t="s">
        <v>1007</v>
      </c>
      <c r="D230" s="384">
        <v>220.99119999999999</v>
      </c>
      <c r="E230" s="385">
        <v>85.325144302399991</v>
      </c>
      <c r="F230" s="385">
        <v>71500</v>
      </c>
      <c r="G230" s="385">
        <v>837.97104106378731</v>
      </c>
      <c r="H230" s="385">
        <v>165225</v>
      </c>
      <c r="I230" s="385">
        <v>1936.4162973393602</v>
      </c>
      <c r="J230" s="386">
        <v>2.3108391608391607</v>
      </c>
      <c r="K230" s="353" t="str">
        <f>IF(COUNTIF('6.6 - Lists and lookups'!$D$9:$L$72,C230)=1,"IN LIST","CHECK")</f>
        <v>IN LIST</v>
      </c>
    </row>
    <row r="231" spans="2:11" s="153" customFormat="1" ht="13" x14ac:dyDescent="0.3">
      <c r="B231" s="383" t="s">
        <v>1008</v>
      </c>
      <c r="C231" s="379" t="s">
        <v>1009</v>
      </c>
      <c r="D231" s="384">
        <v>786.19479999999999</v>
      </c>
      <c r="E231" s="385">
        <v>303.5513846696</v>
      </c>
      <c r="F231" s="385">
        <v>48900</v>
      </c>
      <c r="G231" s="385">
        <v>161.09298942327385</v>
      </c>
      <c r="H231" s="385">
        <v>124531</v>
      </c>
      <c r="I231" s="385">
        <v>410.24685206277536</v>
      </c>
      <c r="J231" s="386">
        <v>2.5466462167689161</v>
      </c>
      <c r="K231" s="353" t="str">
        <f>IF(COUNTIF('6.6 - Lists and lookups'!$D$9:$L$72,C231)=1,"IN LIST","CHECK")</f>
        <v>IN LIST</v>
      </c>
    </row>
    <row r="232" spans="2:11" s="153" customFormat="1" ht="13" x14ac:dyDescent="0.3">
      <c r="B232" s="383" t="s">
        <v>1010</v>
      </c>
      <c r="C232" s="379" t="s">
        <v>1011</v>
      </c>
      <c r="D232" s="384">
        <v>44.9711</v>
      </c>
      <c r="E232" s="385">
        <v>17.363431652199999</v>
      </c>
      <c r="F232" s="385">
        <v>45500</v>
      </c>
      <c r="G232" s="385">
        <v>2620.4497423892017</v>
      </c>
      <c r="H232" s="385">
        <v>118580</v>
      </c>
      <c r="I232" s="385">
        <v>6829.2951747804736</v>
      </c>
      <c r="J232" s="386">
        <v>2.606153846153846</v>
      </c>
      <c r="K232" s="353" t="str">
        <f>IF(COUNTIF('6.6 - Lists and lookups'!$D$9:$L$72,C232)=1,"IN LIST","CHECK")</f>
        <v>IN LIST</v>
      </c>
    </row>
    <row r="233" spans="2:11" s="153" customFormat="1" ht="13" x14ac:dyDescent="0.3">
      <c r="B233" s="383" t="s">
        <v>1012</v>
      </c>
      <c r="C233" s="379" t="s">
        <v>1013</v>
      </c>
      <c r="D233" s="384">
        <v>530.27870000000007</v>
      </c>
      <c r="E233" s="385">
        <v>204.74166662740004</v>
      </c>
      <c r="F233" s="385">
        <v>58200</v>
      </c>
      <c r="G233" s="385">
        <v>284.26065372377531</v>
      </c>
      <c r="H233" s="385">
        <v>147487</v>
      </c>
      <c r="I233" s="385">
        <v>720.35654700615885</v>
      </c>
      <c r="J233" s="386">
        <v>2.5341408934707905</v>
      </c>
      <c r="K233" s="353" t="str">
        <f>IF(COUNTIF('6.6 - Lists and lookups'!$D$9:$L$72,C233)=1,"IN LIST","CHECK")</f>
        <v>IN LIST</v>
      </c>
    </row>
    <row r="234" spans="2:11" s="153" customFormat="1" ht="13" x14ac:dyDescent="0.3">
      <c r="B234" s="383" t="s">
        <v>1014</v>
      </c>
      <c r="C234" s="379" t="s">
        <v>1015</v>
      </c>
      <c r="D234" s="384">
        <v>334.02940000000001</v>
      </c>
      <c r="E234" s="385">
        <v>128.9694193988</v>
      </c>
      <c r="F234" s="385">
        <v>62700</v>
      </c>
      <c r="G234" s="385">
        <v>486.16176061178265</v>
      </c>
      <c r="H234" s="385">
        <v>152949</v>
      </c>
      <c r="I234" s="385">
        <v>1185.9322986253835</v>
      </c>
      <c r="J234" s="386">
        <v>2.4393779904306219</v>
      </c>
      <c r="K234" s="353" t="str">
        <f>IF(COUNTIF('6.6 - Lists and lookups'!$D$9:$L$72,C234)=1,"IN LIST","CHECK")</f>
        <v>IN LIST</v>
      </c>
    </row>
    <row r="235" spans="2:11" s="153" customFormat="1" ht="13" x14ac:dyDescent="0.3">
      <c r="B235" s="383" t="s">
        <v>1016</v>
      </c>
      <c r="C235" s="379" t="s">
        <v>1017</v>
      </c>
      <c r="D235" s="384">
        <v>32.520900000000005</v>
      </c>
      <c r="E235" s="385">
        <v>12.556384531800001</v>
      </c>
      <c r="F235" s="385">
        <v>45000</v>
      </c>
      <c r="G235" s="385">
        <v>3583.8341750393251</v>
      </c>
      <c r="H235" s="385">
        <v>111657</v>
      </c>
      <c r="I235" s="385">
        <v>8892.448277385909</v>
      </c>
      <c r="J235" s="386">
        <v>2.4812666666666665</v>
      </c>
      <c r="K235" s="353" t="str">
        <f>IF(COUNTIF('6.6 - Lists and lookups'!$D$9:$L$72,C235)=1,"IN LIST","CHECK")</f>
        <v>IN LIST</v>
      </c>
    </row>
    <row r="236" spans="2:11" s="153" customFormat="1" ht="13" x14ac:dyDescent="0.3">
      <c r="B236" s="383" t="s">
        <v>1018</v>
      </c>
      <c r="C236" s="379" t="s">
        <v>1019</v>
      </c>
      <c r="D236" s="384">
        <v>216.9684</v>
      </c>
      <c r="E236" s="385">
        <v>83.771933176800005</v>
      </c>
      <c r="F236" s="385">
        <v>39000</v>
      </c>
      <c r="G236" s="385">
        <v>465.54971959034071</v>
      </c>
      <c r="H236" s="385">
        <v>99475</v>
      </c>
      <c r="I236" s="385">
        <v>1187.4502142627985</v>
      </c>
      <c r="J236" s="386">
        <v>2.5506410256410255</v>
      </c>
      <c r="K236" s="353" t="str">
        <f>IF(COUNTIF('6.6 - Lists and lookups'!$D$9:$L$72,C236)=1,"IN LIST","CHECK")</f>
        <v>IN LIST</v>
      </c>
    </row>
    <row r="237" spans="2:11" s="153" customFormat="1" ht="13" x14ac:dyDescent="0.3">
      <c r="B237" s="383" t="s">
        <v>1020</v>
      </c>
      <c r="C237" s="379" t="s">
        <v>1021</v>
      </c>
      <c r="D237" s="384">
        <v>577.07100000000003</v>
      </c>
      <c r="E237" s="385">
        <v>222.808267242</v>
      </c>
      <c r="F237" s="385">
        <v>36600</v>
      </c>
      <c r="G237" s="385">
        <v>164.26679518245808</v>
      </c>
      <c r="H237" s="385">
        <v>79973</v>
      </c>
      <c r="I237" s="385">
        <v>358.93192380127653</v>
      </c>
      <c r="J237" s="386">
        <v>2.1850546448087433</v>
      </c>
      <c r="K237" s="353" t="str">
        <f>IF(COUNTIF('6.6 - Lists and lookups'!$D$9:$L$72,C237)=1,"IN LIST","CHECK")</f>
        <v>IN LIST</v>
      </c>
    </row>
    <row r="238" spans="2:11" s="153" customFormat="1" ht="13" x14ac:dyDescent="0.3">
      <c r="B238" s="383" t="s">
        <v>1022</v>
      </c>
      <c r="C238" s="379" t="s">
        <v>1023</v>
      </c>
      <c r="D238" s="384">
        <v>54.250900000000001</v>
      </c>
      <c r="E238" s="385">
        <v>20.946380991800002</v>
      </c>
      <c r="F238" s="385">
        <v>30500</v>
      </c>
      <c r="G238" s="385">
        <v>1456.0987891865429</v>
      </c>
      <c r="H238" s="385">
        <v>86996</v>
      </c>
      <c r="I238" s="385">
        <v>4153.2711561990982</v>
      </c>
      <c r="J238" s="386">
        <v>2.8523278688524591</v>
      </c>
      <c r="K238" s="353" t="str">
        <f>IF(COUNTIF('6.6 - Lists and lookups'!$D$9:$L$72,C238)=1,"IN LIST","CHECK")</f>
        <v>IN LIST</v>
      </c>
    </row>
    <row r="239" spans="2:11" s="153" customFormat="1" ht="13" x14ac:dyDescent="0.3">
      <c r="B239" s="383" t="s">
        <v>1024</v>
      </c>
      <c r="C239" s="379" t="s">
        <v>1025</v>
      </c>
      <c r="D239" s="384">
        <v>33.278199999999998</v>
      </c>
      <c r="E239" s="385">
        <v>12.8487795764</v>
      </c>
      <c r="F239" s="385">
        <v>39300</v>
      </c>
      <c r="G239" s="385">
        <v>3058.6562534066884</v>
      </c>
      <c r="H239" s="385">
        <v>103617</v>
      </c>
      <c r="I239" s="385">
        <v>8064.3456745353897</v>
      </c>
      <c r="J239" s="386">
        <v>2.6365648854961834</v>
      </c>
      <c r="K239" s="353" t="str">
        <f>IF(COUNTIF('6.6 - Lists and lookups'!$D$9:$L$72,C239)=1,"IN LIST","CHECK")</f>
        <v>IN LIST</v>
      </c>
    </row>
    <row r="240" spans="2:11" s="153" customFormat="1" ht="13" x14ac:dyDescent="0.3">
      <c r="B240" s="383" t="s">
        <v>1026</v>
      </c>
      <c r="C240" s="379" t="s">
        <v>1027</v>
      </c>
      <c r="D240" s="384">
        <v>663.54179999999997</v>
      </c>
      <c r="E240" s="385">
        <v>256.1948160636</v>
      </c>
      <c r="F240" s="385">
        <v>52900</v>
      </c>
      <c r="G240" s="385">
        <v>206.48349101204158</v>
      </c>
      <c r="H240" s="385">
        <v>133100</v>
      </c>
      <c r="I240" s="385">
        <v>519.52651519286837</v>
      </c>
      <c r="J240" s="386">
        <v>2.5160680529300565</v>
      </c>
      <c r="K240" s="353" t="str">
        <f>IF(COUNTIF('6.6 - Lists and lookups'!$D$9:$L$72,C240)=1,"IN LIST","CHECK")</f>
        <v>IN LIST</v>
      </c>
    </row>
    <row r="241" spans="2:11" s="153" customFormat="1" ht="13" x14ac:dyDescent="0.3">
      <c r="B241" s="383" t="s">
        <v>1028</v>
      </c>
      <c r="C241" s="379" t="s">
        <v>1029</v>
      </c>
      <c r="D241" s="384">
        <v>195.40380000000002</v>
      </c>
      <c r="E241" s="385">
        <v>75.445797987600002</v>
      </c>
      <c r="F241" s="385">
        <v>44300</v>
      </c>
      <c r="G241" s="385">
        <v>587.17650527443539</v>
      </c>
      <c r="H241" s="385">
        <v>101786</v>
      </c>
      <c r="I241" s="385">
        <v>1349.1274890714149</v>
      </c>
      <c r="J241" s="386">
        <v>2.2976523702031604</v>
      </c>
      <c r="K241" s="353" t="str">
        <f>IF(COUNTIF('6.6 - Lists and lookups'!$D$9:$L$72,C241)=1,"IN LIST","CHECK")</f>
        <v>IN LIST</v>
      </c>
    </row>
    <row r="242" spans="2:11" s="153" customFormat="1" ht="13" x14ac:dyDescent="0.3">
      <c r="B242" s="383" t="s">
        <v>1030</v>
      </c>
      <c r="C242" s="379" t="s">
        <v>1031</v>
      </c>
      <c r="D242" s="384">
        <v>161.20580000000001</v>
      </c>
      <c r="E242" s="385">
        <v>62.241881791600001</v>
      </c>
      <c r="F242" s="385">
        <v>62000</v>
      </c>
      <c r="G242" s="385">
        <v>996.11384192383719</v>
      </c>
      <c r="H242" s="385">
        <v>148641</v>
      </c>
      <c r="I242" s="385">
        <v>2388.1186706032431</v>
      </c>
      <c r="J242" s="386">
        <v>2.3974354838709679</v>
      </c>
      <c r="K242" s="353" t="str">
        <f>IF(COUNTIF('6.6 - Lists and lookups'!$D$9:$L$72,C242)=1,"IN LIST","CHECK")</f>
        <v>IN LIST</v>
      </c>
    </row>
    <row r="243" spans="2:11" s="153" customFormat="1" ht="13" x14ac:dyDescent="0.3">
      <c r="B243" s="383" t="s">
        <v>1032</v>
      </c>
      <c r="C243" s="379" t="s">
        <v>1033</v>
      </c>
      <c r="D243" s="384">
        <v>129.5368</v>
      </c>
      <c r="E243" s="385">
        <v>50.014417553599998</v>
      </c>
      <c r="F243" s="385">
        <v>48800</v>
      </c>
      <c r="G243" s="385">
        <v>975.71865048116342</v>
      </c>
      <c r="H243" s="385">
        <v>119538</v>
      </c>
      <c r="I243" s="385">
        <v>2390.070820516748</v>
      </c>
      <c r="J243" s="386">
        <v>2.4495491803278688</v>
      </c>
      <c r="K243" s="353" t="str">
        <f>IF(COUNTIF('6.6 - Lists and lookups'!$D$9:$L$72,C243)=1,"IN LIST","CHECK")</f>
        <v>IN LIST</v>
      </c>
    </row>
    <row r="244" spans="2:11" s="153" customFormat="1" ht="13" x14ac:dyDescent="0.3">
      <c r="B244" s="383" t="s">
        <v>1034</v>
      </c>
      <c r="C244" s="379" t="s">
        <v>1035</v>
      </c>
      <c r="D244" s="384">
        <v>475.66949999999997</v>
      </c>
      <c r="E244" s="385">
        <v>183.65694528899999</v>
      </c>
      <c r="F244" s="385">
        <v>57900</v>
      </c>
      <c r="G244" s="385">
        <v>315.26169570603156</v>
      </c>
      <c r="H244" s="385">
        <v>150687</v>
      </c>
      <c r="I244" s="385">
        <v>820.48081417711182</v>
      </c>
      <c r="J244" s="386">
        <v>2.602538860103627</v>
      </c>
      <c r="K244" s="353" t="str">
        <f>IF(COUNTIF('6.6 - Lists and lookups'!$D$9:$L$72,C244)=1,"IN LIST","CHECK")</f>
        <v>IN LIST</v>
      </c>
    </row>
    <row r="245" spans="2:11" s="153" customFormat="1" ht="13" x14ac:dyDescent="0.3">
      <c r="B245" s="383" t="s">
        <v>1036</v>
      </c>
      <c r="C245" s="379" t="s">
        <v>1037</v>
      </c>
      <c r="D245" s="384">
        <v>25.969200000000001</v>
      </c>
      <c r="E245" s="385">
        <v>10.026760058400001</v>
      </c>
      <c r="F245" s="385">
        <v>32700</v>
      </c>
      <c r="G245" s="385">
        <v>3261.2728149014902</v>
      </c>
      <c r="H245" s="385">
        <v>89320</v>
      </c>
      <c r="I245" s="385">
        <v>8908.1617072477402</v>
      </c>
      <c r="J245" s="386">
        <v>2.7314984709480123</v>
      </c>
      <c r="K245" s="353" t="str">
        <f>IF(COUNTIF('6.6 - Lists and lookups'!$D$9:$L$72,C245)=1,"IN LIST","CHECK")</f>
        <v>IN LIST</v>
      </c>
    </row>
    <row r="246" spans="2:11" s="153" customFormat="1" ht="13" x14ac:dyDescent="0.3">
      <c r="B246" s="383" t="s">
        <v>1038</v>
      </c>
      <c r="C246" s="379" t="s">
        <v>1039</v>
      </c>
      <c r="D246" s="384">
        <v>1260.9897000000001</v>
      </c>
      <c r="E246" s="385">
        <v>486.87064514940005</v>
      </c>
      <c r="F246" s="385">
        <v>102800</v>
      </c>
      <c r="G246" s="385">
        <v>211.1443789519391</v>
      </c>
      <c r="H246" s="385">
        <v>246801</v>
      </c>
      <c r="I246" s="385">
        <v>506.91287811009266</v>
      </c>
      <c r="J246" s="386">
        <v>2.4007879377431909</v>
      </c>
      <c r="K246" s="353" t="str">
        <f>IF(COUNTIF('6.6 - Lists and lookups'!$D$9:$L$72,C246)=1,"IN LIST","CHECK")</f>
        <v>IN LIST</v>
      </c>
    </row>
    <row r="247" spans="2:11" s="153" customFormat="1" ht="13" x14ac:dyDescent="0.3">
      <c r="B247" s="383" t="s">
        <v>1040</v>
      </c>
      <c r="C247" s="379" t="s">
        <v>1041</v>
      </c>
      <c r="D247" s="384">
        <v>1034.6756</v>
      </c>
      <c r="E247" s="385">
        <v>399.49031851120003</v>
      </c>
      <c r="F247" s="385">
        <v>78400</v>
      </c>
      <c r="G247" s="385">
        <v>196.25006256015686</v>
      </c>
      <c r="H247" s="385">
        <v>180820</v>
      </c>
      <c r="I247" s="385">
        <v>452.62673867509648</v>
      </c>
      <c r="J247" s="386">
        <v>2.3063775510204083</v>
      </c>
      <c r="K247" s="353" t="str">
        <f>IF(COUNTIF('6.6 - Lists and lookups'!$D$9:$L$72,C247)=1,"IN LIST","CHECK")</f>
        <v>IN LIST</v>
      </c>
    </row>
    <row r="248" spans="2:11" s="153" customFormat="1" ht="17.5" customHeight="1" x14ac:dyDescent="0.3">
      <c r="B248" s="383" t="s">
        <v>1042</v>
      </c>
      <c r="C248" s="379" t="s">
        <v>1043</v>
      </c>
      <c r="D248" s="384">
        <v>1187.5767000000001</v>
      </c>
      <c r="E248" s="385">
        <v>458.52573902340004</v>
      </c>
      <c r="F248" s="385">
        <v>64200</v>
      </c>
      <c r="G248" s="385">
        <v>140.01395022390153</v>
      </c>
      <c r="H248" s="385">
        <v>157909</v>
      </c>
      <c r="I248" s="385">
        <v>344.38415678981414</v>
      </c>
      <c r="J248" s="386">
        <v>2.4596417445482865</v>
      </c>
      <c r="K248" s="353" t="str">
        <f>IF(COUNTIF('6.6 - Lists and lookups'!$D$9:$L$72,C248)=1,"IN LIST","CHECK")</f>
        <v>IN LIST</v>
      </c>
    </row>
    <row r="249" spans="2:11" s="153" customFormat="1" ht="13" x14ac:dyDescent="0.3">
      <c r="B249" s="383" t="s">
        <v>1044</v>
      </c>
      <c r="C249" s="379" t="s">
        <v>1045</v>
      </c>
      <c r="D249" s="384">
        <v>139.79229999999998</v>
      </c>
      <c r="E249" s="385">
        <v>53.97408661459999</v>
      </c>
      <c r="F249" s="385">
        <v>116600</v>
      </c>
      <c r="G249" s="385">
        <v>2160.2959366886203</v>
      </c>
      <c r="H249" s="385">
        <v>296041</v>
      </c>
      <c r="I249" s="385">
        <v>5484.872807832211</v>
      </c>
      <c r="J249" s="386">
        <v>2.5389451114922812</v>
      </c>
      <c r="K249" s="353" t="str">
        <f>IF(COUNTIF('6.6 - Lists and lookups'!$D$9:$L$72,C249)=1,"IN LIST","CHECK")</f>
        <v>IN LIST</v>
      </c>
    </row>
    <row r="250" spans="2:11" s="153" customFormat="1" ht="13" x14ac:dyDescent="0.3">
      <c r="B250" s="383" t="s">
        <v>1046</v>
      </c>
      <c r="C250" s="379" t="s">
        <v>1047</v>
      </c>
      <c r="D250" s="384">
        <v>99.460400000000007</v>
      </c>
      <c r="E250" s="385">
        <v>38.401859360800003</v>
      </c>
      <c r="F250" s="385">
        <v>78700</v>
      </c>
      <c r="G250" s="385">
        <v>2049.3799339397533</v>
      </c>
      <c r="H250" s="385">
        <v>193823</v>
      </c>
      <c r="I250" s="385">
        <v>5047.2295671665152</v>
      </c>
      <c r="J250" s="386">
        <v>2.4628081321473951</v>
      </c>
      <c r="K250" s="353" t="str">
        <f>IF(COUNTIF('6.6 - Lists and lookups'!$D$9:$L$72,C250)=1,"IN LIST","CHECK")</f>
        <v>IN LIST</v>
      </c>
    </row>
    <row r="251" spans="2:11" s="153" customFormat="1" ht="13" x14ac:dyDescent="0.3">
      <c r="B251" s="383" t="s">
        <v>1048</v>
      </c>
      <c r="C251" s="379" t="s">
        <v>1049</v>
      </c>
      <c r="D251" s="384">
        <v>115.6485</v>
      </c>
      <c r="E251" s="385">
        <v>44.652117146999998</v>
      </c>
      <c r="F251" s="385">
        <v>221100</v>
      </c>
      <c r="G251" s="385">
        <v>4951.612916182964</v>
      </c>
      <c r="H251" s="385">
        <v>549853</v>
      </c>
      <c r="I251" s="385">
        <v>12314.152947996163</v>
      </c>
      <c r="J251" s="386">
        <v>2.4868973315241973</v>
      </c>
      <c r="K251" s="353" t="str">
        <f>IF(COUNTIF('6.6 - Lists and lookups'!$D$9:$L$72,C251)=1,"IN LIST","CHECK")</f>
        <v>IN LIST</v>
      </c>
    </row>
    <row r="252" spans="2:11" s="153" customFormat="1" ht="13" x14ac:dyDescent="0.3">
      <c r="B252" s="383" t="s">
        <v>1050</v>
      </c>
      <c r="C252" s="379" t="s">
        <v>1051</v>
      </c>
      <c r="D252" s="384">
        <v>142.345</v>
      </c>
      <c r="E252" s="385">
        <v>54.959689189999999</v>
      </c>
      <c r="F252" s="385">
        <v>94500</v>
      </c>
      <c r="G252" s="385">
        <v>1719.4420382056021</v>
      </c>
      <c r="H252" s="385">
        <v>242072</v>
      </c>
      <c r="I252" s="385">
        <v>4404.5372811905454</v>
      </c>
      <c r="J252" s="386">
        <v>2.5616084656084657</v>
      </c>
      <c r="K252" s="353" t="str">
        <f>IF(COUNTIF('6.6 - Lists and lookups'!$D$9:$L$72,C252)=1,"IN LIST","CHECK")</f>
        <v>IN LIST</v>
      </c>
    </row>
    <row r="253" spans="2:11" s="153" customFormat="1" ht="13" x14ac:dyDescent="0.3">
      <c r="B253" s="383" t="s">
        <v>1052</v>
      </c>
      <c r="C253" s="379" t="s">
        <v>1053</v>
      </c>
      <c r="D253" s="384">
        <v>158.12809999999999</v>
      </c>
      <c r="E253" s="385">
        <v>61.053575666199997</v>
      </c>
      <c r="F253" s="385">
        <v>85700</v>
      </c>
      <c r="G253" s="385">
        <v>1403.6851906684406</v>
      </c>
      <c r="H253" s="385">
        <v>224087</v>
      </c>
      <c r="I253" s="385">
        <v>3670.3337610422268</v>
      </c>
      <c r="J253" s="386">
        <v>2.6147841306884483</v>
      </c>
      <c r="K253" s="353" t="str">
        <f>IF(COUNTIF('6.6 - Lists and lookups'!$D$9:$L$72,C253)=1,"IN LIST","CHECK")</f>
        <v>IN LIST</v>
      </c>
    </row>
    <row r="254" spans="2:11" s="153" customFormat="1" ht="13" x14ac:dyDescent="0.3">
      <c r="B254" s="383" t="s">
        <v>1054</v>
      </c>
      <c r="C254" s="379" t="s">
        <v>1055</v>
      </c>
      <c r="D254" s="384">
        <v>97.197400000000002</v>
      </c>
      <c r="E254" s="385">
        <v>37.5281105348</v>
      </c>
      <c r="F254" s="385">
        <v>108800</v>
      </c>
      <c r="G254" s="385">
        <v>2899.1600815902848</v>
      </c>
      <c r="H254" s="385">
        <v>270764</v>
      </c>
      <c r="I254" s="385">
        <v>7214.964892754705</v>
      </c>
      <c r="J254" s="386">
        <v>2.4886397058823531</v>
      </c>
      <c r="K254" s="353" t="str">
        <f>IF(COUNTIF('6.6 - Lists and lookups'!$D$9:$L$72,C254)=1,"IN LIST","CHECK")</f>
        <v>IN LIST</v>
      </c>
    </row>
    <row r="255" spans="2:11" s="153" customFormat="1" ht="13" x14ac:dyDescent="0.3">
      <c r="B255" s="383" t="s">
        <v>1056</v>
      </c>
      <c r="C255" s="379" t="s">
        <v>1057</v>
      </c>
      <c r="D255" s="384">
        <v>126.04040000000001</v>
      </c>
      <c r="E255" s="385">
        <v>48.664450520800003</v>
      </c>
      <c r="F255" s="385">
        <v>126500</v>
      </c>
      <c r="G255" s="385">
        <v>2599.4334395275209</v>
      </c>
      <c r="H255" s="385">
        <v>295243</v>
      </c>
      <c r="I255" s="385">
        <v>6066.9132568096747</v>
      </c>
      <c r="J255" s="386">
        <v>2.3339367588932807</v>
      </c>
      <c r="K255" s="353" t="str">
        <f>IF(COUNTIF('6.6 - Lists and lookups'!$D$9:$L$72,C255)=1,"IN LIST","CHECK")</f>
        <v>IN LIST</v>
      </c>
    </row>
    <row r="256" spans="2:11" s="153" customFormat="1" ht="13" x14ac:dyDescent="0.3">
      <c r="B256" s="383" t="s">
        <v>1058</v>
      </c>
      <c r="C256" s="379" t="s">
        <v>1059</v>
      </c>
      <c r="D256" s="384">
        <v>103.1542</v>
      </c>
      <c r="E256" s="385">
        <v>39.828042928400002</v>
      </c>
      <c r="F256" s="385">
        <v>101300</v>
      </c>
      <c r="G256" s="385">
        <v>2543.4340367190493</v>
      </c>
      <c r="H256" s="385">
        <v>231199</v>
      </c>
      <c r="I256" s="385">
        <v>5804.9299689576255</v>
      </c>
      <c r="J256" s="386">
        <v>2.2823198420533068</v>
      </c>
      <c r="K256" s="353" t="str">
        <f>IF(COUNTIF('6.6 - Lists and lookups'!$D$9:$L$72,C256)=1,"IN LIST","CHECK")</f>
        <v>IN LIST</v>
      </c>
    </row>
    <row r="257" spans="2:11" s="153" customFormat="1" ht="13" x14ac:dyDescent="0.3">
      <c r="B257" s="383" t="s">
        <v>1060</v>
      </c>
      <c r="C257" s="379" t="s">
        <v>1061</v>
      </c>
      <c r="D257" s="384">
        <v>106.04459999999999</v>
      </c>
      <c r="E257" s="385">
        <v>40.944032149199998</v>
      </c>
      <c r="F257" s="385">
        <v>99500</v>
      </c>
      <c r="G257" s="385">
        <v>2430.1465873566663</v>
      </c>
      <c r="H257" s="385">
        <v>235546</v>
      </c>
      <c r="I257" s="385">
        <v>5752.8774679951084</v>
      </c>
      <c r="J257" s="386">
        <v>2.3672964824120601</v>
      </c>
      <c r="K257" s="353" t="str">
        <f>IF(COUNTIF('6.6 - Lists and lookups'!$D$9:$L$72,C257)=1,"IN LIST","CHECK")</f>
        <v>IN LIST</v>
      </c>
    </row>
    <row r="258" spans="2:11" s="153" customFormat="1" ht="13" x14ac:dyDescent="0.3">
      <c r="B258" s="383" t="s">
        <v>1062</v>
      </c>
      <c r="C258" s="379" t="s">
        <v>1063</v>
      </c>
      <c r="D258" s="384">
        <v>188.1711</v>
      </c>
      <c r="E258" s="385">
        <v>72.653238052199995</v>
      </c>
      <c r="F258" s="385">
        <v>137400</v>
      </c>
      <c r="G258" s="385">
        <v>1891.1751724166879</v>
      </c>
      <c r="H258" s="385">
        <v>329759</v>
      </c>
      <c r="I258" s="385">
        <v>4538.8066497886066</v>
      </c>
      <c r="J258" s="386">
        <v>2.3999927219796215</v>
      </c>
      <c r="K258" s="353" t="str">
        <f>IF(COUNTIF('6.6 - Lists and lookups'!$D$9:$L$72,C258)=1,"IN LIST","CHECK")</f>
        <v>IN LIST</v>
      </c>
    </row>
    <row r="259" spans="2:11" s="153" customFormat="1" ht="13" x14ac:dyDescent="0.3">
      <c r="B259" s="383" t="s">
        <v>1064</v>
      </c>
      <c r="C259" s="379" t="s">
        <v>1065</v>
      </c>
      <c r="D259" s="384">
        <v>86.500200000000007</v>
      </c>
      <c r="E259" s="385">
        <v>33.397900220400004</v>
      </c>
      <c r="F259" s="385">
        <v>63700</v>
      </c>
      <c r="G259" s="385">
        <v>1907.30553656457</v>
      </c>
      <c r="H259" s="385">
        <v>154974</v>
      </c>
      <c r="I259" s="385">
        <v>4640.2318402442334</v>
      </c>
      <c r="J259" s="386">
        <v>2.43287284144427</v>
      </c>
      <c r="K259" s="353" t="str">
        <f>IF(COUNTIF('6.6 - Lists and lookups'!$D$9:$L$72,C259)=1,"IN LIST","CHECK")</f>
        <v>IN LIST</v>
      </c>
    </row>
    <row r="260" spans="2:11" s="153" customFormat="1" ht="13" x14ac:dyDescent="0.3">
      <c r="B260" s="383" t="s">
        <v>1066</v>
      </c>
      <c r="C260" s="379" t="s">
        <v>1067</v>
      </c>
      <c r="D260" s="384">
        <v>111.8357</v>
      </c>
      <c r="E260" s="385">
        <v>43.179987441400002</v>
      </c>
      <c r="F260" s="385">
        <v>219900</v>
      </c>
      <c r="G260" s="385">
        <v>5092.6369605463296</v>
      </c>
      <c r="H260" s="385">
        <v>484488</v>
      </c>
      <c r="I260" s="385">
        <v>11220.197797822511</v>
      </c>
      <c r="J260" s="386">
        <v>2.203219645293315</v>
      </c>
      <c r="K260" s="353" t="str">
        <f>IF(COUNTIF('6.6 - Lists and lookups'!$D$9:$L$72,C260)=1,"IN LIST","CHECK")</f>
        <v>IN LIST</v>
      </c>
    </row>
    <row r="261" spans="2:11" s="153" customFormat="1" ht="13" x14ac:dyDescent="0.3">
      <c r="B261" s="383" t="s">
        <v>1068</v>
      </c>
      <c r="C261" s="379" t="s">
        <v>1069</v>
      </c>
      <c r="D261" s="384">
        <v>136.3587</v>
      </c>
      <c r="E261" s="385">
        <v>52.648366787400001</v>
      </c>
      <c r="F261" s="385">
        <v>82200</v>
      </c>
      <c r="G261" s="385">
        <v>1561.3019931260699</v>
      </c>
      <c r="H261" s="385">
        <v>183391</v>
      </c>
      <c r="I261" s="385">
        <v>3483.317929700524</v>
      </c>
      <c r="J261" s="386">
        <v>2.2310340632603407</v>
      </c>
      <c r="K261" s="353" t="str">
        <f>IF(COUNTIF('6.6 - Lists and lookups'!$D$9:$L$72,C261)=1,"IN LIST","CHECK")</f>
        <v>IN LIST</v>
      </c>
    </row>
    <row r="262" spans="2:11" s="153" customFormat="1" ht="13" x14ac:dyDescent="0.3">
      <c r="B262" s="383" t="s">
        <v>1070</v>
      </c>
      <c r="C262" s="379" t="s">
        <v>1071</v>
      </c>
      <c r="D262" s="384">
        <v>156.57830000000001</v>
      </c>
      <c r="E262" s="385">
        <v>60.455194786600003</v>
      </c>
      <c r="F262" s="385">
        <v>122900</v>
      </c>
      <c r="G262" s="385">
        <v>2032.9104956790411</v>
      </c>
      <c r="H262" s="385">
        <v>279692</v>
      </c>
      <c r="I262" s="385">
        <v>4626.4345187751214</v>
      </c>
      <c r="J262" s="386">
        <v>2.2757689178193652</v>
      </c>
      <c r="K262" s="353" t="str">
        <f>IF(COUNTIF('6.6 - Lists and lookups'!$D$9:$L$72,C262)=1,"IN LIST","CHECK")</f>
        <v>IN LIST</v>
      </c>
    </row>
    <row r="263" spans="2:11" s="153" customFormat="1" ht="13" x14ac:dyDescent="0.3">
      <c r="B263" s="383" t="s">
        <v>1072</v>
      </c>
      <c r="C263" s="379" t="s">
        <v>1073</v>
      </c>
      <c r="D263" s="384">
        <v>160.922</v>
      </c>
      <c r="E263" s="385">
        <v>62.132306043999996</v>
      </c>
      <c r="F263" s="385">
        <v>138200</v>
      </c>
      <c r="G263" s="385">
        <v>2224.2857025479052</v>
      </c>
      <c r="H263" s="385">
        <v>320600</v>
      </c>
      <c r="I263" s="385">
        <v>5159.9565574302351</v>
      </c>
      <c r="J263" s="386">
        <v>2.3198263386396527</v>
      </c>
      <c r="K263" s="353" t="str">
        <f>IF(COUNTIF('6.6 - Lists and lookups'!$D$9:$L$72,C263)=1,"IN LIST","CHECK")</f>
        <v>IN LIST</v>
      </c>
    </row>
    <row r="264" spans="2:11" s="153" customFormat="1" ht="13" x14ac:dyDescent="0.3">
      <c r="B264" s="383" t="s">
        <v>1074</v>
      </c>
      <c r="C264" s="379" t="s">
        <v>1075</v>
      </c>
      <c r="D264" s="384">
        <v>329.07760000000002</v>
      </c>
      <c r="E264" s="385">
        <v>127.05751951520001</v>
      </c>
      <c r="F264" s="385">
        <v>105400</v>
      </c>
      <c r="G264" s="385">
        <v>829.54555072508629</v>
      </c>
      <c r="H264" s="385">
        <v>244893</v>
      </c>
      <c r="I264" s="385">
        <v>1927.418392350271</v>
      </c>
      <c r="J264" s="386">
        <v>2.3234629981024666</v>
      </c>
      <c r="K264" s="353" t="str">
        <f>IF(COUNTIF('6.6 - Lists and lookups'!$D$9:$L$72,C264)=1,"IN LIST","CHECK")</f>
        <v>IN LIST</v>
      </c>
    </row>
    <row r="265" spans="2:11" s="153" customFormat="1" ht="13" x14ac:dyDescent="0.3">
      <c r="B265" s="383" t="s">
        <v>1076</v>
      </c>
      <c r="C265" s="379" t="s">
        <v>1077</v>
      </c>
      <c r="D265" s="384">
        <v>568.00639999999999</v>
      </c>
      <c r="E265" s="385">
        <v>219.30840705279999</v>
      </c>
      <c r="F265" s="385">
        <v>133900</v>
      </c>
      <c r="G265" s="385">
        <v>610.55570919250101</v>
      </c>
      <c r="H265" s="385">
        <v>308705</v>
      </c>
      <c r="I265" s="385">
        <v>1407.6295758496717</v>
      </c>
      <c r="J265" s="386">
        <v>2.3054891710231518</v>
      </c>
      <c r="K265" s="353" t="str">
        <f>IF(COUNTIF('6.6 - Lists and lookups'!$D$9:$L$72,C265)=1,"IN LIST","CHECK")</f>
        <v>IN LIST</v>
      </c>
    </row>
    <row r="266" spans="2:11" s="153" customFormat="1" ht="13" x14ac:dyDescent="0.3">
      <c r="B266" s="383" t="s">
        <v>1078</v>
      </c>
      <c r="C266" s="379" t="s">
        <v>1079</v>
      </c>
      <c r="D266" s="384">
        <v>286.53449999999998</v>
      </c>
      <c r="E266" s="385">
        <v>110.63154351899999</v>
      </c>
      <c r="F266" s="385">
        <v>115400</v>
      </c>
      <c r="G266" s="385">
        <v>1043.1021418424039</v>
      </c>
      <c r="H266" s="385">
        <v>266183</v>
      </c>
      <c r="I266" s="385">
        <v>2406.0316934318594</v>
      </c>
      <c r="J266" s="386">
        <v>2.3066117850953205</v>
      </c>
      <c r="K266" s="353" t="str">
        <f>IF(COUNTIF('6.6 - Lists and lookups'!$D$9:$L$72,C266)=1,"IN LIST","CHECK")</f>
        <v>IN LIST</v>
      </c>
    </row>
    <row r="267" spans="2:11" s="153" customFormat="1" ht="13" x14ac:dyDescent="0.3">
      <c r="B267" s="383" t="s">
        <v>1080</v>
      </c>
      <c r="C267" s="379" t="s">
        <v>1081</v>
      </c>
      <c r="D267" s="384">
        <v>367.93019999999996</v>
      </c>
      <c r="E267" s="385">
        <v>142.05858608039998</v>
      </c>
      <c r="F267" s="385">
        <v>246000</v>
      </c>
      <c r="G267" s="385">
        <v>1731.6799131083353</v>
      </c>
      <c r="H267" s="385">
        <v>554401</v>
      </c>
      <c r="I267" s="385">
        <v>3902.6222581592447</v>
      </c>
      <c r="J267" s="386">
        <v>2.2536626016260164</v>
      </c>
      <c r="K267" s="353" t="str">
        <f>IF(COUNTIF('6.6 - Lists and lookups'!$D$9:$L$72,C267)=1,"IN LIST","CHECK")</f>
        <v>IN LIST</v>
      </c>
    </row>
    <row r="268" spans="2:11" s="153" customFormat="1" ht="13" x14ac:dyDescent="0.3">
      <c r="B268" s="383" t="s">
        <v>1082</v>
      </c>
      <c r="C268" s="379" t="s">
        <v>1083</v>
      </c>
      <c r="D268" s="384">
        <v>113.4515</v>
      </c>
      <c r="E268" s="385">
        <v>43.803851052999995</v>
      </c>
      <c r="F268" s="385">
        <v>130800</v>
      </c>
      <c r="G268" s="385">
        <v>2986.0388266259961</v>
      </c>
      <c r="H268" s="385">
        <v>298264</v>
      </c>
      <c r="I268" s="385">
        <v>6809.0816864279514</v>
      </c>
      <c r="J268" s="386">
        <v>2.2803058103975533</v>
      </c>
      <c r="K268" s="353" t="str">
        <f>IF(COUNTIF('6.6 - Lists and lookups'!$D$9:$L$72,C268)=1,"IN LIST","CHECK")</f>
        <v>IN LIST</v>
      </c>
    </row>
    <row r="269" spans="2:11" s="153" customFormat="1" ht="13" x14ac:dyDescent="0.3">
      <c r="B269" s="383" t="s">
        <v>1084</v>
      </c>
      <c r="C269" s="379" t="s">
        <v>1085</v>
      </c>
      <c r="D269" s="384">
        <v>82.300599999999989</v>
      </c>
      <c r="E269" s="385">
        <v>31.776426261199994</v>
      </c>
      <c r="F269" s="385">
        <v>95500</v>
      </c>
      <c r="G269" s="385">
        <v>3005.3725744675221</v>
      </c>
      <c r="H269" s="385">
        <v>209151</v>
      </c>
      <c r="I269" s="385">
        <v>6581.9547573032114</v>
      </c>
      <c r="J269" s="386">
        <v>2.1900628272251308</v>
      </c>
      <c r="K269" s="353" t="str">
        <f>IF(COUNTIF('6.6 - Lists and lookups'!$D$9:$L$72,C269)=1,"IN LIST","CHECK")</f>
        <v>IN LIST</v>
      </c>
    </row>
    <row r="270" spans="2:11" s="153" customFormat="1" ht="13" x14ac:dyDescent="0.3">
      <c r="B270" s="383" t="s">
        <v>1086</v>
      </c>
      <c r="C270" s="379" t="s">
        <v>1087</v>
      </c>
      <c r="D270" s="384">
        <v>64.420500000000004</v>
      </c>
      <c r="E270" s="385">
        <v>24.872883891000001</v>
      </c>
      <c r="F270" s="385">
        <v>68600</v>
      </c>
      <c r="G270" s="385">
        <v>2758.0235689847855</v>
      </c>
      <c r="H270" s="385">
        <v>147915</v>
      </c>
      <c r="I270" s="385">
        <v>5946.8375540289289</v>
      </c>
      <c r="J270" s="386">
        <v>2.1561953352769678</v>
      </c>
      <c r="K270" s="353" t="str">
        <f>IF(COUNTIF('6.6 - Lists and lookups'!$D$9:$L$72,C270)=1,"IN LIST","CHECK")</f>
        <v>IN LIST</v>
      </c>
    </row>
    <row r="271" spans="2:11" s="153" customFormat="1" ht="13" x14ac:dyDescent="0.3">
      <c r="B271" s="383" t="s">
        <v>1088</v>
      </c>
      <c r="C271" s="379" t="s">
        <v>1089</v>
      </c>
      <c r="D271" s="384">
        <v>137.4365</v>
      </c>
      <c r="E271" s="385">
        <v>53.064507522999996</v>
      </c>
      <c r="F271" s="385">
        <v>125100</v>
      </c>
      <c r="G271" s="385">
        <v>2357.5079811261289</v>
      </c>
      <c r="H271" s="385">
        <v>274211</v>
      </c>
      <c r="I271" s="385">
        <v>5167.5029657280329</v>
      </c>
      <c r="J271" s="386">
        <v>2.1919344524380495</v>
      </c>
      <c r="K271" s="353" t="str">
        <f>IF(COUNTIF('6.6 - Lists and lookups'!$D$9:$L$72,C271)=1,"IN LIST","CHECK")</f>
        <v>IN LIST</v>
      </c>
    </row>
    <row r="272" spans="2:11" s="153" customFormat="1" ht="13" x14ac:dyDescent="0.3">
      <c r="B272" s="383" t="s">
        <v>1090</v>
      </c>
      <c r="C272" s="379" t="s">
        <v>1091</v>
      </c>
      <c r="D272" s="384">
        <v>267.7912</v>
      </c>
      <c r="E272" s="385">
        <v>103.3947179024</v>
      </c>
      <c r="F272" s="385">
        <v>423000</v>
      </c>
      <c r="G272" s="385">
        <v>4091.1180820599861</v>
      </c>
      <c r="H272" s="385">
        <v>1142494</v>
      </c>
      <c r="I272" s="385">
        <v>11049.829461099389</v>
      </c>
      <c r="J272" s="386">
        <v>2.7009314420803783</v>
      </c>
      <c r="K272" s="353" t="str">
        <f>IF(COUNTIF('6.6 - Lists and lookups'!$D$9:$L$72,C272)=1,"IN LIST","CHECK")</f>
        <v>IN LIST</v>
      </c>
    </row>
    <row r="273" spans="2:11" s="153" customFormat="1" ht="13" x14ac:dyDescent="0.3">
      <c r="B273" s="383" t="s">
        <v>1092</v>
      </c>
      <c r="C273" s="379" t="s">
        <v>1093</v>
      </c>
      <c r="D273" s="384">
        <v>98.638999999999996</v>
      </c>
      <c r="E273" s="385">
        <v>38.084715177999996</v>
      </c>
      <c r="F273" s="385">
        <v>149500</v>
      </c>
      <c r="G273" s="385">
        <v>3925.4593161920275</v>
      </c>
      <c r="H273" s="385">
        <v>343320</v>
      </c>
      <c r="I273" s="385">
        <v>9014.6400831775718</v>
      </c>
      <c r="J273" s="386">
        <v>2.2964548494983279</v>
      </c>
      <c r="K273" s="353" t="str">
        <f>IF(COUNTIF('6.6 - Lists and lookups'!$D$9:$L$72,C273)=1,"IN LIST","CHECK")</f>
        <v>IN LIST</v>
      </c>
    </row>
    <row r="274" spans="2:11" s="153" customFormat="1" ht="13" x14ac:dyDescent="0.3">
      <c r="B274" s="383" t="s">
        <v>1094</v>
      </c>
      <c r="C274" s="379" t="s">
        <v>1095</v>
      </c>
      <c r="D274" s="384">
        <v>97.958399999999997</v>
      </c>
      <c r="E274" s="385">
        <v>37.821934156799998</v>
      </c>
      <c r="F274" s="385">
        <v>135400</v>
      </c>
      <c r="G274" s="385">
        <v>3579.9332587980953</v>
      </c>
      <c r="H274" s="385">
        <v>323581</v>
      </c>
      <c r="I274" s="385">
        <v>8555.379496419102</v>
      </c>
      <c r="J274" s="386">
        <v>2.3898153618906943</v>
      </c>
      <c r="K274" s="353" t="str">
        <f>IF(COUNTIF('6.6 - Lists and lookups'!$D$9:$L$72,C274)=1,"IN LIST","CHECK")</f>
        <v>IN LIST</v>
      </c>
    </row>
    <row r="275" spans="2:11" s="153" customFormat="1" ht="13" x14ac:dyDescent="0.3">
      <c r="B275" s="383" t="s">
        <v>1096</v>
      </c>
      <c r="C275" s="379" t="s">
        <v>1097</v>
      </c>
      <c r="D275" s="384">
        <v>85.558899999999994</v>
      </c>
      <c r="E275" s="385">
        <v>33.0344624078</v>
      </c>
      <c r="F275" s="385">
        <v>127400</v>
      </c>
      <c r="G275" s="385">
        <v>3856.5785762543146</v>
      </c>
      <c r="H275" s="385">
        <v>341729</v>
      </c>
      <c r="I275" s="385">
        <v>10344.621195328184</v>
      </c>
      <c r="J275" s="386">
        <v>2.682331240188383</v>
      </c>
      <c r="K275" s="353" t="str">
        <f>IF(COUNTIF('6.6 - Lists and lookups'!$D$9:$L$72,C275)=1,"IN LIST","CHECK")</f>
        <v>IN LIST</v>
      </c>
    </row>
    <row r="276" spans="2:11" s="153" customFormat="1" ht="13" x14ac:dyDescent="0.3">
      <c r="B276" s="383" t="s">
        <v>1098</v>
      </c>
      <c r="C276" s="379" t="s">
        <v>1099</v>
      </c>
      <c r="D276" s="384">
        <v>178.28209999999999</v>
      </c>
      <c r="E276" s="385">
        <v>68.835075374199988</v>
      </c>
      <c r="F276" s="385">
        <v>89000</v>
      </c>
      <c r="G276" s="385">
        <v>1292.9454862390985</v>
      </c>
      <c r="H276" s="385">
        <v>216666</v>
      </c>
      <c r="I276" s="385">
        <v>3147.6104126009045</v>
      </c>
      <c r="J276" s="386">
        <v>2.4344494382022472</v>
      </c>
      <c r="K276" s="353" t="str">
        <f>IF(COUNTIF('6.6 - Lists and lookups'!$D$9:$L$72,C276)=1,"IN LIST","CHECK")</f>
        <v>IN LIST</v>
      </c>
    </row>
    <row r="277" spans="2:11" s="153" customFormat="1" ht="13" x14ac:dyDescent="0.3">
      <c r="B277" s="383" t="s">
        <v>1100</v>
      </c>
      <c r="C277" s="379" t="s">
        <v>1101</v>
      </c>
      <c r="D277" s="384">
        <v>103.9734</v>
      </c>
      <c r="E277" s="385">
        <v>40.1443376868</v>
      </c>
      <c r="F277" s="385">
        <v>113400</v>
      </c>
      <c r="G277" s="385">
        <v>2824.80684784812</v>
      </c>
      <c r="H277" s="385">
        <v>284306</v>
      </c>
      <c r="I277" s="385">
        <v>7082.0946709374566</v>
      </c>
      <c r="J277" s="386">
        <v>2.5071075837742502</v>
      </c>
      <c r="K277" s="353" t="str">
        <f>IF(COUNTIF('6.6 - Lists and lookups'!$D$9:$L$72,C277)=1,"IN LIST","CHECK")</f>
        <v>IN LIST</v>
      </c>
    </row>
    <row r="278" spans="2:11" s="153" customFormat="1" ht="13" x14ac:dyDescent="0.3">
      <c r="B278" s="383" t="s">
        <v>1102</v>
      </c>
      <c r="C278" s="379" t="s">
        <v>1103</v>
      </c>
      <c r="D278" s="384">
        <v>69.436499999999995</v>
      </c>
      <c r="E278" s="385">
        <v>26.809571522999999</v>
      </c>
      <c r="F278" s="385">
        <v>114300</v>
      </c>
      <c r="G278" s="385">
        <v>4263.402714285894</v>
      </c>
      <c r="H278" s="385">
        <v>264036</v>
      </c>
      <c r="I278" s="385">
        <v>9848.5721703341223</v>
      </c>
      <c r="J278" s="386">
        <v>2.3100262467191599</v>
      </c>
      <c r="K278" s="353" t="str">
        <f>IF(COUNTIF('6.6 - Lists and lookups'!$D$9:$L$72,C278)=1,"IN LIST","CHECK")</f>
        <v>IN LIST</v>
      </c>
    </row>
    <row r="279" spans="2:11" s="153" customFormat="1" ht="13" x14ac:dyDescent="0.3">
      <c r="B279" s="383" t="s">
        <v>1104</v>
      </c>
      <c r="C279" s="379" t="s">
        <v>1105</v>
      </c>
      <c r="D279" s="384">
        <v>366.41970000000003</v>
      </c>
      <c r="E279" s="385">
        <v>141.4753790094</v>
      </c>
      <c r="F279" s="385">
        <v>196300</v>
      </c>
      <c r="G279" s="385">
        <v>1387.5205804322836</v>
      </c>
      <c r="H279" s="385">
        <v>546976</v>
      </c>
      <c r="I279" s="385">
        <v>3866.2274936450776</v>
      </c>
      <c r="J279" s="386">
        <v>2.7864289353031073</v>
      </c>
      <c r="K279" s="353" t="str">
        <f>IF(COUNTIF('6.6 - Lists and lookups'!$D$9:$L$72,C279)=1,"IN LIST","CHECK")</f>
        <v>IN LIST</v>
      </c>
    </row>
    <row r="280" spans="2:11" s="153" customFormat="1" ht="13" x14ac:dyDescent="0.3">
      <c r="B280" s="383" t="s">
        <v>1106</v>
      </c>
      <c r="C280" s="379" t="s">
        <v>1107</v>
      </c>
      <c r="D280" s="384">
        <v>363.96080000000001</v>
      </c>
      <c r="E280" s="385">
        <v>140.52599280160001</v>
      </c>
      <c r="F280" s="385">
        <v>93600</v>
      </c>
      <c r="G280" s="385">
        <v>666.06894663358162</v>
      </c>
      <c r="H280" s="385">
        <v>206818</v>
      </c>
      <c r="I280" s="385">
        <v>1471.7419594536761</v>
      </c>
      <c r="J280" s="386">
        <v>2.2095940170940169</v>
      </c>
      <c r="K280" s="353" t="str">
        <f>IF(COUNTIF('6.6 - Lists and lookups'!$D$9:$L$72,C280)=1,"IN LIST","CHECK")</f>
        <v>IN LIST</v>
      </c>
    </row>
    <row r="281" spans="2:11" s="153" customFormat="1" ht="13" x14ac:dyDescent="0.3">
      <c r="B281" s="383" t="s">
        <v>1108</v>
      </c>
      <c r="C281" s="379" t="s">
        <v>1109</v>
      </c>
      <c r="D281" s="384">
        <v>408.55160000000001</v>
      </c>
      <c r="E281" s="385">
        <v>157.74258986320001</v>
      </c>
      <c r="F281" s="385">
        <v>177800</v>
      </c>
      <c r="G281" s="385">
        <v>1127.152788312874</v>
      </c>
      <c r="H281" s="385">
        <v>433355</v>
      </c>
      <c r="I281" s="385">
        <v>2747.2288896475002</v>
      </c>
      <c r="J281" s="386">
        <v>2.4373172103487066</v>
      </c>
      <c r="K281" s="353" t="str">
        <f>IF(COUNTIF('6.6 - Lists and lookups'!$D$9:$L$72,C281)=1,"IN LIST","CHECK")</f>
        <v>IN LIST</v>
      </c>
    </row>
    <row r="282" spans="2:11" s="153" customFormat="1" ht="13" x14ac:dyDescent="0.3">
      <c r="B282" s="383" t="s">
        <v>1110</v>
      </c>
      <c r="C282" s="379" t="s">
        <v>1111</v>
      </c>
      <c r="D282" s="384">
        <v>551.70669999999996</v>
      </c>
      <c r="E282" s="385">
        <v>213.01506028339998</v>
      </c>
      <c r="F282" s="385">
        <v>329300</v>
      </c>
      <c r="G282" s="385">
        <v>1545.9000859464677</v>
      </c>
      <c r="H282" s="385">
        <v>809036</v>
      </c>
      <c r="I282" s="385">
        <v>3798.0225385174199</v>
      </c>
      <c r="J282" s="386">
        <v>2.4568357121166109</v>
      </c>
      <c r="K282" s="353" t="str">
        <f>IF(COUNTIF('6.6 - Lists and lookups'!$D$9:$L$72,C282)=1,"IN LIST","CHECK")</f>
        <v>IN LIST</v>
      </c>
    </row>
    <row r="283" spans="2:11" s="153" customFormat="1" ht="13" x14ac:dyDescent="0.3">
      <c r="B283" s="383" t="s">
        <v>1112</v>
      </c>
      <c r="C283" s="379" t="s">
        <v>1113</v>
      </c>
      <c r="D283" s="384">
        <v>338.61980000000005</v>
      </c>
      <c r="E283" s="385">
        <v>130.74178201960001</v>
      </c>
      <c r="F283" s="385">
        <v>149200</v>
      </c>
      <c r="G283" s="385">
        <v>1141.1807128162966</v>
      </c>
      <c r="H283" s="385">
        <v>353802</v>
      </c>
      <c r="I283" s="385">
        <v>2706.112724905036</v>
      </c>
      <c r="J283" s="386">
        <v>2.3713270777479893</v>
      </c>
      <c r="K283" s="353" t="str">
        <f>IF(COUNTIF('6.6 - Lists and lookups'!$D$9:$L$72,C283)=1,"IN LIST","CHECK")</f>
        <v>IN LIST</v>
      </c>
    </row>
    <row r="284" spans="2:11" s="153" customFormat="1" ht="13" x14ac:dyDescent="0.3">
      <c r="B284" s="383" t="s">
        <v>1114</v>
      </c>
      <c r="C284" s="379" t="s">
        <v>1115</v>
      </c>
      <c r="D284" s="384">
        <v>142.3391</v>
      </c>
      <c r="E284" s="385">
        <v>54.957411188199998</v>
      </c>
      <c r="F284" s="385">
        <v>91200</v>
      </c>
      <c r="G284" s="385">
        <v>1659.4668130871075</v>
      </c>
      <c r="H284" s="385">
        <v>196154</v>
      </c>
      <c r="I284" s="385">
        <v>3569.2001453321109</v>
      </c>
      <c r="J284" s="386">
        <v>2.1508114035087718</v>
      </c>
      <c r="K284" s="353" t="str">
        <f>IF(COUNTIF('6.6 - Lists and lookups'!$D$9:$L$72,C284)=1,"IN LIST","CHECK")</f>
        <v>IN LIST</v>
      </c>
    </row>
    <row r="285" spans="2:11" s="153" customFormat="1" ht="13" x14ac:dyDescent="0.3">
      <c r="B285" s="383" t="s">
        <v>1116</v>
      </c>
      <c r="C285" s="379" t="s">
        <v>1117</v>
      </c>
      <c r="D285" s="384">
        <v>2.8898000000000001</v>
      </c>
      <c r="E285" s="385">
        <v>1.1157575596</v>
      </c>
      <c r="F285" s="385">
        <v>6400</v>
      </c>
      <c r="G285" s="385">
        <v>5736.0131194579626</v>
      </c>
      <c r="H285" s="385">
        <v>8618</v>
      </c>
      <c r="I285" s="385">
        <v>7723.9001661701132</v>
      </c>
      <c r="J285" s="386">
        <v>1.3465625000000001</v>
      </c>
      <c r="K285" s="353" t="str">
        <f>IF(COUNTIF('6.6 - Lists and lookups'!$D$9:$L$72,C285)=1,"IN LIST","CHECK")</f>
        <v>IN LIST</v>
      </c>
    </row>
    <row r="286" spans="2:11" s="153" customFormat="1" ht="13" x14ac:dyDescent="0.3">
      <c r="B286" s="383" t="s">
        <v>1118</v>
      </c>
      <c r="C286" s="379" t="s">
        <v>1119</v>
      </c>
      <c r="D286" s="384">
        <v>36.101100000000002</v>
      </c>
      <c r="E286" s="385">
        <v>13.938706912200001</v>
      </c>
      <c r="F286" s="385">
        <v>76500</v>
      </c>
      <c r="G286" s="385">
        <v>5488.3139793292139</v>
      </c>
      <c r="H286" s="385">
        <v>218534</v>
      </c>
      <c r="I286" s="385">
        <v>15678.211858284058</v>
      </c>
      <c r="J286" s="386">
        <v>2.8566535947712417</v>
      </c>
      <c r="K286" s="353" t="str">
        <f>IF(COUNTIF('6.6 - Lists and lookups'!$D$9:$L$72,C286)=1,"IN LIST","CHECK")</f>
        <v>IN LIST</v>
      </c>
    </row>
    <row r="287" spans="2:11" s="153" customFormat="1" ht="13" x14ac:dyDescent="0.3">
      <c r="B287" s="383" t="s">
        <v>1120</v>
      </c>
      <c r="C287" s="379" t="s">
        <v>1121</v>
      </c>
      <c r="D287" s="384">
        <v>86.7667</v>
      </c>
      <c r="E287" s="385">
        <v>33.500796403400003</v>
      </c>
      <c r="F287" s="385">
        <v>147100</v>
      </c>
      <c r="G287" s="385">
        <v>4390.9403892580531</v>
      </c>
      <c r="H287" s="385">
        <v>388639</v>
      </c>
      <c r="I287" s="385">
        <v>11600.888388449086</v>
      </c>
      <c r="J287" s="386">
        <v>2.6420054384772262</v>
      </c>
      <c r="K287" s="353" t="str">
        <f>IF(COUNTIF('6.6 - Lists and lookups'!$D$9:$L$72,C287)=1,"IN LIST","CHECK")</f>
        <v>IN LIST</v>
      </c>
    </row>
    <row r="288" spans="2:11" s="153" customFormat="1" ht="13" x14ac:dyDescent="0.3">
      <c r="B288" s="383" t="s">
        <v>1122</v>
      </c>
      <c r="C288" s="379" t="s">
        <v>1123</v>
      </c>
      <c r="D288" s="384">
        <v>60.578400000000002</v>
      </c>
      <c r="E288" s="385">
        <v>23.389441396800002</v>
      </c>
      <c r="F288" s="385">
        <v>98400</v>
      </c>
      <c r="G288" s="385">
        <v>4207.0265095541135</v>
      </c>
      <c r="H288" s="385">
        <v>246543</v>
      </c>
      <c r="I288" s="385">
        <v>10540.781877489835</v>
      </c>
      <c r="J288" s="386">
        <v>2.5055182926829267</v>
      </c>
      <c r="K288" s="353" t="str">
        <f>IF(COUNTIF('6.6 - Lists and lookups'!$D$9:$L$72,C288)=1,"IN LIST","CHECK")</f>
        <v>IN LIST</v>
      </c>
    </row>
    <row r="289" spans="2:11" s="153" customFormat="1" ht="13" x14ac:dyDescent="0.3">
      <c r="B289" s="383" t="s">
        <v>1124</v>
      </c>
      <c r="C289" s="379" t="s">
        <v>1125</v>
      </c>
      <c r="D289" s="384">
        <v>43.236400000000003</v>
      </c>
      <c r="E289" s="385">
        <v>16.693660512800001</v>
      </c>
      <c r="F289" s="385">
        <v>122100</v>
      </c>
      <c r="G289" s="385">
        <v>7314.1537715097793</v>
      </c>
      <c r="H289" s="385">
        <v>338918</v>
      </c>
      <c r="I289" s="385">
        <v>20302.197935565531</v>
      </c>
      <c r="J289" s="386">
        <v>2.7757411957411957</v>
      </c>
      <c r="K289" s="353" t="str">
        <f>IF(COUNTIF('6.6 - Lists and lookups'!$D$9:$L$72,C289)=1,"IN LIST","CHECK")</f>
        <v>IN LIST</v>
      </c>
    </row>
    <row r="290" spans="2:11" s="153" customFormat="1" ht="13" x14ac:dyDescent="0.3">
      <c r="B290" s="383" t="s">
        <v>1126</v>
      </c>
      <c r="C290" s="379" t="s">
        <v>1127</v>
      </c>
      <c r="D290" s="384">
        <v>150.1326</v>
      </c>
      <c r="E290" s="385">
        <v>57.9664971252</v>
      </c>
      <c r="F290" s="385">
        <v>129800</v>
      </c>
      <c r="G290" s="385">
        <v>2239.2244906510236</v>
      </c>
      <c r="H290" s="385">
        <v>329830</v>
      </c>
      <c r="I290" s="385">
        <v>5690.0108917675434</v>
      </c>
      <c r="J290" s="386">
        <v>2.5410631741140217</v>
      </c>
      <c r="K290" s="353" t="str">
        <f>IF(COUNTIF('6.6 - Lists and lookups'!$D$9:$L$72,C290)=1,"IN LIST","CHECK")</f>
        <v>IN LIST</v>
      </c>
    </row>
    <row r="291" spans="2:11" s="153" customFormat="1" ht="13" x14ac:dyDescent="0.3">
      <c r="B291" s="383" t="s">
        <v>1128</v>
      </c>
      <c r="C291" s="379" t="s">
        <v>1129</v>
      </c>
      <c r="D291" s="384">
        <v>21.778499999999998</v>
      </c>
      <c r="E291" s="385">
        <v>8.4087224069999991</v>
      </c>
      <c r="F291" s="385">
        <v>115200</v>
      </c>
      <c r="G291" s="385">
        <v>13700.059821703662</v>
      </c>
      <c r="H291" s="385">
        <v>210390</v>
      </c>
      <c r="I291" s="385">
        <v>25020.447794168693</v>
      </c>
      <c r="J291" s="386">
        <v>1.8263020833333334</v>
      </c>
      <c r="K291" s="353" t="str">
        <f>IF(COUNTIF('6.6 - Lists and lookups'!$D$9:$L$72,C291)=1,"IN LIST","CHECK")</f>
        <v>IN LIST</v>
      </c>
    </row>
    <row r="292" spans="2:11" s="153" customFormat="1" ht="13" x14ac:dyDescent="0.3">
      <c r="B292" s="383" t="s">
        <v>1130</v>
      </c>
      <c r="C292" s="379" t="s">
        <v>1131</v>
      </c>
      <c r="D292" s="384">
        <v>86.488700000000009</v>
      </c>
      <c r="E292" s="385">
        <v>33.393460047400005</v>
      </c>
      <c r="F292" s="385">
        <v>147600</v>
      </c>
      <c r="G292" s="385">
        <v>4420.0271487438167</v>
      </c>
      <c r="H292" s="385">
        <v>390506</v>
      </c>
      <c r="I292" s="385">
        <v>11694.086190700222</v>
      </c>
      <c r="J292" s="386">
        <v>2.6457046070460706</v>
      </c>
      <c r="K292" s="353" t="str">
        <f>IF(COUNTIF('6.6 - Lists and lookups'!$D$9:$L$72,C292)=1,"IN LIST","CHECK")</f>
        <v>IN LIST</v>
      </c>
    </row>
    <row r="293" spans="2:11" s="153" customFormat="1" ht="13" x14ac:dyDescent="0.3">
      <c r="B293" s="383" t="s">
        <v>1132</v>
      </c>
      <c r="C293" s="379" t="s">
        <v>1133</v>
      </c>
      <c r="D293" s="384">
        <v>55.542400000000001</v>
      </c>
      <c r="E293" s="385">
        <v>21.4450317248</v>
      </c>
      <c r="F293" s="385">
        <v>122400</v>
      </c>
      <c r="G293" s="385">
        <v>5707.6157112162782</v>
      </c>
      <c r="H293" s="385">
        <v>366127</v>
      </c>
      <c r="I293" s="385">
        <v>17072.812234481065</v>
      </c>
      <c r="J293" s="386">
        <v>2.9912336601307188</v>
      </c>
      <c r="K293" s="353" t="str">
        <f>IF(COUNTIF('6.6 - Lists and lookups'!$D$9:$L$72,C293)=1,"IN LIST","CHECK")</f>
        <v>IN LIST</v>
      </c>
    </row>
    <row r="294" spans="2:11" s="153" customFormat="1" ht="13" x14ac:dyDescent="0.3">
      <c r="B294" s="383" t="s">
        <v>1134</v>
      </c>
      <c r="C294" s="379" t="s">
        <v>1135</v>
      </c>
      <c r="D294" s="384">
        <v>80.821100000000001</v>
      </c>
      <c r="E294" s="385">
        <v>31.2051883522</v>
      </c>
      <c r="F294" s="385">
        <v>126000</v>
      </c>
      <c r="G294" s="385">
        <v>4037.7900808638078</v>
      </c>
      <c r="H294" s="385">
        <v>329601</v>
      </c>
      <c r="I294" s="385">
        <v>10562.37816224438</v>
      </c>
      <c r="J294" s="386">
        <v>2.6158809523809525</v>
      </c>
      <c r="K294" s="353" t="str">
        <f>IF(COUNTIF('6.6 - Lists and lookups'!$D$9:$L$72,C294)=1,"IN LIST","CHECK")</f>
        <v>IN LIST</v>
      </c>
    </row>
    <row r="295" spans="2:11" s="153" customFormat="1" ht="13" x14ac:dyDescent="0.3">
      <c r="B295" s="383" t="s">
        <v>1136</v>
      </c>
      <c r="C295" s="379" t="s">
        <v>1137</v>
      </c>
      <c r="D295" s="384">
        <v>47.311000000000007</v>
      </c>
      <c r="E295" s="385">
        <v>18.266871722000001</v>
      </c>
      <c r="F295" s="385">
        <v>105900</v>
      </c>
      <c r="G295" s="385">
        <v>5797.3801760734777</v>
      </c>
      <c r="H295" s="385">
        <v>289254</v>
      </c>
      <c r="I295" s="385">
        <v>15834.895235599224</v>
      </c>
      <c r="J295" s="386">
        <v>2.7313881019830029</v>
      </c>
      <c r="K295" s="353" t="str">
        <f>IF(COUNTIF('6.6 - Lists and lookups'!$D$9:$L$72,C295)=1,"IN LIST","CHECK")</f>
        <v>IN LIST</v>
      </c>
    </row>
    <row r="296" spans="2:11" s="153" customFormat="1" ht="13" x14ac:dyDescent="0.3">
      <c r="B296" s="383" t="s">
        <v>1138</v>
      </c>
      <c r="C296" s="379" t="s">
        <v>1139</v>
      </c>
      <c r="D296" s="384">
        <v>19.044</v>
      </c>
      <c r="E296" s="385">
        <v>7.3529264880000005</v>
      </c>
      <c r="F296" s="385">
        <v>108400</v>
      </c>
      <c r="G296" s="385">
        <v>14742.429449948826</v>
      </c>
      <c r="H296" s="385">
        <v>259956</v>
      </c>
      <c r="I296" s="385">
        <v>35354.086624454772</v>
      </c>
      <c r="J296" s="386">
        <v>2.3981180811808116</v>
      </c>
      <c r="K296" s="353" t="str">
        <f>IF(COUNTIF('6.6 - Lists and lookups'!$D$9:$L$72,C296)=1,"IN LIST","CHECK")</f>
        <v>IN LIST</v>
      </c>
    </row>
    <row r="297" spans="2:11" s="153" customFormat="1" ht="13" x14ac:dyDescent="0.3">
      <c r="B297" s="383" t="s">
        <v>1140</v>
      </c>
      <c r="C297" s="379" t="s">
        <v>1141</v>
      </c>
      <c r="D297" s="384">
        <v>16.403499999999998</v>
      </c>
      <c r="E297" s="385">
        <v>6.3334241569999987</v>
      </c>
      <c r="F297" s="385">
        <v>77200</v>
      </c>
      <c r="G297" s="385">
        <v>12189.298882607589</v>
      </c>
      <c r="H297" s="385">
        <v>183295</v>
      </c>
      <c r="I297" s="385">
        <v>28940.90076020153</v>
      </c>
      <c r="J297" s="386">
        <v>2.3742875647668393</v>
      </c>
      <c r="K297" s="353" t="str">
        <f>IF(COUNTIF('6.6 - Lists and lookups'!$D$9:$L$72,C297)=1,"IN LIST","CHECK")</f>
        <v>IN LIST</v>
      </c>
    </row>
    <row r="298" spans="2:11" s="153" customFormat="1" ht="13" x14ac:dyDescent="0.3">
      <c r="B298" s="383" t="s">
        <v>1142</v>
      </c>
      <c r="C298" s="379" t="s">
        <v>1143</v>
      </c>
      <c r="D298" s="384">
        <v>29.605999999999998</v>
      </c>
      <c r="E298" s="385">
        <v>11.430935812</v>
      </c>
      <c r="F298" s="385">
        <v>112700</v>
      </c>
      <c r="G298" s="385">
        <v>9859.2102915746837</v>
      </c>
      <c r="H298" s="385">
        <v>264130</v>
      </c>
      <c r="I298" s="385">
        <v>23106.594625675429</v>
      </c>
      <c r="J298" s="386">
        <v>2.3436557231588289</v>
      </c>
      <c r="K298" s="353" t="str">
        <f>IF(COUNTIF('6.6 - Lists and lookups'!$D$9:$L$72,C298)=1,"IN LIST","CHECK")</f>
        <v>IN LIST</v>
      </c>
    </row>
    <row r="299" spans="2:11" s="153" customFormat="1" ht="13" x14ac:dyDescent="0.3">
      <c r="B299" s="383" t="s">
        <v>1144</v>
      </c>
      <c r="C299" s="379" t="s">
        <v>1145</v>
      </c>
      <c r="D299" s="384">
        <v>50.464500000000001</v>
      </c>
      <c r="E299" s="385">
        <v>19.484444378999999</v>
      </c>
      <c r="F299" s="385">
        <v>89800</v>
      </c>
      <c r="G299" s="385">
        <v>4608.8047600056225</v>
      </c>
      <c r="H299" s="385">
        <v>260987</v>
      </c>
      <c r="I299" s="385">
        <v>13394.633940975362</v>
      </c>
      <c r="J299" s="386">
        <v>2.906314031180401</v>
      </c>
      <c r="K299" s="353" t="str">
        <f>IF(COUNTIF('6.6 - Lists and lookups'!$D$9:$L$72,C299)=1,"IN LIST","CHECK")</f>
        <v>IN LIST</v>
      </c>
    </row>
    <row r="300" spans="2:11" s="153" customFormat="1" ht="13" x14ac:dyDescent="0.3">
      <c r="B300" s="383" t="s">
        <v>1146</v>
      </c>
      <c r="C300" s="379" t="s">
        <v>1147</v>
      </c>
      <c r="D300" s="384">
        <v>112.34360000000001</v>
      </c>
      <c r="E300" s="385">
        <v>43.376088647200007</v>
      </c>
      <c r="F300" s="385">
        <v>103200</v>
      </c>
      <c r="G300" s="385">
        <v>2379.1910063486494</v>
      </c>
      <c r="H300" s="385">
        <v>262022</v>
      </c>
      <c r="I300" s="385">
        <v>6040.7014134252495</v>
      </c>
      <c r="J300" s="386">
        <v>2.5389728682170545</v>
      </c>
      <c r="K300" s="353" t="str">
        <f>IF(COUNTIF('6.6 - Lists and lookups'!$D$9:$L$72,C300)=1,"IN LIST","CHECK")</f>
        <v>IN LIST</v>
      </c>
    </row>
    <row r="301" spans="2:11" s="153" customFormat="1" ht="13" x14ac:dyDescent="0.3">
      <c r="B301" s="383" t="s">
        <v>1148</v>
      </c>
      <c r="C301" s="379" t="s">
        <v>1149</v>
      </c>
      <c r="D301" s="384">
        <v>115.70440000000001</v>
      </c>
      <c r="E301" s="385">
        <v>44.673700248800003</v>
      </c>
      <c r="F301" s="385">
        <v>114400</v>
      </c>
      <c r="G301" s="385">
        <v>2560.7907865897664</v>
      </c>
      <c r="H301" s="385">
        <v>304792</v>
      </c>
      <c r="I301" s="385">
        <v>6822.6271453345107</v>
      </c>
      <c r="J301" s="386">
        <v>2.6642657342657343</v>
      </c>
      <c r="K301" s="353" t="str">
        <f>IF(COUNTIF('6.6 - Lists and lookups'!$D$9:$L$72,C301)=1,"IN LIST","CHECK")</f>
        <v>IN LIST</v>
      </c>
    </row>
    <row r="302" spans="2:11" s="153" customFormat="1" ht="13" x14ac:dyDescent="0.3">
      <c r="B302" s="383" t="s">
        <v>1150</v>
      </c>
      <c r="C302" s="379" t="s">
        <v>1151</v>
      </c>
      <c r="D302" s="384">
        <v>55.962799999999994</v>
      </c>
      <c r="E302" s="385">
        <v>21.607349005599996</v>
      </c>
      <c r="F302" s="385">
        <v>105900</v>
      </c>
      <c r="G302" s="385">
        <v>4901.110264500925</v>
      </c>
      <c r="H302" s="385">
        <v>287940</v>
      </c>
      <c r="I302" s="385">
        <v>13326.02162002263</v>
      </c>
      <c r="J302" s="386">
        <v>2.7189801699716716</v>
      </c>
      <c r="K302" s="353" t="str">
        <f>IF(COUNTIF('6.6 - Lists and lookups'!$D$9:$L$72,C302)=1,"IN LIST","CHECK")</f>
        <v>IN LIST</v>
      </c>
    </row>
    <row r="303" spans="2:11" s="153" customFormat="1" ht="13" x14ac:dyDescent="0.3">
      <c r="B303" s="383" t="s">
        <v>1152</v>
      </c>
      <c r="C303" s="379" t="s">
        <v>1153</v>
      </c>
      <c r="D303" s="384">
        <v>14.857999999999999</v>
      </c>
      <c r="E303" s="385">
        <v>5.7367035159999995</v>
      </c>
      <c r="F303" s="385">
        <v>108300</v>
      </c>
      <c r="G303" s="385">
        <v>18878.437712171286</v>
      </c>
      <c r="H303" s="385">
        <v>216767</v>
      </c>
      <c r="I303" s="385">
        <v>37785.986219337334</v>
      </c>
      <c r="J303" s="386">
        <v>2.0015420129270547</v>
      </c>
      <c r="K303" s="353" t="str">
        <f>IF(COUNTIF('6.6 - Lists and lookups'!$D$9:$L$72,C303)=1,"IN LIST","CHECK")</f>
        <v>IN LIST</v>
      </c>
    </row>
    <row r="304" spans="2:11" s="153" customFormat="1" ht="13" x14ac:dyDescent="0.3">
      <c r="B304" s="383" t="s">
        <v>1154</v>
      </c>
      <c r="C304" s="379" t="s">
        <v>1155</v>
      </c>
      <c r="D304" s="384">
        <v>12.123699999999999</v>
      </c>
      <c r="E304" s="385">
        <v>4.6809848173999997</v>
      </c>
      <c r="F304" s="385">
        <v>74800</v>
      </c>
      <c r="G304" s="385">
        <v>15979.543390518156</v>
      </c>
      <c r="H304" s="385">
        <v>143940</v>
      </c>
      <c r="I304" s="385">
        <v>30749.939513785874</v>
      </c>
      <c r="J304" s="386">
        <v>1.924331550802139</v>
      </c>
      <c r="K304" s="353" t="str">
        <f>IF(COUNTIF('6.6 - Lists and lookups'!$D$9:$L$72,C304)=1,"IN LIST","CHECK")</f>
        <v>IN LIST</v>
      </c>
    </row>
    <row r="305" spans="2:11" s="153" customFormat="1" ht="13" x14ac:dyDescent="0.3">
      <c r="B305" s="383" t="s">
        <v>1156</v>
      </c>
      <c r="C305" s="379" t="s">
        <v>1157</v>
      </c>
      <c r="D305" s="384">
        <v>37.259299999999996</v>
      </c>
      <c r="E305" s="385">
        <v>14.385890248599999</v>
      </c>
      <c r="F305" s="385">
        <v>69900</v>
      </c>
      <c r="G305" s="385">
        <v>4858.9276570355114</v>
      </c>
      <c r="H305" s="385">
        <v>167845</v>
      </c>
      <c r="I305" s="385">
        <v>11667.334944136272</v>
      </c>
      <c r="J305" s="386">
        <v>2.4012160228898427</v>
      </c>
      <c r="K305" s="353" t="str">
        <f>IF(COUNTIF('6.6 - Lists and lookups'!$D$9:$L$72,C305)=1,"IN LIST","CHECK")</f>
        <v>IN LIST</v>
      </c>
    </row>
    <row r="306" spans="2:11" s="153" customFormat="1" ht="13" x14ac:dyDescent="0.3">
      <c r="B306" s="383" t="s">
        <v>1158</v>
      </c>
      <c r="C306" s="379" t="s">
        <v>1159</v>
      </c>
      <c r="D306" s="384">
        <v>26.807100000000002</v>
      </c>
      <c r="E306" s="385">
        <v>10.350274924200001</v>
      </c>
      <c r="F306" s="385">
        <v>128400</v>
      </c>
      <c r="G306" s="385">
        <v>12405.467578429987</v>
      </c>
      <c r="H306" s="385">
        <v>317498</v>
      </c>
      <c r="I306" s="385">
        <v>30675.320445610312</v>
      </c>
      <c r="J306" s="386">
        <v>2.4727258566978194</v>
      </c>
      <c r="K306" s="353" t="str">
        <f>IF(COUNTIF('6.6 - Lists and lookups'!$D$9:$L$72,C306)=1,"IN LIST","CHECK")</f>
        <v>IN LIST</v>
      </c>
    </row>
    <row r="307" spans="2:11" s="153" customFormat="1" ht="13" x14ac:dyDescent="0.3">
      <c r="B307" s="383" t="s">
        <v>1160</v>
      </c>
      <c r="C307" s="379" t="s">
        <v>1161</v>
      </c>
      <c r="D307" s="384">
        <v>35.146100000000004</v>
      </c>
      <c r="E307" s="385">
        <v>13.569979502200002</v>
      </c>
      <c r="F307" s="385">
        <v>124900</v>
      </c>
      <c r="G307" s="385">
        <v>9204.1406532523397</v>
      </c>
      <c r="H307" s="385">
        <v>299810</v>
      </c>
      <c r="I307" s="385">
        <v>22093.622171750074</v>
      </c>
      <c r="J307" s="386">
        <v>2.400400320256205</v>
      </c>
      <c r="K307" s="353" t="str">
        <f>IF(COUNTIF('6.6 - Lists and lookups'!$D$9:$L$72,C307)=1,"IN LIST","CHECK")</f>
        <v>IN LIST</v>
      </c>
    </row>
    <row r="308" spans="2:11" s="153" customFormat="1" ht="13" x14ac:dyDescent="0.3">
      <c r="B308" s="383" t="s">
        <v>1162</v>
      </c>
      <c r="C308" s="379" t="s">
        <v>1163</v>
      </c>
      <c r="D308" s="384">
        <v>37.624099999999999</v>
      </c>
      <c r="E308" s="385">
        <v>14.5267402582</v>
      </c>
      <c r="F308" s="385">
        <v>78500</v>
      </c>
      <c r="G308" s="385">
        <v>5403.8276037660007</v>
      </c>
      <c r="H308" s="385">
        <v>215324</v>
      </c>
      <c r="I308" s="385">
        <v>14822.595859277839</v>
      </c>
      <c r="J308" s="386">
        <v>2.7429808917197454</v>
      </c>
      <c r="K308" s="353" t="str">
        <f>IF(COUNTIF('6.6 - Lists and lookups'!$D$9:$L$72,C308)=1,"IN LIST","CHECK")</f>
        <v>IN LIST</v>
      </c>
    </row>
    <row r="309" spans="2:11" s="153" customFormat="1" ht="13" x14ac:dyDescent="0.3">
      <c r="B309" s="383" t="s">
        <v>1164</v>
      </c>
      <c r="C309" s="379" t="s">
        <v>1165</v>
      </c>
      <c r="D309" s="384">
        <v>36.195900000000002</v>
      </c>
      <c r="E309" s="385">
        <v>13.975309381800001</v>
      </c>
      <c r="F309" s="385">
        <v>128900</v>
      </c>
      <c r="G309" s="385">
        <v>9223.4094057242164</v>
      </c>
      <c r="H309" s="385">
        <v>350626</v>
      </c>
      <c r="I309" s="385">
        <v>25088.961569367406</v>
      </c>
      <c r="J309" s="386">
        <v>2.7201396431342126</v>
      </c>
      <c r="K309" s="353" t="str">
        <f>IF(COUNTIF('6.6 - Lists and lookups'!$D$9:$L$72,C309)=1,"IN LIST","CHECK")</f>
        <v>IN LIST</v>
      </c>
    </row>
    <row r="310" spans="2:11" s="153" customFormat="1" ht="13" x14ac:dyDescent="0.3">
      <c r="B310" s="383" t="s">
        <v>1166</v>
      </c>
      <c r="C310" s="379" t="s">
        <v>1167</v>
      </c>
      <c r="D310" s="384">
        <v>56.397399999999998</v>
      </c>
      <c r="E310" s="385">
        <v>21.775148934800001</v>
      </c>
      <c r="F310" s="385">
        <v>106300</v>
      </c>
      <c r="G310" s="385">
        <v>4881.7117310328213</v>
      </c>
      <c r="H310" s="385">
        <v>309836</v>
      </c>
      <c r="I310" s="385">
        <v>14228.88086449939</v>
      </c>
      <c r="J310" s="386">
        <v>2.9147318908748825</v>
      </c>
      <c r="K310" s="353" t="str">
        <f>IF(COUNTIF('6.6 - Lists and lookups'!$D$9:$L$72,C310)=1,"IN LIST","CHECK")</f>
        <v>IN LIST</v>
      </c>
    </row>
    <row r="311" spans="2:11" s="153" customFormat="1" ht="13" x14ac:dyDescent="0.3">
      <c r="B311" s="383" t="s">
        <v>1168</v>
      </c>
      <c r="C311" s="379" t="s">
        <v>1169</v>
      </c>
      <c r="D311" s="384">
        <v>57.392600000000002</v>
      </c>
      <c r="E311" s="385">
        <v>22.159397645200002</v>
      </c>
      <c r="F311" s="385">
        <v>77700</v>
      </c>
      <c r="G311" s="385">
        <v>3506.4130011147108</v>
      </c>
      <c r="H311" s="385">
        <v>195232</v>
      </c>
      <c r="I311" s="385">
        <v>8810.3477867905694</v>
      </c>
      <c r="J311" s="386">
        <v>2.5126383526383527</v>
      </c>
      <c r="K311" s="353" t="str">
        <f>IF(COUNTIF('6.6 - Lists and lookups'!$D$9:$L$72,C311)=1,"IN LIST","CHECK")</f>
        <v>IN LIST</v>
      </c>
    </row>
    <row r="312" spans="2:11" s="153" customFormat="1" ht="13" x14ac:dyDescent="0.3">
      <c r="B312" s="383" t="s">
        <v>1170</v>
      </c>
      <c r="C312" s="379" t="s">
        <v>1171</v>
      </c>
      <c r="D312" s="384">
        <v>28.877700000000001</v>
      </c>
      <c r="E312" s="385">
        <v>11.1497377254</v>
      </c>
      <c r="F312" s="385">
        <v>129900</v>
      </c>
      <c r="G312" s="385">
        <v>11650.498262759791</v>
      </c>
      <c r="H312" s="385">
        <v>306374</v>
      </c>
      <c r="I312" s="385">
        <v>27478.135140529394</v>
      </c>
      <c r="J312" s="386">
        <v>2.358537336412625</v>
      </c>
      <c r="K312" s="353" t="str">
        <f>IF(COUNTIF('6.6 - Lists and lookups'!$D$9:$L$72,C312)=1,"IN LIST","CHECK")</f>
        <v>IN LIST</v>
      </c>
    </row>
    <row r="313" spans="2:11" s="153" customFormat="1" ht="13" x14ac:dyDescent="0.3">
      <c r="B313" s="383" t="s">
        <v>1172</v>
      </c>
      <c r="C313" s="379" t="s">
        <v>1173</v>
      </c>
      <c r="D313" s="384">
        <v>43.847700000000003</v>
      </c>
      <c r="E313" s="385">
        <v>16.9296846654</v>
      </c>
      <c r="F313" s="385">
        <v>79200</v>
      </c>
      <c r="G313" s="385">
        <v>4678.1733721163037</v>
      </c>
      <c r="H313" s="385">
        <v>209517</v>
      </c>
      <c r="I313" s="385">
        <v>12375.717808152673</v>
      </c>
      <c r="J313" s="386">
        <v>2.6454166666666667</v>
      </c>
      <c r="K313" s="353" t="str">
        <f>IF(COUNTIF('6.6 - Lists and lookups'!$D$9:$L$72,C313)=1,"IN LIST","CHECK")</f>
        <v>IN LIST</v>
      </c>
    </row>
    <row r="314" spans="2:11" s="153" customFormat="1" ht="13" x14ac:dyDescent="0.3">
      <c r="B314" s="383" t="s">
        <v>1174</v>
      </c>
      <c r="C314" s="379" t="s">
        <v>1175</v>
      </c>
      <c r="D314" s="384">
        <v>19.771000000000001</v>
      </c>
      <c r="E314" s="385">
        <v>7.6336226420000006</v>
      </c>
      <c r="F314" s="385">
        <v>126500</v>
      </c>
      <c r="G314" s="385">
        <v>16571.424333186209</v>
      </c>
      <c r="H314" s="385">
        <v>312273</v>
      </c>
      <c r="I314" s="385">
        <v>40907.576211834443</v>
      </c>
      <c r="J314" s="386">
        <v>2.4685612648221342</v>
      </c>
      <c r="K314" s="353" t="str">
        <f>IF(COUNTIF('6.6 - Lists and lookups'!$D$9:$L$72,C314)=1,"IN LIST","CHECK")</f>
        <v>IN LIST</v>
      </c>
    </row>
    <row r="315" spans="2:11" s="153" customFormat="1" ht="13" x14ac:dyDescent="0.3">
      <c r="B315" s="383" t="s">
        <v>1176</v>
      </c>
      <c r="C315" s="379" t="s">
        <v>1177</v>
      </c>
      <c r="D315" s="384">
        <v>38.810200000000002</v>
      </c>
      <c r="E315" s="385">
        <v>14.984695840400001</v>
      </c>
      <c r="F315" s="385">
        <v>108800</v>
      </c>
      <c r="G315" s="385">
        <v>7260.7413029142735</v>
      </c>
      <c r="H315" s="385">
        <v>278050</v>
      </c>
      <c r="I315" s="385">
        <v>18555.598522751046</v>
      </c>
      <c r="J315" s="386">
        <v>2.5556066176470589</v>
      </c>
      <c r="K315" s="353" t="str">
        <f>IF(COUNTIF('6.6 - Lists and lookups'!$D$9:$L$72,C315)=1,"IN LIST","CHECK")</f>
        <v>IN LIST</v>
      </c>
    </row>
    <row r="316" spans="2:11" s="153" customFormat="1" ht="13" x14ac:dyDescent="0.3">
      <c r="B316" s="383" t="s">
        <v>1178</v>
      </c>
      <c r="C316" s="387" t="s">
        <v>1179</v>
      </c>
      <c r="D316" s="388">
        <v>34.261899999999997</v>
      </c>
      <c r="E316" s="385">
        <v>13.228588113799999</v>
      </c>
      <c r="F316" s="385">
        <v>134100</v>
      </c>
      <c r="G316" s="385">
        <v>10137.136242083729</v>
      </c>
      <c r="H316" s="385">
        <v>328367</v>
      </c>
      <c r="I316" s="385">
        <v>24822.528086534734</v>
      </c>
      <c r="J316" s="386">
        <v>2.4486726323639076</v>
      </c>
      <c r="K316" s="353" t="str">
        <f>IF(COUNTIF('6.6 - Lists and lookups'!$D$9:$L$72,C316)=1,"IN LIST","CHECK")</f>
        <v>IN LIST</v>
      </c>
    </row>
    <row r="317" spans="2:11" s="153" customFormat="1" ht="13.5" thickBot="1" x14ac:dyDescent="0.35">
      <c r="B317" s="389" t="s">
        <v>1180</v>
      </c>
      <c r="C317" s="390" t="s">
        <v>1181</v>
      </c>
      <c r="D317" s="391">
        <v>21.482600000000001</v>
      </c>
      <c r="E317" s="392">
        <v>8.2944748252</v>
      </c>
      <c r="F317" s="392">
        <v>117200</v>
      </c>
      <c r="G317" s="392">
        <v>14129.887963964497</v>
      </c>
      <c r="H317" s="392">
        <v>205087</v>
      </c>
      <c r="I317" s="392">
        <v>24725.736628545961</v>
      </c>
      <c r="J317" s="393">
        <v>1.7498890784982934</v>
      </c>
      <c r="K317" s="355" t="str">
        <f>IF(COUNTIF('6.6 - Lists and lookups'!$D$9:$L$72,C317)=1,"IN LIST","CHECK")</f>
        <v>IN LIST</v>
      </c>
    </row>
    <row r="318" spans="2:11" x14ac:dyDescent="0.35">
      <c r="F318" s="129"/>
      <c r="G318" s="346"/>
      <c r="H318" s="129"/>
      <c r="I318" s="346"/>
    </row>
    <row r="319" spans="2:11" x14ac:dyDescent="0.35">
      <c r="F319" s="129"/>
      <c r="G319" s="346"/>
      <c r="H319" s="129"/>
      <c r="I319" s="346"/>
    </row>
    <row r="320" spans="2:11" x14ac:dyDescent="0.35">
      <c r="F320" s="129"/>
      <c r="G320" s="346"/>
      <c r="H320" s="129"/>
      <c r="I320" s="346"/>
    </row>
    <row r="321" spans="6:9" x14ac:dyDescent="0.35">
      <c r="F321" s="129"/>
      <c r="G321" s="346"/>
      <c r="H321" s="129"/>
      <c r="I321" s="346"/>
    </row>
    <row r="322" spans="6:9" x14ac:dyDescent="0.35">
      <c r="F322" s="129"/>
      <c r="G322" s="346"/>
      <c r="H322" s="129"/>
      <c r="I322" s="346"/>
    </row>
    <row r="323" spans="6:9" x14ac:dyDescent="0.35">
      <c r="F323" s="129"/>
      <c r="G323" s="346"/>
      <c r="H323" s="129"/>
      <c r="I323" s="346"/>
    </row>
  </sheetData>
  <sheetProtection algorithmName="SHA-512" hashValue="uch34WrpHihRB4cj5LGPJUfNW3GhM+EisTG8OLBMNMJVEF+KVXiAQxRIptxUMWicZbAhMPbqAhA904f7SLGb2A==" saltValue="6qKEj+vAXzGez1H/khwbRQ==" spinCount="100000" sheet="1" formatRows="0"/>
  <mergeCells count="2">
    <mergeCell ref="H2:I2"/>
    <mergeCell ref="B6:J6"/>
  </mergeCells>
  <phoneticPr fontId="10" type="noConversion"/>
  <hyperlinks>
    <hyperlink ref="H2" location="Welcome!A1" display="CLICK to return to Welcome screen" xr:uid="{29EB9135-6732-49B2-A295-BB078D88B8DC}"/>
  </hyperlinks>
  <pageMargins left="0.7" right="0.7" top="0.75" bottom="0.75" header="0.3" footer="0.3"/>
  <pageSetup orientation="portrait" r:id="rId1"/>
  <headerFooter>
    <oddFooter xml:space="preserve">&amp;C_x000D_&amp;1#&amp;"Calibri"&amp;12&amp;K0078D7 OFFICIAL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49791-6762-4F8D-94D4-DEF55CE90478}">
  <sheetPr codeName="Sheet26">
    <tabColor theme="9"/>
  </sheetPr>
  <dimension ref="A1:DC80"/>
  <sheetViews>
    <sheetView showGridLines="0" workbookViewId="0"/>
  </sheetViews>
  <sheetFormatPr defaultColWidth="9.1796875" defaultRowHeight="14.5" x14ac:dyDescent="0.35"/>
  <cols>
    <col min="2" max="2" width="33" customWidth="1"/>
    <col min="3" max="11" width="22.1796875" customWidth="1"/>
    <col min="12" max="12" width="20.54296875" customWidth="1"/>
    <col min="13" max="77" width="14.54296875" bestFit="1" customWidth="1"/>
  </cols>
  <sheetData>
    <row r="1" spans="1:107" ht="2.5" customHeight="1" x14ac:dyDescent="0.35"/>
    <row r="2" spans="1:107" s="106" customFormat="1" ht="18.5" x14ac:dyDescent="0.45">
      <c r="A2" s="288"/>
      <c r="B2" s="289" t="s">
        <v>1192</v>
      </c>
      <c r="C2" s="289"/>
      <c r="D2" s="289"/>
      <c r="E2" s="288"/>
      <c r="F2" s="288"/>
      <c r="G2" s="288"/>
      <c r="H2" s="288"/>
      <c r="I2" s="725" t="s">
        <v>59</v>
      </c>
      <c r="J2" s="725"/>
      <c r="K2" s="725"/>
      <c r="L2" s="725"/>
      <c r="M2" s="725"/>
      <c r="N2" s="725"/>
      <c r="O2" s="725"/>
      <c r="P2" s="725"/>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row>
    <row r="3" spans="1:107" s="78" customFormat="1" ht="3" customHeight="1" x14ac:dyDescent="0.3">
      <c r="B3" s="79"/>
      <c r="C3" s="79"/>
      <c r="D3" s="79"/>
    </row>
    <row r="4" spans="1:107" s="106" customFormat="1" ht="13" x14ac:dyDescent="0.3">
      <c r="A4" s="290"/>
      <c r="B4" s="291" t="s">
        <v>1193</v>
      </c>
      <c r="C4" s="291"/>
      <c r="D4" s="291"/>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row>
    <row r="5" spans="1:107" s="106" customFormat="1" ht="13" x14ac:dyDescent="0.3">
      <c r="B5" s="347"/>
      <c r="C5" s="202"/>
      <c r="D5" s="202"/>
    </row>
    <row r="6" spans="1:107" x14ac:dyDescent="0.35">
      <c r="D6" s="81" t="s">
        <v>1194</v>
      </c>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107" ht="15" thickBot="1" x14ac:dyDescent="0.4">
      <c r="B7" s="394" t="s">
        <v>1195</v>
      </c>
      <c r="D7" s="394" t="s">
        <v>1196</v>
      </c>
      <c r="E7" s="394" t="s">
        <v>1197</v>
      </c>
      <c r="F7" s="394" t="s">
        <v>1198</v>
      </c>
      <c r="G7" s="394" t="s">
        <v>1199</v>
      </c>
      <c r="H7" s="394" t="s">
        <v>1200</v>
      </c>
      <c r="I7" s="394" t="s">
        <v>1201</v>
      </c>
      <c r="J7" s="394" t="s">
        <v>51</v>
      </c>
      <c r="K7" s="394" t="s">
        <v>1202</v>
      </c>
      <c r="L7" s="394" t="s">
        <v>1203</v>
      </c>
      <c r="M7" s="153"/>
      <c r="N7" s="153"/>
      <c r="O7" s="153"/>
      <c r="P7" s="153"/>
      <c r="Q7" s="153"/>
      <c r="R7" s="153"/>
      <c r="S7" s="153"/>
      <c r="T7" s="153"/>
      <c r="U7" s="153"/>
      <c r="V7" s="153"/>
      <c r="W7" s="153"/>
      <c r="X7" s="153"/>
      <c r="Y7" s="153"/>
      <c r="Z7" s="153"/>
      <c r="AA7" s="153"/>
      <c r="AB7" s="153"/>
      <c r="AC7" s="153"/>
      <c r="AD7" s="153"/>
      <c r="AE7" s="153"/>
      <c r="AF7" s="153"/>
    </row>
    <row r="8" spans="1:107" x14ac:dyDescent="0.35">
      <c r="B8" s="191" t="s">
        <v>1196</v>
      </c>
      <c r="D8" s="81" t="s">
        <v>1204</v>
      </c>
      <c r="E8" s="81" t="s">
        <v>1205</v>
      </c>
      <c r="F8" s="81" t="s">
        <v>1206</v>
      </c>
      <c r="G8" s="81" t="s">
        <v>1207</v>
      </c>
      <c r="H8" s="81" t="s">
        <v>1208</v>
      </c>
      <c r="I8" s="81" t="s">
        <v>1209</v>
      </c>
      <c r="J8" s="81" t="s">
        <v>1210</v>
      </c>
      <c r="K8" s="81" t="s">
        <v>1211</v>
      </c>
      <c r="L8" s="81" t="s">
        <v>1212</v>
      </c>
      <c r="M8" s="153"/>
      <c r="N8" s="153"/>
      <c r="O8" s="153"/>
      <c r="P8" s="153"/>
      <c r="Q8" s="153"/>
      <c r="R8" s="153"/>
      <c r="S8" s="153"/>
      <c r="T8" s="153"/>
      <c r="U8" s="153"/>
      <c r="V8" s="153"/>
      <c r="W8" s="153"/>
      <c r="X8" s="153"/>
      <c r="Y8" s="153"/>
      <c r="Z8" s="153"/>
      <c r="AA8" s="153"/>
      <c r="AB8" s="153"/>
      <c r="AC8" s="153"/>
      <c r="AD8" s="153"/>
      <c r="AE8" s="153"/>
      <c r="AF8" s="153"/>
    </row>
    <row r="9" spans="1:107" x14ac:dyDescent="0.35">
      <c r="B9" s="191" t="s">
        <v>1197</v>
      </c>
      <c r="D9" s="191" t="s">
        <v>564</v>
      </c>
      <c r="E9" s="191" t="s">
        <v>574</v>
      </c>
      <c r="F9" s="191" t="s">
        <v>582</v>
      </c>
      <c r="G9" s="191" t="s">
        <v>592</v>
      </c>
      <c r="H9" s="191" t="s">
        <v>600</v>
      </c>
      <c r="I9" s="191" t="s">
        <v>620</v>
      </c>
      <c r="J9" s="191" t="s">
        <v>1117</v>
      </c>
      <c r="K9" s="191" t="s">
        <v>628</v>
      </c>
      <c r="L9" s="191" t="s">
        <v>606</v>
      </c>
      <c r="M9" s="153"/>
      <c r="N9" s="153"/>
      <c r="O9" s="153"/>
      <c r="P9" s="153"/>
      <c r="Q9" s="153"/>
      <c r="R9" s="153"/>
      <c r="S9" s="153"/>
      <c r="T9" s="153"/>
      <c r="U9" s="153"/>
      <c r="V9" s="153"/>
      <c r="W9" s="153"/>
      <c r="X9" s="153"/>
      <c r="Y9" s="153"/>
      <c r="Z9" s="153"/>
      <c r="AA9" s="153"/>
      <c r="AB9" s="153"/>
      <c r="AC9" s="153"/>
      <c r="AD9" s="153"/>
      <c r="AE9" s="153"/>
      <c r="AF9" s="153"/>
    </row>
    <row r="10" spans="1:107" x14ac:dyDescent="0.35">
      <c r="B10" s="191" t="s">
        <v>1198</v>
      </c>
      <c r="D10" s="191" t="s">
        <v>566</v>
      </c>
      <c r="E10" s="191" t="s">
        <v>576</v>
      </c>
      <c r="F10" s="191" t="s">
        <v>584</v>
      </c>
      <c r="G10" s="191" t="s">
        <v>594</v>
      </c>
      <c r="H10" s="191" t="s">
        <v>602</v>
      </c>
      <c r="I10" s="191" t="s">
        <v>622</v>
      </c>
      <c r="J10" s="191" t="s">
        <v>1119</v>
      </c>
      <c r="K10" s="191" t="s">
        <v>630</v>
      </c>
      <c r="L10" s="191" t="s">
        <v>608</v>
      </c>
    </row>
    <row r="11" spans="1:107" x14ac:dyDescent="0.35">
      <c r="B11" s="191" t="s">
        <v>1199</v>
      </c>
      <c r="D11" s="191" t="s">
        <v>568</v>
      </c>
      <c r="E11" s="191" t="s">
        <v>578</v>
      </c>
      <c r="F11" s="191" t="s">
        <v>586</v>
      </c>
      <c r="G11" s="191" t="s">
        <v>596</v>
      </c>
      <c r="H11" s="191" t="s">
        <v>604</v>
      </c>
      <c r="I11" s="191" t="s">
        <v>624</v>
      </c>
      <c r="J11" s="191" t="s">
        <v>1121</v>
      </c>
      <c r="K11" s="191" t="s">
        <v>632</v>
      </c>
      <c r="L11" s="191" t="s">
        <v>610</v>
      </c>
    </row>
    <row r="12" spans="1:107" x14ac:dyDescent="0.35">
      <c r="B12" s="191" t="s">
        <v>1200</v>
      </c>
      <c r="D12" s="191" t="s">
        <v>570</v>
      </c>
      <c r="E12" s="191" t="s">
        <v>580</v>
      </c>
      <c r="F12" s="191" t="s">
        <v>588</v>
      </c>
      <c r="G12" s="191" t="s">
        <v>598</v>
      </c>
      <c r="H12" s="191" t="s">
        <v>658</v>
      </c>
      <c r="I12" s="191" t="s">
        <v>626</v>
      </c>
      <c r="J12" s="191" t="s">
        <v>1123</v>
      </c>
      <c r="K12" s="191" t="s">
        <v>634</v>
      </c>
      <c r="L12" s="191" t="s">
        <v>612</v>
      </c>
    </row>
    <row r="13" spans="1:107" x14ac:dyDescent="0.35">
      <c r="B13" s="191" t="s">
        <v>1201</v>
      </c>
      <c r="D13" s="191" t="s">
        <v>572</v>
      </c>
      <c r="E13" s="191" t="s">
        <v>654</v>
      </c>
      <c r="F13" s="191" t="s">
        <v>590</v>
      </c>
      <c r="G13" s="191" t="s">
        <v>679</v>
      </c>
      <c r="H13" s="191" t="s">
        <v>951</v>
      </c>
      <c r="I13" s="191" t="s">
        <v>666</v>
      </c>
      <c r="J13" s="191" t="s">
        <v>1125</v>
      </c>
      <c r="K13" s="191" t="s">
        <v>636</v>
      </c>
      <c r="L13" s="191" t="s">
        <v>614</v>
      </c>
    </row>
    <row r="14" spans="1:107" x14ac:dyDescent="0.35">
      <c r="B14" s="191" t="s">
        <v>51</v>
      </c>
      <c r="D14" s="191" t="s">
        <v>652</v>
      </c>
      <c r="E14" s="191" t="s">
        <v>656</v>
      </c>
      <c r="F14" s="191" t="s">
        <v>907</v>
      </c>
      <c r="G14" s="191" t="s">
        <v>681</v>
      </c>
      <c r="H14" s="191" t="s">
        <v>953</v>
      </c>
      <c r="I14" s="191" t="s">
        <v>668</v>
      </c>
      <c r="J14" s="191" t="s">
        <v>1127</v>
      </c>
      <c r="K14" s="191" t="s">
        <v>638</v>
      </c>
      <c r="L14" s="191" t="s">
        <v>616</v>
      </c>
    </row>
    <row r="15" spans="1:107" x14ac:dyDescent="0.35">
      <c r="B15" s="191" t="s">
        <v>1202</v>
      </c>
      <c r="D15" s="191" t="s">
        <v>670</v>
      </c>
      <c r="E15" s="191" t="s">
        <v>693</v>
      </c>
      <c r="F15" s="191" t="s">
        <v>909</v>
      </c>
      <c r="G15" s="191" t="s">
        <v>705</v>
      </c>
      <c r="H15" s="191" t="s">
        <v>955</v>
      </c>
      <c r="I15" s="191" t="s">
        <v>683</v>
      </c>
      <c r="J15" s="191" t="s">
        <v>1129</v>
      </c>
      <c r="K15" s="191" t="s">
        <v>640</v>
      </c>
      <c r="L15" s="191" t="s">
        <v>618</v>
      </c>
    </row>
    <row r="16" spans="1:107" x14ac:dyDescent="0.35">
      <c r="B16" s="191" t="s">
        <v>1203</v>
      </c>
      <c r="D16" s="191" t="s">
        <v>1083</v>
      </c>
      <c r="E16" s="191" t="s">
        <v>695</v>
      </c>
      <c r="F16" s="191" t="s">
        <v>911</v>
      </c>
      <c r="G16" s="191" t="s">
        <v>707</v>
      </c>
      <c r="H16" s="191" t="s">
        <v>957</v>
      </c>
      <c r="I16" s="191" t="s">
        <v>685</v>
      </c>
      <c r="J16" s="191" t="s">
        <v>1131</v>
      </c>
      <c r="K16" s="191" t="s">
        <v>642</v>
      </c>
      <c r="L16" s="191" t="s">
        <v>660</v>
      </c>
    </row>
    <row r="17" spans="4:12" x14ac:dyDescent="0.35">
      <c r="D17" s="191" t="s">
        <v>1085</v>
      </c>
      <c r="E17" s="191" t="s">
        <v>697</v>
      </c>
      <c r="F17" s="191" t="s">
        <v>913</v>
      </c>
      <c r="G17" s="191" t="s">
        <v>709</v>
      </c>
      <c r="H17" s="191" t="s">
        <v>959</v>
      </c>
      <c r="I17" s="191" t="s">
        <v>687</v>
      </c>
      <c r="J17" s="191" t="s">
        <v>1133</v>
      </c>
      <c r="K17" s="191" t="s">
        <v>644</v>
      </c>
      <c r="L17" s="191" t="s">
        <v>662</v>
      </c>
    </row>
    <row r="18" spans="4:12" x14ac:dyDescent="0.35">
      <c r="D18" s="191" t="s">
        <v>1087</v>
      </c>
      <c r="E18" s="191" t="s">
        <v>699</v>
      </c>
      <c r="F18" s="191" t="s">
        <v>915</v>
      </c>
      <c r="G18" s="191" t="s">
        <v>711</v>
      </c>
      <c r="H18" s="191" t="s">
        <v>961</v>
      </c>
      <c r="I18" s="191" t="s">
        <v>689</v>
      </c>
      <c r="J18" s="191" t="s">
        <v>1135</v>
      </c>
      <c r="K18" s="191" t="s">
        <v>646</v>
      </c>
      <c r="L18" s="191" t="s">
        <v>664</v>
      </c>
    </row>
    <row r="19" spans="4:12" x14ac:dyDescent="0.35">
      <c r="D19" s="191" t="s">
        <v>1089</v>
      </c>
      <c r="E19" s="191" t="s">
        <v>701</v>
      </c>
      <c r="F19" s="191" t="s">
        <v>917</v>
      </c>
      <c r="G19" s="191" t="s">
        <v>713</v>
      </c>
      <c r="H19" s="191" t="s">
        <v>963</v>
      </c>
      <c r="I19" s="191" t="s">
        <v>691</v>
      </c>
      <c r="J19" s="191" t="s">
        <v>1137</v>
      </c>
      <c r="K19" s="191" t="s">
        <v>648</v>
      </c>
      <c r="L19" s="191" t="s">
        <v>672</v>
      </c>
    </row>
    <row r="20" spans="4:12" x14ac:dyDescent="0.35">
      <c r="D20" s="191" t="s">
        <v>1115</v>
      </c>
      <c r="E20" s="191" t="s">
        <v>703</v>
      </c>
      <c r="F20" s="191" t="s">
        <v>919</v>
      </c>
      <c r="G20" s="191" t="s">
        <v>715</v>
      </c>
      <c r="H20" s="191" t="s">
        <v>965</v>
      </c>
      <c r="I20" s="191" t="s">
        <v>747</v>
      </c>
      <c r="J20" s="191" t="s">
        <v>1139</v>
      </c>
      <c r="K20" s="191" t="s">
        <v>650</v>
      </c>
      <c r="L20" s="191" t="s">
        <v>674</v>
      </c>
    </row>
    <row r="21" spans="4:12" x14ac:dyDescent="0.35">
      <c r="D21" s="82"/>
      <c r="E21" s="191" t="s">
        <v>841</v>
      </c>
      <c r="F21" s="191" t="s">
        <v>1075</v>
      </c>
      <c r="G21" s="191" t="s">
        <v>717</v>
      </c>
      <c r="H21" s="191" t="s">
        <v>995</v>
      </c>
      <c r="I21" s="191" t="s">
        <v>749</v>
      </c>
      <c r="J21" s="191" t="s">
        <v>1141</v>
      </c>
      <c r="K21" s="191" t="s">
        <v>676</v>
      </c>
      <c r="L21" s="191" t="s">
        <v>721</v>
      </c>
    </row>
    <row r="22" spans="4:12" x14ac:dyDescent="0.35">
      <c r="D22" s="82"/>
      <c r="E22" s="191" t="s">
        <v>843</v>
      </c>
      <c r="F22" s="191" t="s">
        <v>1077</v>
      </c>
      <c r="G22" s="191" t="s">
        <v>719</v>
      </c>
      <c r="H22" s="191" t="s">
        <v>997</v>
      </c>
      <c r="I22" s="191" t="s">
        <v>751</v>
      </c>
      <c r="J22" s="191" t="s">
        <v>1143</v>
      </c>
      <c r="K22" s="191" t="s">
        <v>737</v>
      </c>
      <c r="L22" s="191" t="s">
        <v>723</v>
      </c>
    </row>
    <row r="23" spans="4:12" x14ac:dyDescent="0.35">
      <c r="D23" s="82"/>
      <c r="E23" s="191" t="s">
        <v>845</v>
      </c>
      <c r="F23" s="191" t="s">
        <v>1079</v>
      </c>
      <c r="G23" s="191" t="s">
        <v>865</v>
      </c>
      <c r="H23" s="191" t="s">
        <v>999</v>
      </c>
      <c r="I23" s="191" t="s">
        <v>753</v>
      </c>
      <c r="J23" s="191" t="s">
        <v>1145</v>
      </c>
      <c r="K23" s="191" t="s">
        <v>739</v>
      </c>
      <c r="L23" s="191" t="s">
        <v>725</v>
      </c>
    </row>
    <row r="24" spans="4:12" x14ac:dyDescent="0.35">
      <c r="D24" s="82"/>
      <c r="E24" s="191" t="s">
        <v>847</v>
      </c>
      <c r="F24" s="191" t="s">
        <v>1081</v>
      </c>
      <c r="G24" s="191" t="s">
        <v>867</v>
      </c>
      <c r="H24" s="191" t="s">
        <v>1001</v>
      </c>
      <c r="I24" s="191" t="s">
        <v>755</v>
      </c>
      <c r="J24" s="191" t="s">
        <v>1147</v>
      </c>
      <c r="K24" s="191" t="s">
        <v>741</v>
      </c>
      <c r="L24" s="191" t="s">
        <v>727</v>
      </c>
    </row>
    <row r="25" spans="4:12" x14ac:dyDescent="0.35">
      <c r="D25" s="82"/>
      <c r="E25" s="191" t="s">
        <v>849</v>
      </c>
      <c r="F25" s="191" t="s">
        <v>1105</v>
      </c>
      <c r="G25" s="191" t="s">
        <v>869</v>
      </c>
      <c r="H25" s="191" t="s">
        <v>1003</v>
      </c>
      <c r="I25" s="191" t="s">
        <v>757</v>
      </c>
      <c r="J25" s="191" t="s">
        <v>1149</v>
      </c>
      <c r="K25" s="191" t="s">
        <v>743</v>
      </c>
      <c r="L25" s="191" t="s">
        <v>729</v>
      </c>
    </row>
    <row r="26" spans="4:12" x14ac:dyDescent="0.35">
      <c r="D26" s="82"/>
      <c r="E26" s="191" t="s">
        <v>851</v>
      </c>
      <c r="F26" s="191" t="s">
        <v>1107</v>
      </c>
      <c r="G26" s="191" t="s">
        <v>871</v>
      </c>
      <c r="H26" s="191" t="s">
        <v>1019</v>
      </c>
      <c r="I26" s="191" t="s">
        <v>759</v>
      </c>
      <c r="J26" s="191" t="s">
        <v>1151</v>
      </c>
      <c r="K26" s="191" t="s">
        <v>745</v>
      </c>
      <c r="L26" s="191" t="s">
        <v>731</v>
      </c>
    </row>
    <row r="27" spans="4:12" x14ac:dyDescent="0.35">
      <c r="D27" s="82"/>
      <c r="E27" s="191" t="s">
        <v>853</v>
      </c>
      <c r="F27" s="191" t="s">
        <v>1109</v>
      </c>
      <c r="G27" s="191" t="s">
        <v>873</v>
      </c>
      <c r="H27" s="191" t="s">
        <v>1021</v>
      </c>
      <c r="I27" s="191" t="s">
        <v>761</v>
      </c>
      <c r="J27" s="191" t="s">
        <v>1153</v>
      </c>
      <c r="K27" s="191" t="s">
        <v>783</v>
      </c>
      <c r="L27" s="191" t="s">
        <v>733</v>
      </c>
    </row>
    <row r="28" spans="4:12" x14ac:dyDescent="0.35">
      <c r="D28" s="82"/>
      <c r="E28" s="191" t="s">
        <v>855</v>
      </c>
      <c r="F28" s="191" t="s">
        <v>1111</v>
      </c>
      <c r="G28" s="191" t="s">
        <v>875</v>
      </c>
      <c r="H28" s="191" t="s">
        <v>1023</v>
      </c>
      <c r="I28" s="191" t="s">
        <v>763</v>
      </c>
      <c r="J28" s="191" t="s">
        <v>1155</v>
      </c>
      <c r="K28" s="191" t="s">
        <v>785</v>
      </c>
      <c r="L28" s="191" t="s">
        <v>735</v>
      </c>
    </row>
    <row r="29" spans="4:12" x14ac:dyDescent="0.35">
      <c r="D29" s="82"/>
      <c r="E29" s="191" t="s">
        <v>857</v>
      </c>
      <c r="F29" s="191" t="s">
        <v>1113</v>
      </c>
      <c r="G29" s="191" t="s">
        <v>877</v>
      </c>
      <c r="H29" s="191" t="s">
        <v>1025</v>
      </c>
      <c r="I29" s="191" t="s">
        <v>765</v>
      </c>
      <c r="J29" s="191" t="s">
        <v>1157</v>
      </c>
      <c r="K29" s="191" t="s">
        <v>787</v>
      </c>
      <c r="L29" s="191" t="s">
        <v>771</v>
      </c>
    </row>
    <row r="30" spans="4:12" x14ac:dyDescent="0.35">
      <c r="D30" s="82"/>
      <c r="E30" s="191" t="s">
        <v>859</v>
      </c>
      <c r="F30" s="82"/>
      <c r="G30" s="191" t="s">
        <v>879</v>
      </c>
      <c r="H30" s="191" t="s">
        <v>1027</v>
      </c>
      <c r="I30" s="191" t="s">
        <v>767</v>
      </c>
      <c r="J30" s="191" t="s">
        <v>1159</v>
      </c>
      <c r="K30" s="191" t="s">
        <v>789</v>
      </c>
      <c r="L30" s="191" t="s">
        <v>773</v>
      </c>
    </row>
    <row r="31" spans="4:12" x14ac:dyDescent="0.35">
      <c r="D31" s="82"/>
      <c r="E31" s="191" t="s">
        <v>861</v>
      </c>
      <c r="F31" s="82"/>
      <c r="G31" s="191" t="s">
        <v>881</v>
      </c>
      <c r="H31" s="191" t="s">
        <v>1029</v>
      </c>
      <c r="I31" s="191" t="s">
        <v>769</v>
      </c>
      <c r="J31" s="191" t="s">
        <v>1161</v>
      </c>
      <c r="K31" s="191" t="s">
        <v>791</v>
      </c>
      <c r="L31" s="191" t="s">
        <v>775</v>
      </c>
    </row>
    <row r="32" spans="4:12" x14ac:dyDescent="0.35">
      <c r="D32" s="82"/>
      <c r="E32" s="191" t="s">
        <v>863</v>
      </c>
      <c r="F32" s="82"/>
      <c r="G32" s="191" t="s">
        <v>883</v>
      </c>
      <c r="H32" s="191" t="s">
        <v>1091</v>
      </c>
      <c r="I32" s="191" t="s">
        <v>805</v>
      </c>
      <c r="J32" s="191" t="s">
        <v>1163</v>
      </c>
      <c r="K32" s="191" t="s">
        <v>793</v>
      </c>
      <c r="L32" s="191" t="s">
        <v>777</v>
      </c>
    </row>
    <row r="33" spans="2:12" x14ac:dyDescent="0.35">
      <c r="D33" s="82"/>
      <c r="E33" s="191" t="s">
        <v>1045</v>
      </c>
      <c r="F33" s="82"/>
      <c r="G33" s="191" t="s">
        <v>885</v>
      </c>
      <c r="H33" s="191" t="s">
        <v>1093</v>
      </c>
      <c r="I33" s="191" t="s">
        <v>807</v>
      </c>
      <c r="J33" s="191" t="s">
        <v>1165</v>
      </c>
      <c r="K33" s="191" t="s">
        <v>795</v>
      </c>
      <c r="L33" s="191" t="s">
        <v>779</v>
      </c>
    </row>
    <row r="34" spans="2:12" x14ac:dyDescent="0.35">
      <c r="D34" s="82"/>
      <c r="E34" s="191" t="s">
        <v>1047</v>
      </c>
      <c r="F34" s="82"/>
      <c r="G34" s="191" t="s">
        <v>887</v>
      </c>
      <c r="H34" s="191" t="s">
        <v>1095</v>
      </c>
      <c r="I34" s="191" t="s">
        <v>809</v>
      </c>
      <c r="J34" s="191" t="s">
        <v>1167</v>
      </c>
      <c r="K34" s="191" t="s">
        <v>797</v>
      </c>
      <c r="L34" s="191" t="s">
        <v>781</v>
      </c>
    </row>
    <row r="35" spans="2:12" x14ac:dyDescent="0.35">
      <c r="D35" s="82"/>
      <c r="E35" s="191" t="s">
        <v>1049</v>
      </c>
      <c r="F35" s="82"/>
      <c r="G35" s="191" t="s">
        <v>889</v>
      </c>
      <c r="H35" s="191" t="s">
        <v>1097</v>
      </c>
      <c r="I35" s="191" t="s">
        <v>811</v>
      </c>
      <c r="J35" s="191" t="s">
        <v>1169</v>
      </c>
      <c r="K35" s="191" t="s">
        <v>799</v>
      </c>
      <c r="L35" s="191" t="s">
        <v>945</v>
      </c>
    </row>
    <row r="36" spans="2:12" x14ac:dyDescent="0.35">
      <c r="D36" s="82"/>
      <c r="E36" s="191" t="s">
        <v>1051</v>
      </c>
      <c r="F36" s="82"/>
      <c r="G36" s="191" t="s">
        <v>891</v>
      </c>
      <c r="H36" s="191" t="s">
        <v>1099</v>
      </c>
      <c r="I36" s="191" t="s">
        <v>813</v>
      </c>
      <c r="J36" s="191" t="s">
        <v>1171</v>
      </c>
      <c r="K36" s="191" t="s">
        <v>801</v>
      </c>
      <c r="L36" s="191" t="s">
        <v>947</v>
      </c>
    </row>
    <row r="37" spans="2:12" x14ac:dyDescent="0.35">
      <c r="D37" s="82"/>
      <c r="E37" s="191" t="s">
        <v>1053</v>
      </c>
      <c r="F37" s="82"/>
      <c r="G37" s="191" t="s">
        <v>921</v>
      </c>
      <c r="H37" s="191" t="s">
        <v>1101</v>
      </c>
      <c r="I37" s="191" t="s">
        <v>815</v>
      </c>
      <c r="J37" s="191" t="s">
        <v>1173</v>
      </c>
      <c r="K37" s="191" t="s">
        <v>803</v>
      </c>
      <c r="L37" s="191" t="s">
        <v>949</v>
      </c>
    </row>
    <row r="38" spans="2:12" x14ac:dyDescent="0.35">
      <c r="D38" s="82"/>
      <c r="E38" s="191" t="s">
        <v>1055</v>
      </c>
      <c r="F38" s="82"/>
      <c r="G38" s="191" t="s">
        <v>923</v>
      </c>
      <c r="H38" s="191" t="s">
        <v>1103</v>
      </c>
      <c r="I38" s="191" t="s">
        <v>893</v>
      </c>
      <c r="J38" s="191" t="s">
        <v>1175</v>
      </c>
      <c r="K38" s="191" t="s">
        <v>817</v>
      </c>
      <c r="L38" s="191" t="s">
        <v>1043</v>
      </c>
    </row>
    <row r="39" spans="2:12" x14ac:dyDescent="0.35">
      <c r="D39" s="82"/>
      <c r="E39" s="191" t="s">
        <v>1057</v>
      </c>
      <c r="F39" s="82"/>
      <c r="G39" s="191" t="s">
        <v>925</v>
      </c>
      <c r="H39" s="82"/>
      <c r="I39" s="191" t="s">
        <v>895</v>
      </c>
      <c r="J39" s="191" t="s">
        <v>1177</v>
      </c>
      <c r="K39" s="191" t="s">
        <v>819</v>
      </c>
      <c r="L39" s="82"/>
    </row>
    <row r="40" spans="2:12" x14ac:dyDescent="0.35">
      <c r="D40" s="82"/>
      <c r="E40" s="191" t="s">
        <v>1059</v>
      </c>
      <c r="F40" s="82"/>
      <c r="G40" s="191" t="s">
        <v>927</v>
      </c>
      <c r="H40" s="82"/>
      <c r="I40" s="191" t="s">
        <v>897</v>
      </c>
      <c r="J40" s="191" t="s">
        <v>1179</v>
      </c>
      <c r="K40" s="191" t="s">
        <v>821</v>
      </c>
      <c r="L40" s="82"/>
    </row>
    <row r="41" spans="2:12" ht="15" thickBot="1" x14ac:dyDescent="0.4">
      <c r="B41" s="394" t="s">
        <v>1213</v>
      </c>
      <c r="D41" s="82"/>
      <c r="E41" s="191" t="s">
        <v>1061</v>
      </c>
      <c r="F41" s="82"/>
      <c r="G41" s="191" t="s">
        <v>929</v>
      </c>
      <c r="H41" s="82"/>
      <c r="I41" s="191" t="s">
        <v>899</v>
      </c>
      <c r="J41" s="191" t="s">
        <v>1181</v>
      </c>
      <c r="K41" s="191" t="s">
        <v>823</v>
      </c>
      <c r="L41" s="82"/>
    </row>
    <row r="42" spans="2:12" x14ac:dyDescent="0.35">
      <c r="B42" s="191">
        <v>10</v>
      </c>
      <c r="D42" s="82"/>
      <c r="E42" s="191" t="s">
        <v>1063</v>
      </c>
      <c r="F42" s="82"/>
      <c r="G42" s="191" t="s">
        <v>931</v>
      </c>
      <c r="H42" s="82"/>
      <c r="I42" s="191" t="s">
        <v>901</v>
      </c>
      <c r="J42" s="82"/>
      <c r="K42" s="191" t="s">
        <v>825</v>
      </c>
      <c r="L42" s="82"/>
    </row>
    <row r="43" spans="2:12" x14ac:dyDescent="0.35">
      <c r="B43" s="191">
        <v>30</v>
      </c>
      <c r="D43" s="82"/>
      <c r="E43" s="191" t="s">
        <v>1065</v>
      </c>
      <c r="F43" s="82"/>
      <c r="G43" s="191" t="s">
        <v>933</v>
      </c>
      <c r="H43" s="82"/>
      <c r="I43" s="191" t="s">
        <v>903</v>
      </c>
      <c r="J43" s="82"/>
      <c r="K43" s="191" t="s">
        <v>827</v>
      </c>
      <c r="L43" s="82"/>
    </row>
    <row r="44" spans="2:12" x14ac:dyDescent="0.35">
      <c r="B44" s="191">
        <v>60</v>
      </c>
      <c r="D44" s="82"/>
      <c r="E44" s="191" t="s">
        <v>1067</v>
      </c>
      <c r="F44" s="82"/>
      <c r="G44" s="82"/>
      <c r="H44" s="82"/>
      <c r="I44" s="191" t="s">
        <v>905</v>
      </c>
      <c r="J44" s="82"/>
      <c r="K44" s="191" t="s">
        <v>829</v>
      </c>
      <c r="L44" s="82"/>
    </row>
    <row r="45" spans="2:12" x14ac:dyDescent="0.35">
      <c r="D45" s="82"/>
      <c r="E45" s="191" t="s">
        <v>1069</v>
      </c>
      <c r="F45" s="82"/>
      <c r="G45" s="82"/>
      <c r="H45" s="82"/>
      <c r="I45" s="191" t="s">
        <v>967</v>
      </c>
      <c r="J45" s="82"/>
      <c r="K45" s="191" t="s">
        <v>831</v>
      </c>
      <c r="L45" s="82"/>
    </row>
    <row r="46" spans="2:12" x14ac:dyDescent="0.35">
      <c r="D46" s="82"/>
      <c r="E46" s="191" t="s">
        <v>1071</v>
      </c>
      <c r="F46" s="82"/>
      <c r="G46" s="82"/>
      <c r="H46" s="82"/>
      <c r="I46" s="191" t="s">
        <v>969</v>
      </c>
      <c r="J46" s="82"/>
      <c r="K46" s="191" t="s">
        <v>833</v>
      </c>
      <c r="L46" s="82"/>
    </row>
    <row r="47" spans="2:12" ht="15" thickBot="1" x14ac:dyDescent="0.4">
      <c r="B47" s="394" t="s">
        <v>1214</v>
      </c>
      <c r="D47" s="82"/>
      <c r="E47" s="191" t="s">
        <v>1073</v>
      </c>
      <c r="F47" s="82"/>
      <c r="G47" s="82"/>
      <c r="H47" s="82"/>
      <c r="I47" s="191" t="s">
        <v>971</v>
      </c>
      <c r="J47" s="82"/>
      <c r="K47" s="191" t="s">
        <v>835</v>
      </c>
      <c r="L47" s="82"/>
    </row>
    <row r="48" spans="2:12" x14ac:dyDescent="0.35">
      <c r="B48" s="191" t="s">
        <v>510</v>
      </c>
      <c r="C48" s="191">
        <v>2023</v>
      </c>
      <c r="D48" s="82"/>
      <c r="E48" s="82"/>
      <c r="F48" s="82"/>
      <c r="G48" s="82"/>
      <c r="H48" s="82"/>
      <c r="I48" s="191" t="s">
        <v>1031</v>
      </c>
      <c r="J48" s="82"/>
      <c r="K48" s="191" t="s">
        <v>837</v>
      </c>
      <c r="L48" s="82"/>
    </row>
    <row r="49" spans="2:12" x14ac:dyDescent="0.35">
      <c r="B49" s="191" t="s">
        <v>511</v>
      </c>
      <c r="C49" s="191">
        <v>2024</v>
      </c>
      <c r="D49" s="82"/>
      <c r="E49" s="82"/>
      <c r="F49" s="82"/>
      <c r="G49" s="82"/>
      <c r="H49" s="82"/>
      <c r="I49" s="191" t="s">
        <v>1033</v>
      </c>
      <c r="J49" s="82"/>
      <c r="K49" s="191" t="s">
        <v>839</v>
      </c>
      <c r="L49" s="82"/>
    </row>
    <row r="50" spans="2:12" x14ac:dyDescent="0.35">
      <c r="B50" s="191" t="s">
        <v>512</v>
      </c>
      <c r="C50" s="191">
        <v>2025</v>
      </c>
      <c r="D50" s="82"/>
      <c r="E50" s="82"/>
      <c r="F50" s="82"/>
      <c r="G50" s="82"/>
      <c r="H50" s="82"/>
      <c r="I50" s="191" t="s">
        <v>1035</v>
      </c>
      <c r="J50" s="82"/>
      <c r="K50" s="191" t="s">
        <v>935</v>
      </c>
      <c r="L50" s="82"/>
    </row>
    <row r="51" spans="2:12" x14ac:dyDescent="0.35">
      <c r="B51" s="191" t="s">
        <v>513</v>
      </c>
      <c r="C51" s="191">
        <v>2026</v>
      </c>
      <c r="D51" s="82"/>
      <c r="E51" s="82"/>
      <c r="F51" s="82"/>
      <c r="G51" s="82"/>
      <c r="H51" s="82"/>
      <c r="I51" s="191" t="s">
        <v>1037</v>
      </c>
      <c r="J51" s="82"/>
      <c r="K51" s="191" t="s">
        <v>937</v>
      </c>
      <c r="L51" s="82"/>
    </row>
    <row r="52" spans="2:12" x14ac:dyDescent="0.35">
      <c r="B52" s="191" t="s">
        <v>514</v>
      </c>
      <c r="C52" s="191">
        <v>2027</v>
      </c>
      <c r="I52" s="191" t="s">
        <v>1039</v>
      </c>
      <c r="K52" s="191" t="s">
        <v>939</v>
      </c>
    </row>
    <row r="53" spans="2:12" x14ac:dyDescent="0.35">
      <c r="B53" s="191" t="s">
        <v>515</v>
      </c>
      <c r="C53" s="191">
        <v>2028</v>
      </c>
      <c r="I53" s="191" t="s">
        <v>1041</v>
      </c>
      <c r="K53" s="191" t="s">
        <v>941</v>
      </c>
    </row>
    <row r="54" spans="2:12" x14ac:dyDescent="0.35">
      <c r="B54" s="191" t="s">
        <v>1215</v>
      </c>
      <c r="C54" s="191">
        <v>2029</v>
      </c>
      <c r="K54" s="191" t="s">
        <v>943</v>
      </c>
    </row>
    <row r="55" spans="2:12" x14ac:dyDescent="0.35">
      <c r="B55" s="191" t="s">
        <v>1216</v>
      </c>
      <c r="C55" s="191">
        <v>2030</v>
      </c>
      <c r="K55" s="191" t="s">
        <v>973</v>
      </c>
    </row>
    <row r="56" spans="2:12" x14ac:dyDescent="0.35">
      <c r="B56" s="191" t="s">
        <v>1217</v>
      </c>
      <c r="C56" s="191">
        <v>2031</v>
      </c>
      <c r="K56" s="191" t="s">
        <v>975</v>
      </c>
    </row>
    <row r="57" spans="2:12" x14ac:dyDescent="0.35">
      <c r="B57" s="191" t="s">
        <v>1218</v>
      </c>
      <c r="C57" s="191">
        <v>2032</v>
      </c>
      <c r="K57" s="191" t="s">
        <v>977</v>
      </c>
    </row>
    <row r="58" spans="2:12" x14ac:dyDescent="0.35">
      <c r="B58" s="191" t="s">
        <v>1219</v>
      </c>
      <c r="C58" s="191">
        <v>2033</v>
      </c>
      <c r="K58" s="191" t="s">
        <v>979</v>
      </c>
    </row>
    <row r="59" spans="2:12" x14ac:dyDescent="0.35">
      <c r="B59" s="191" t="s">
        <v>1220</v>
      </c>
      <c r="C59" s="191">
        <v>2034</v>
      </c>
      <c r="K59" s="191" t="s">
        <v>981</v>
      </c>
    </row>
    <row r="60" spans="2:12" x14ac:dyDescent="0.35">
      <c r="B60" s="191" t="s">
        <v>1221</v>
      </c>
      <c r="C60" s="191">
        <v>2035</v>
      </c>
      <c r="K60" s="191" t="s">
        <v>983</v>
      </c>
    </row>
    <row r="61" spans="2:12" x14ac:dyDescent="0.35">
      <c r="B61" s="191" t="s">
        <v>1222</v>
      </c>
      <c r="C61" s="191">
        <v>2036</v>
      </c>
      <c r="K61" s="191" t="s">
        <v>985</v>
      </c>
    </row>
    <row r="62" spans="2:12" x14ac:dyDescent="0.35">
      <c r="B62" s="191" t="s">
        <v>1223</v>
      </c>
      <c r="C62" s="191">
        <v>2037</v>
      </c>
      <c r="K62" s="191" t="s">
        <v>987</v>
      </c>
    </row>
    <row r="63" spans="2:12" x14ac:dyDescent="0.35">
      <c r="B63" s="191" t="s">
        <v>1224</v>
      </c>
      <c r="C63" s="191">
        <v>2038</v>
      </c>
      <c r="K63" s="191" t="s">
        <v>989</v>
      </c>
    </row>
    <row r="64" spans="2:12" x14ac:dyDescent="0.35">
      <c r="B64" s="191" t="s">
        <v>1225</v>
      </c>
      <c r="C64" s="191">
        <v>2039</v>
      </c>
      <c r="K64" s="191" t="s">
        <v>991</v>
      </c>
    </row>
    <row r="65" spans="2:62" x14ac:dyDescent="0.35">
      <c r="B65" s="191" t="s">
        <v>1226</v>
      </c>
      <c r="C65" s="191">
        <v>2040</v>
      </c>
      <c r="K65" s="191" t="s">
        <v>993</v>
      </c>
    </row>
    <row r="66" spans="2:62" x14ac:dyDescent="0.35">
      <c r="B66" s="191" t="s">
        <v>1227</v>
      </c>
      <c r="C66" s="191">
        <v>2041</v>
      </c>
      <c r="K66" s="191" t="s">
        <v>1005</v>
      </c>
    </row>
    <row r="67" spans="2:62" x14ac:dyDescent="0.35">
      <c r="B67" s="191" t="s">
        <v>1228</v>
      </c>
      <c r="C67" s="191">
        <v>2042</v>
      </c>
      <c r="K67" s="191" t="s">
        <v>1007</v>
      </c>
    </row>
    <row r="68" spans="2:62" x14ac:dyDescent="0.35">
      <c r="B68" s="82"/>
      <c r="K68" s="191" t="s">
        <v>1009</v>
      </c>
    </row>
    <row r="69" spans="2:62" x14ac:dyDescent="0.35">
      <c r="B69" s="81"/>
      <c r="K69" s="191" t="s">
        <v>1011</v>
      </c>
    </row>
    <row r="70" spans="2:62" x14ac:dyDescent="0.35">
      <c r="K70" s="191" t="s">
        <v>1013</v>
      </c>
    </row>
    <row r="71" spans="2:62" x14ac:dyDescent="0.35">
      <c r="K71" s="191" t="s">
        <v>1015</v>
      </c>
    </row>
    <row r="72" spans="2:62" x14ac:dyDescent="0.35">
      <c r="K72" s="191" t="s">
        <v>1017</v>
      </c>
    </row>
    <row r="75" spans="2:62" x14ac:dyDescent="0.35">
      <c r="B75" s="81" t="s">
        <v>1229</v>
      </c>
    </row>
    <row r="76" spans="2:62" x14ac:dyDescent="0.35">
      <c r="B76" s="191" t="s">
        <v>1230</v>
      </c>
      <c r="C76" s="191">
        <v>0</v>
      </c>
      <c r="D76" s="191">
        <v>1</v>
      </c>
      <c r="E76" s="191">
        <v>2</v>
      </c>
      <c r="F76" s="191">
        <v>3</v>
      </c>
      <c r="G76" s="191">
        <v>4</v>
      </c>
      <c r="H76" s="191">
        <v>5</v>
      </c>
      <c r="I76" s="191">
        <v>6</v>
      </c>
      <c r="J76" s="191">
        <v>7</v>
      </c>
      <c r="K76" s="191">
        <v>8</v>
      </c>
      <c r="L76" s="191">
        <v>9</v>
      </c>
      <c r="M76" s="191">
        <v>10</v>
      </c>
      <c r="N76" s="191">
        <v>11</v>
      </c>
      <c r="O76" s="191">
        <v>12</v>
      </c>
      <c r="P76" s="191">
        <v>13</v>
      </c>
      <c r="Q76" s="191">
        <v>14</v>
      </c>
      <c r="R76" s="191">
        <v>15</v>
      </c>
      <c r="S76" s="191">
        <v>16</v>
      </c>
      <c r="T76" s="191">
        <v>17</v>
      </c>
      <c r="U76" s="191">
        <v>18</v>
      </c>
      <c r="V76" s="191">
        <v>19</v>
      </c>
      <c r="W76" s="191">
        <v>20</v>
      </c>
      <c r="X76" s="191">
        <v>21</v>
      </c>
      <c r="Y76" s="191">
        <v>22</v>
      </c>
      <c r="Z76" s="191">
        <v>23</v>
      </c>
      <c r="AA76" s="191">
        <v>24</v>
      </c>
      <c r="AB76" s="191">
        <v>25</v>
      </c>
      <c r="AC76" s="191">
        <v>26</v>
      </c>
      <c r="AD76" s="191">
        <v>27</v>
      </c>
      <c r="AE76" s="191">
        <v>28</v>
      </c>
      <c r="AF76" s="191">
        <v>29</v>
      </c>
      <c r="AG76" s="191">
        <v>30</v>
      </c>
      <c r="AH76" s="191">
        <v>31</v>
      </c>
      <c r="AI76" s="191">
        <v>32</v>
      </c>
      <c r="AJ76" s="191">
        <v>33</v>
      </c>
      <c r="AK76" s="191">
        <v>34</v>
      </c>
      <c r="AL76" s="191">
        <v>35</v>
      </c>
      <c r="AM76" s="191">
        <v>36</v>
      </c>
      <c r="AN76" s="191">
        <v>37</v>
      </c>
      <c r="AO76" s="191">
        <v>38</v>
      </c>
      <c r="AP76" s="191">
        <v>39</v>
      </c>
      <c r="AQ76" s="191">
        <v>40</v>
      </c>
      <c r="AR76" s="191">
        <v>41</v>
      </c>
      <c r="AS76" s="191">
        <v>42</v>
      </c>
      <c r="AT76" s="191">
        <v>43</v>
      </c>
      <c r="AU76" s="191">
        <v>44</v>
      </c>
      <c r="AV76" s="191">
        <v>45</v>
      </c>
      <c r="AW76" s="191">
        <v>46</v>
      </c>
      <c r="AX76" s="191">
        <v>47</v>
      </c>
      <c r="AY76" s="191">
        <v>48</v>
      </c>
      <c r="AZ76" s="191">
        <v>49</v>
      </c>
      <c r="BA76" s="191">
        <v>50</v>
      </c>
      <c r="BB76" s="191">
        <v>51</v>
      </c>
      <c r="BC76" s="191">
        <v>52</v>
      </c>
      <c r="BD76" s="191">
        <v>53</v>
      </c>
      <c r="BE76" s="191">
        <v>54</v>
      </c>
      <c r="BF76" s="191">
        <v>55</v>
      </c>
      <c r="BG76" s="191">
        <v>56</v>
      </c>
      <c r="BH76" s="191">
        <v>57</v>
      </c>
      <c r="BI76" s="191">
        <v>58</v>
      </c>
      <c r="BJ76" s="191">
        <v>59</v>
      </c>
    </row>
    <row r="77" spans="2:62" x14ac:dyDescent="0.35">
      <c r="B77" s="191" t="s">
        <v>316</v>
      </c>
      <c r="C77" s="395">
        <f>Appraisal_Base_Year</f>
        <v>0</v>
      </c>
      <c r="D77" s="395" t="e">
        <f>_xlfn.CONCAT(D79,"/",D79-ROUND(D79,-3)+1)</f>
        <v>#N/A</v>
      </c>
      <c r="E77" s="395" t="e">
        <f>_xlfn.CONCAT(E79,"/",E79-ROUND(E79,-3)+1)</f>
        <v>#N/A</v>
      </c>
      <c r="F77" s="395" t="e">
        <f t="shared" ref="F77:BJ77" si="0">_xlfn.CONCAT(F79,"/",F79-ROUND(F79,-3)+1)</f>
        <v>#N/A</v>
      </c>
      <c r="G77" s="395" t="e">
        <f t="shared" si="0"/>
        <v>#N/A</v>
      </c>
      <c r="H77" s="395" t="e">
        <f t="shared" si="0"/>
        <v>#N/A</v>
      </c>
      <c r="I77" s="395" t="e">
        <f t="shared" si="0"/>
        <v>#N/A</v>
      </c>
      <c r="J77" s="395" t="e">
        <f t="shared" si="0"/>
        <v>#N/A</v>
      </c>
      <c r="K77" s="395" t="e">
        <f t="shared" si="0"/>
        <v>#N/A</v>
      </c>
      <c r="L77" s="395" t="e">
        <f t="shared" si="0"/>
        <v>#N/A</v>
      </c>
      <c r="M77" s="395" t="e">
        <f t="shared" si="0"/>
        <v>#N/A</v>
      </c>
      <c r="N77" s="395" t="e">
        <f t="shared" si="0"/>
        <v>#N/A</v>
      </c>
      <c r="O77" s="395" t="e">
        <f t="shared" si="0"/>
        <v>#N/A</v>
      </c>
      <c r="P77" s="395" t="e">
        <f t="shared" si="0"/>
        <v>#N/A</v>
      </c>
      <c r="Q77" s="395" t="e">
        <f t="shared" si="0"/>
        <v>#N/A</v>
      </c>
      <c r="R77" s="395" t="e">
        <f t="shared" si="0"/>
        <v>#N/A</v>
      </c>
      <c r="S77" s="395" t="e">
        <f t="shared" si="0"/>
        <v>#N/A</v>
      </c>
      <c r="T77" s="395" t="e">
        <f t="shared" si="0"/>
        <v>#N/A</v>
      </c>
      <c r="U77" s="395" t="e">
        <f t="shared" si="0"/>
        <v>#N/A</v>
      </c>
      <c r="V77" s="395" t="e">
        <f t="shared" si="0"/>
        <v>#N/A</v>
      </c>
      <c r="W77" s="395" t="e">
        <f t="shared" si="0"/>
        <v>#N/A</v>
      </c>
      <c r="X77" s="395" t="e">
        <f t="shared" si="0"/>
        <v>#N/A</v>
      </c>
      <c r="Y77" s="395" t="e">
        <f t="shared" si="0"/>
        <v>#N/A</v>
      </c>
      <c r="Z77" s="395" t="e">
        <f t="shared" si="0"/>
        <v>#N/A</v>
      </c>
      <c r="AA77" s="395" t="e">
        <f t="shared" si="0"/>
        <v>#N/A</v>
      </c>
      <c r="AB77" s="395" t="e">
        <f t="shared" si="0"/>
        <v>#N/A</v>
      </c>
      <c r="AC77" s="395" t="e">
        <f t="shared" si="0"/>
        <v>#N/A</v>
      </c>
      <c r="AD77" s="395" t="e">
        <f t="shared" si="0"/>
        <v>#N/A</v>
      </c>
      <c r="AE77" s="395" t="e">
        <f t="shared" si="0"/>
        <v>#N/A</v>
      </c>
      <c r="AF77" s="395" t="e">
        <f t="shared" si="0"/>
        <v>#N/A</v>
      </c>
      <c r="AG77" s="395" t="e">
        <f t="shared" si="0"/>
        <v>#N/A</v>
      </c>
      <c r="AH77" s="395" t="e">
        <f t="shared" si="0"/>
        <v>#N/A</v>
      </c>
      <c r="AI77" s="395" t="e">
        <f t="shared" si="0"/>
        <v>#N/A</v>
      </c>
      <c r="AJ77" s="395" t="e">
        <f t="shared" si="0"/>
        <v>#N/A</v>
      </c>
      <c r="AK77" s="395" t="e">
        <f t="shared" si="0"/>
        <v>#N/A</v>
      </c>
      <c r="AL77" s="395" t="e">
        <f t="shared" si="0"/>
        <v>#N/A</v>
      </c>
      <c r="AM77" s="395" t="e">
        <f t="shared" si="0"/>
        <v>#N/A</v>
      </c>
      <c r="AN77" s="395" t="e">
        <f t="shared" si="0"/>
        <v>#N/A</v>
      </c>
      <c r="AO77" s="395" t="e">
        <f t="shared" si="0"/>
        <v>#N/A</v>
      </c>
      <c r="AP77" s="395" t="e">
        <f t="shared" si="0"/>
        <v>#N/A</v>
      </c>
      <c r="AQ77" s="395" t="e">
        <f t="shared" si="0"/>
        <v>#N/A</v>
      </c>
      <c r="AR77" s="395" t="e">
        <f t="shared" si="0"/>
        <v>#N/A</v>
      </c>
      <c r="AS77" s="395" t="e">
        <f t="shared" si="0"/>
        <v>#N/A</v>
      </c>
      <c r="AT77" s="395" t="e">
        <f t="shared" si="0"/>
        <v>#N/A</v>
      </c>
      <c r="AU77" s="395" t="e">
        <f t="shared" si="0"/>
        <v>#N/A</v>
      </c>
      <c r="AV77" s="395" t="e">
        <f t="shared" si="0"/>
        <v>#N/A</v>
      </c>
      <c r="AW77" s="395" t="e">
        <f t="shared" si="0"/>
        <v>#N/A</v>
      </c>
      <c r="AX77" s="395" t="e">
        <f t="shared" si="0"/>
        <v>#N/A</v>
      </c>
      <c r="AY77" s="395" t="e">
        <f t="shared" si="0"/>
        <v>#N/A</v>
      </c>
      <c r="AZ77" s="395" t="e">
        <f t="shared" si="0"/>
        <v>#N/A</v>
      </c>
      <c r="BA77" s="395" t="e">
        <f t="shared" si="0"/>
        <v>#N/A</v>
      </c>
      <c r="BB77" s="395" t="e">
        <f t="shared" si="0"/>
        <v>#N/A</v>
      </c>
      <c r="BC77" s="395" t="e">
        <f t="shared" si="0"/>
        <v>#N/A</v>
      </c>
      <c r="BD77" s="395" t="e">
        <f t="shared" si="0"/>
        <v>#N/A</v>
      </c>
      <c r="BE77" s="395" t="e">
        <f t="shared" si="0"/>
        <v>#N/A</v>
      </c>
      <c r="BF77" s="395" t="e">
        <f t="shared" si="0"/>
        <v>#N/A</v>
      </c>
      <c r="BG77" s="395" t="e">
        <f t="shared" si="0"/>
        <v>#N/A</v>
      </c>
      <c r="BH77" s="395" t="e">
        <f t="shared" si="0"/>
        <v>#N/A</v>
      </c>
      <c r="BI77" s="395" t="e">
        <f t="shared" si="0"/>
        <v>#N/A</v>
      </c>
      <c r="BJ77" s="395" t="e">
        <f t="shared" si="0"/>
        <v>#N/A</v>
      </c>
    </row>
    <row r="78" spans="2:62" x14ac:dyDescent="0.35">
      <c r="B78" s="191" t="s">
        <v>317</v>
      </c>
      <c r="C78" s="395">
        <f>IF(C$76&lt;'2. General project information'!$C$31,1,0)</f>
        <v>0</v>
      </c>
      <c r="D78" s="395">
        <f>IF(D$76&lt;'2. General project information'!$C$31,1,0)</f>
        <v>0</v>
      </c>
      <c r="E78" s="395">
        <f>IF(E$76&lt;'2. General project information'!$C$31,1,0)</f>
        <v>0</v>
      </c>
      <c r="F78" s="395">
        <f>IF(F$76&lt;'2. General project information'!$C$31,1,0)</f>
        <v>0</v>
      </c>
      <c r="G78" s="395">
        <f>IF(G$76&lt;'2. General project information'!$C$31,1,0)</f>
        <v>0</v>
      </c>
      <c r="H78" s="395">
        <f>IF(H$76&lt;'2. General project information'!$C$31,1,0)</f>
        <v>0</v>
      </c>
      <c r="I78" s="395">
        <f>IF(I$76&lt;'2. General project information'!$C$31,1,0)</f>
        <v>0</v>
      </c>
      <c r="J78" s="395">
        <f>IF(J$76&lt;'2. General project information'!$C$31,1,0)</f>
        <v>0</v>
      </c>
      <c r="K78" s="395">
        <f>IF(K$76&lt;'2. General project information'!$C$31,1,0)</f>
        <v>0</v>
      </c>
      <c r="L78" s="395">
        <f>IF(L$76&lt;'2. General project information'!$C$31,1,0)</f>
        <v>0</v>
      </c>
      <c r="M78" s="395">
        <f>IF(M$76&lt;'2. General project information'!$C$31,1,0)</f>
        <v>0</v>
      </c>
      <c r="N78" s="395">
        <f>IF(N$76&lt;'2. General project information'!$C$31,1,0)</f>
        <v>0</v>
      </c>
      <c r="O78" s="395">
        <f>IF(O$76&lt;'2. General project information'!$C$31,1,0)</f>
        <v>0</v>
      </c>
      <c r="P78" s="395">
        <f>IF(P$76&lt;'2. General project information'!$C$31,1,0)</f>
        <v>0</v>
      </c>
      <c r="Q78" s="395">
        <f>IF(Q$76&lt;'2. General project information'!$C$31,1,0)</f>
        <v>0</v>
      </c>
      <c r="R78" s="395">
        <f>IF(R$76&lt;'2. General project information'!$C$31,1,0)</f>
        <v>0</v>
      </c>
      <c r="S78" s="395">
        <f>IF(S$76&lt;'2. General project information'!$C$31,1,0)</f>
        <v>0</v>
      </c>
      <c r="T78" s="395">
        <f>IF(T$76&lt;'2. General project information'!$C$31,1,0)</f>
        <v>0</v>
      </c>
      <c r="U78" s="395">
        <f>IF(U$76&lt;'2. General project information'!$C$31,1,0)</f>
        <v>0</v>
      </c>
      <c r="V78" s="395">
        <f>IF(V$76&lt;'2. General project information'!$C$31,1,0)</f>
        <v>0</v>
      </c>
      <c r="W78" s="395">
        <f>IF(W$76&lt;'2. General project information'!$C$31,1,0)</f>
        <v>0</v>
      </c>
      <c r="X78" s="395">
        <f>IF(X$76&lt;'2. General project information'!$C$31,1,0)</f>
        <v>0</v>
      </c>
      <c r="Y78" s="395">
        <f>IF(Y$76&lt;'2. General project information'!$C$31,1,0)</f>
        <v>0</v>
      </c>
      <c r="Z78" s="395">
        <f>IF(Z$76&lt;'2. General project information'!$C$31,1,0)</f>
        <v>0</v>
      </c>
      <c r="AA78" s="395">
        <f>IF(AA$76&lt;'2. General project information'!$C$31,1,0)</f>
        <v>0</v>
      </c>
      <c r="AB78" s="395">
        <f>IF(AB$76&lt;'2. General project information'!$C$31,1,0)</f>
        <v>0</v>
      </c>
      <c r="AC78" s="395">
        <f>IF(AC$76&lt;'2. General project information'!$C$31,1,0)</f>
        <v>0</v>
      </c>
      <c r="AD78" s="395">
        <f>IF(AD$76&lt;'2. General project information'!$C$31,1,0)</f>
        <v>0</v>
      </c>
      <c r="AE78" s="395">
        <f>IF(AE$76&lt;'2. General project information'!$C$31,1,0)</f>
        <v>0</v>
      </c>
      <c r="AF78" s="395">
        <f>IF(AF$76&lt;'2. General project information'!$C$31,1,0)</f>
        <v>0</v>
      </c>
      <c r="AG78" s="395">
        <f>IF(AG$76&lt;'2. General project information'!$C$31,1,0)</f>
        <v>0</v>
      </c>
      <c r="AH78" s="395">
        <f>IF(AH$76&lt;'2. General project information'!$C$31,1,0)</f>
        <v>0</v>
      </c>
      <c r="AI78" s="395">
        <f>IF(AI$76&lt;'2. General project information'!$C$31,1,0)</f>
        <v>0</v>
      </c>
      <c r="AJ78" s="395">
        <f>IF(AJ$76&lt;'2. General project information'!$C$31,1,0)</f>
        <v>0</v>
      </c>
      <c r="AK78" s="395">
        <f>IF(AK$76&lt;'2. General project information'!$C$31,1,0)</f>
        <v>0</v>
      </c>
      <c r="AL78" s="395">
        <f>IF(AL$76&lt;'2. General project information'!$C$31,1,0)</f>
        <v>0</v>
      </c>
      <c r="AM78" s="395">
        <f>IF(AM$76&lt;'2. General project information'!$C$31,1,0)</f>
        <v>0</v>
      </c>
      <c r="AN78" s="395">
        <f>IF(AN$76&lt;'2. General project information'!$C$31,1,0)</f>
        <v>0</v>
      </c>
      <c r="AO78" s="395">
        <f>IF(AO$76&lt;'2. General project information'!$C$31,1,0)</f>
        <v>0</v>
      </c>
      <c r="AP78" s="395">
        <f>IF(AP$76&lt;'2. General project information'!$C$31,1,0)</f>
        <v>0</v>
      </c>
      <c r="AQ78" s="395">
        <f>IF(AQ$76&lt;'2. General project information'!$C$31,1,0)</f>
        <v>0</v>
      </c>
      <c r="AR78" s="395">
        <f>IF(AR$76&lt;'2. General project information'!$C$31,1,0)</f>
        <v>0</v>
      </c>
      <c r="AS78" s="395">
        <f>IF(AS$76&lt;'2. General project information'!$C$31,1,0)</f>
        <v>0</v>
      </c>
      <c r="AT78" s="395">
        <f>IF(AT$76&lt;'2. General project information'!$C$31,1,0)</f>
        <v>0</v>
      </c>
      <c r="AU78" s="395">
        <f>IF(AU$76&lt;'2. General project information'!$C$31,1,0)</f>
        <v>0</v>
      </c>
      <c r="AV78" s="395">
        <f>IF(AV$76&lt;'2. General project information'!$C$31,1,0)</f>
        <v>0</v>
      </c>
      <c r="AW78" s="395">
        <f>IF(AW$76&lt;'2. General project information'!$C$31,1,0)</f>
        <v>0</v>
      </c>
      <c r="AX78" s="395">
        <f>IF(AX$76&lt;'2. General project information'!$C$31,1,0)</f>
        <v>0</v>
      </c>
      <c r="AY78" s="395">
        <f>IF(AY$76&lt;'2. General project information'!$C$31,1,0)</f>
        <v>0</v>
      </c>
      <c r="AZ78" s="395">
        <f>IF(AZ$76&lt;'2. General project information'!$C$31,1,0)</f>
        <v>0</v>
      </c>
      <c r="BA78" s="395">
        <f>IF(BA$76&lt;'2. General project information'!$C$31,1,0)</f>
        <v>0</v>
      </c>
      <c r="BB78" s="395">
        <f>IF(BB$76&lt;'2. General project information'!$C$31,1,0)</f>
        <v>0</v>
      </c>
      <c r="BC78" s="395">
        <f>IF(BC$76&lt;'2. General project information'!$C$31,1,0)</f>
        <v>0</v>
      </c>
      <c r="BD78" s="395">
        <f>IF(BD$76&lt;'2. General project information'!$C$31,1,0)</f>
        <v>0</v>
      </c>
      <c r="BE78" s="395">
        <f>IF(BE$76&lt;'2. General project information'!$C$31,1,0)</f>
        <v>0</v>
      </c>
      <c r="BF78" s="395">
        <f>IF(BF$76&lt;'2. General project information'!$C$31,1,0)</f>
        <v>0</v>
      </c>
      <c r="BG78" s="395">
        <f>IF(BG$76&lt;'2. General project information'!$C$31,1,0)</f>
        <v>0</v>
      </c>
      <c r="BH78" s="395">
        <f>IF(BH$76&lt;'2. General project information'!$C$31,1,0)</f>
        <v>0</v>
      </c>
      <c r="BI78" s="395">
        <f>IF(BI$76&lt;'2. General project information'!$C$31,1,0)</f>
        <v>0</v>
      </c>
      <c r="BJ78" s="395">
        <f>IF(BJ$76&lt;'2. General project information'!$C$31,1,0)</f>
        <v>0</v>
      </c>
    </row>
    <row r="79" spans="2:62" x14ac:dyDescent="0.35">
      <c r="B79" s="191" t="s">
        <v>1231</v>
      </c>
      <c r="C79" s="395" t="e">
        <f>AppraisalYearCalendar</f>
        <v>#N/A</v>
      </c>
      <c r="D79" s="191" t="e">
        <f>C79+1</f>
        <v>#N/A</v>
      </c>
      <c r="E79" s="191" t="e">
        <f t="shared" ref="E79:BJ79" si="1">D79+1</f>
        <v>#N/A</v>
      </c>
      <c r="F79" s="191" t="e">
        <f t="shared" si="1"/>
        <v>#N/A</v>
      </c>
      <c r="G79" s="191" t="e">
        <f t="shared" si="1"/>
        <v>#N/A</v>
      </c>
      <c r="H79" s="191" t="e">
        <f t="shared" si="1"/>
        <v>#N/A</v>
      </c>
      <c r="I79" s="191" t="e">
        <f t="shared" si="1"/>
        <v>#N/A</v>
      </c>
      <c r="J79" s="191" t="e">
        <f t="shared" si="1"/>
        <v>#N/A</v>
      </c>
      <c r="K79" s="191" t="e">
        <f t="shared" si="1"/>
        <v>#N/A</v>
      </c>
      <c r="L79" s="191" t="e">
        <f t="shared" si="1"/>
        <v>#N/A</v>
      </c>
      <c r="M79" s="191" t="e">
        <f t="shared" si="1"/>
        <v>#N/A</v>
      </c>
      <c r="N79" s="191" t="e">
        <f t="shared" si="1"/>
        <v>#N/A</v>
      </c>
      <c r="O79" s="191" t="e">
        <f t="shared" si="1"/>
        <v>#N/A</v>
      </c>
      <c r="P79" s="191" t="e">
        <f t="shared" si="1"/>
        <v>#N/A</v>
      </c>
      <c r="Q79" s="191" t="e">
        <f t="shared" si="1"/>
        <v>#N/A</v>
      </c>
      <c r="R79" s="191" t="e">
        <f t="shared" si="1"/>
        <v>#N/A</v>
      </c>
      <c r="S79" s="191" t="e">
        <f t="shared" si="1"/>
        <v>#N/A</v>
      </c>
      <c r="T79" s="191" t="e">
        <f t="shared" si="1"/>
        <v>#N/A</v>
      </c>
      <c r="U79" s="191" t="e">
        <f t="shared" si="1"/>
        <v>#N/A</v>
      </c>
      <c r="V79" s="191" t="e">
        <f t="shared" si="1"/>
        <v>#N/A</v>
      </c>
      <c r="W79" s="191" t="e">
        <f t="shared" si="1"/>
        <v>#N/A</v>
      </c>
      <c r="X79" s="191" t="e">
        <f t="shared" si="1"/>
        <v>#N/A</v>
      </c>
      <c r="Y79" s="191" t="e">
        <f t="shared" si="1"/>
        <v>#N/A</v>
      </c>
      <c r="Z79" s="191" t="e">
        <f t="shared" si="1"/>
        <v>#N/A</v>
      </c>
      <c r="AA79" s="191" t="e">
        <f t="shared" si="1"/>
        <v>#N/A</v>
      </c>
      <c r="AB79" s="191" t="e">
        <f t="shared" si="1"/>
        <v>#N/A</v>
      </c>
      <c r="AC79" s="191" t="e">
        <f t="shared" si="1"/>
        <v>#N/A</v>
      </c>
      <c r="AD79" s="191" t="e">
        <f t="shared" si="1"/>
        <v>#N/A</v>
      </c>
      <c r="AE79" s="191" t="e">
        <f t="shared" si="1"/>
        <v>#N/A</v>
      </c>
      <c r="AF79" s="191" t="e">
        <f t="shared" si="1"/>
        <v>#N/A</v>
      </c>
      <c r="AG79" s="191" t="e">
        <f t="shared" si="1"/>
        <v>#N/A</v>
      </c>
      <c r="AH79" s="191" t="e">
        <f t="shared" si="1"/>
        <v>#N/A</v>
      </c>
      <c r="AI79" s="191" t="e">
        <f t="shared" si="1"/>
        <v>#N/A</v>
      </c>
      <c r="AJ79" s="191" t="e">
        <f t="shared" si="1"/>
        <v>#N/A</v>
      </c>
      <c r="AK79" s="191" t="e">
        <f t="shared" si="1"/>
        <v>#N/A</v>
      </c>
      <c r="AL79" s="191" t="e">
        <f t="shared" si="1"/>
        <v>#N/A</v>
      </c>
      <c r="AM79" s="191" t="e">
        <f t="shared" si="1"/>
        <v>#N/A</v>
      </c>
      <c r="AN79" s="191" t="e">
        <f t="shared" si="1"/>
        <v>#N/A</v>
      </c>
      <c r="AO79" s="191" t="e">
        <f t="shared" si="1"/>
        <v>#N/A</v>
      </c>
      <c r="AP79" s="191" t="e">
        <f t="shared" si="1"/>
        <v>#N/A</v>
      </c>
      <c r="AQ79" s="191" t="e">
        <f t="shared" si="1"/>
        <v>#N/A</v>
      </c>
      <c r="AR79" s="191" t="e">
        <f t="shared" si="1"/>
        <v>#N/A</v>
      </c>
      <c r="AS79" s="191" t="e">
        <f t="shared" si="1"/>
        <v>#N/A</v>
      </c>
      <c r="AT79" s="191" t="e">
        <f t="shared" si="1"/>
        <v>#N/A</v>
      </c>
      <c r="AU79" s="191" t="e">
        <f t="shared" si="1"/>
        <v>#N/A</v>
      </c>
      <c r="AV79" s="191" t="e">
        <f t="shared" si="1"/>
        <v>#N/A</v>
      </c>
      <c r="AW79" s="191" t="e">
        <f t="shared" si="1"/>
        <v>#N/A</v>
      </c>
      <c r="AX79" s="191" t="e">
        <f t="shared" si="1"/>
        <v>#N/A</v>
      </c>
      <c r="AY79" s="191" t="e">
        <f t="shared" si="1"/>
        <v>#N/A</v>
      </c>
      <c r="AZ79" s="191" t="e">
        <f t="shared" si="1"/>
        <v>#N/A</v>
      </c>
      <c r="BA79" s="191" t="e">
        <f t="shared" si="1"/>
        <v>#N/A</v>
      </c>
      <c r="BB79" s="191" t="e">
        <f t="shared" si="1"/>
        <v>#N/A</v>
      </c>
      <c r="BC79" s="191" t="e">
        <f t="shared" si="1"/>
        <v>#N/A</v>
      </c>
      <c r="BD79" s="191" t="e">
        <f t="shared" si="1"/>
        <v>#N/A</v>
      </c>
      <c r="BE79" s="191" t="e">
        <f t="shared" si="1"/>
        <v>#N/A</v>
      </c>
      <c r="BF79" s="191" t="e">
        <f t="shared" si="1"/>
        <v>#N/A</v>
      </c>
      <c r="BG79" s="191" t="e">
        <f t="shared" si="1"/>
        <v>#N/A</v>
      </c>
      <c r="BH79" s="191" t="e">
        <f t="shared" si="1"/>
        <v>#N/A</v>
      </c>
      <c r="BI79" s="191" t="e">
        <f t="shared" si="1"/>
        <v>#N/A</v>
      </c>
      <c r="BJ79" s="191" t="e">
        <f t="shared" si="1"/>
        <v>#N/A</v>
      </c>
    </row>
    <row r="80" spans="2:62" x14ac:dyDescent="0.35">
      <c r="B80" s="191" t="s">
        <v>1232</v>
      </c>
      <c r="C80" s="395">
        <f>C77</f>
        <v>0</v>
      </c>
      <c r="D80" s="395" t="e">
        <f t="shared" ref="D80:AI80" si="2">RIGHT(D77,5)</f>
        <v>#N/A</v>
      </c>
      <c r="E80" s="395" t="e">
        <f t="shared" si="2"/>
        <v>#N/A</v>
      </c>
      <c r="F80" s="395" t="e">
        <f t="shared" si="2"/>
        <v>#N/A</v>
      </c>
      <c r="G80" s="395" t="e">
        <f t="shared" si="2"/>
        <v>#N/A</v>
      </c>
      <c r="H80" s="395" t="e">
        <f t="shared" si="2"/>
        <v>#N/A</v>
      </c>
      <c r="I80" s="395" t="e">
        <f t="shared" si="2"/>
        <v>#N/A</v>
      </c>
      <c r="J80" s="395" t="e">
        <f t="shared" si="2"/>
        <v>#N/A</v>
      </c>
      <c r="K80" s="395" t="e">
        <f t="shared" si="2"/>
        <v>#N/A</v>
      </c>
      <c r="L80" s="395" t="e">
        <f t="shared" si="2"/>
        <v>#N/A</v>
      </c>
      <c r="M80" s="395" t="e">
        <f t="shared" si="2"/>
        <v>#N/A</v>
      </c>
      <c r="N80" s="395" t="e">
        <f t="shared" si="2"/>
        <v>#N/A</v>
      </c>
      <c r="O80" s="395" t="e">
        <f t="shared" si="2"/>
        <v>#N/A</v>
      </c>
      <c r="P80" s="395" t="e">
        <f t="shared" si="2"/>
        <v>#N/A</v>
      </c>
      <c r="Q80" s="395" t="e">
        <f t="shared" si="2"/>
        <v>#N/A</v>
      </c>
      <c r="R80" s="395" t="e">
        <f t="shared" si="2"/>
        <v>#N/A</v>
      </c>
      <c r="S80" s="395" t="e">
        <f t="shared" si="2"/>
        <v>#N/A</v>
      </c>
      <c r="T80" s="395" t="e">
        <f t="shared" si="2"/>
        <v>#N/A</v>
      </c>
      <c r="U80" s="395" t="e">
        <f t="shared" si="2"/>
        <v>#N/A</v>
      </c>
      <c r="V80" s="395" t="e">
        <f t="shared" si="2"/>
        <v>#N/A</v>
      </c>
      <c r="W80" s="395" t="e">
        <f t="shared" si="2"/>
        <v>#N/A</v>
      </c>
      <c r="X80" s="395" t="e">
        <f t="shared" si="2"/>
        <v>#N/A</v>
      </c>
      <c r="Y80" s="395" t="e">
        <f t="shared" si="2"/>
        <v>#N/A</v>
      </c>
      <c r="Z80" s="395" t="e">
        <f t="shared" si="2"/>
        <v>#N/A</v>
      </c>
      <c r="AA80" s="395" t="e">
        <f t="shared" si="2"/>
        <v>#N/A</v>
      </c>
      <c r="AB80" s="395" t="e">
        <f t="shared" si="2"/>
        <v>#N/A</v>
      </c>
      <c r="AC80" s="395" t="e">
        <f t="shared" si="2"/>
        <v>#N/A</v>
      </c>
      <c r="AD80" s="395" t="e">
        <f t="shared" si="2"/>
        <v>#N/A</v>
      </c>
      <c r="AE80" s="395" t="e">
        <f t="shared" si="2"/>
        <v>#N/A</v>
      </c>
      <c r="AF80" s="395" t="e">
        <f t="shared" si="2"/>
        <v>#N/A</v>
      </c>
      <c r="AG80" s="395" t="e">
        <f t="shared" si="2"/>
        <v>#N/A</v>
      </c>
      <c r="AH80" s="395" t="e">
        <f t="shared" si="2"/>
        <v>#N/A</v>
      </c>
      <c r="AI80" s="395" t="e">
        <f t="shared" si="2"/>
        <v>#N/A</v>
      </c>
      <c r="AJ80" s="395" t="e">
        <f t="shared" ref="AJ80:BJ80" si="3">RIGHT(AJ77,5)</f>
        <v>#N/A</v>
      </c>
      <c r="AK80" s="395" t="e">
        <f t="shared" si="3"/>
        <v>#N/A</v>
      </c>
      <c r="AL80" s="395" t="e">
        <f t="shared" si="3"/>
        <v>#N/A</v>
      </c>
      <c r="AM80" s="395" t="e">
        <f t="shared" si="3"/>
        <v>#N/A</v>
      </c>
      <c r="AN80" s="395" t="e">
        <f t="shared" si="3"/>
        <v>#N/A</v>
      </c>
      <c r="AO80" s="395" t="e">
        <f t="shared" si="3"/>
        <v>#N/A</v>
      </c>
      <c r="AP80" s="395" t="e">
        <f t="shared" si="3"/>
        <v>#N/A</v>
      </c>
      <c r="AQ80" s="395" t="e">
        <f t="shared" si="3"/>
        <v>#N/A</v>
      </c>
      <c r="AR80" s="395" t="e">
        <f t="shared" si="3"/>
        <v>#N/A</v>
      </c>
      <c r="AS80" s="395" t="e">
        <f t="shared" si="3"/>
        <v>#N/A</v>
      </c>
      <c r="AT80" s="395" t="e">
        <f t="shared" si="3"/>
        <v>#N/A</v>
      </c>
      <c r="AU80" s="395" t="e">
        <f t="shared" si="3"/>
        <v>#N/A</v>
      </c>
      <c r="AV80" s="395" t="e">
        <f t="shared" si="3"/>
        <v>#N/A</v>
      </c>
      <c r="AW80" s="395" t="e">
        <f t="shared" si="3"/>
        <v>#N/A</v>
      </c>
      <c r="AX80" s="395" t="e">
        <f t="shared" si="3"/>
        <v>#N/A</v>
      </c>
      <c r="AY80" s="395" t="e">
        <f t="shared" si="3"/>
        <v>#N/A</v>
      </c>
      <c r="AZ80" s="395" t="e">
        <f t="shared" si="3"/>
        <v>#N/A</v>
      </c>
      <c r="BA80" s="395" t="e">
        <f t="shared" si="3"/>
        <v>#N/A</v>
      </c>
      <c r="BB80" s="395" t="e">
        <f t="shared" si="3"/>
        <v>#N/A</v>
      </c>
      <c r="BC80" s="395" t="e">
        <f t="shared" si="3"/>
        <v>#N/A</v>
      </c>
      <c r="BD80" s="395" t="e">
        <f t="shared" si="3"/>
        <v>#N/A</v>
      </c>
      <c r="BE80" s="395" t="e">
        <f t="shared" si="3"/>
        <v>#N/A</v>
      </c>
      <c r="BF80" s="395" t="e">
        <f t="shared" si="3"/>
        <v>#N/A</v>
      </c>
      <c r="BG80" s="395" t="e">
        <f t="shared" si="3"/>
        <v>#N/A</v>
      </c>
      <c r="BH80" s="395" t="e">
        <f t="shared" si="3"/>
        <v>#N/A</v>
      </c>
      <c r="BI80" s="395" t="e">
        <f t="shared" si="3"/>
        <v>#N/A</v>
      </c>
      <c r="BJ80" s="395" t="e">
        <f t="shared" si="3"/>
        <v>#N/A</v>
      </c>
    </row>
  </sheetData>
  <sheetProtection algorithmName="SHA-512" hashValue="dFdxdFznvU4ByOclhuF4q0UVvFIrAm602c8egqD2UwNe54nX2PapJhKjyL3RWNLuSIIqnXvH2HB2swwXnlDiyA==" saltValue="ChfXvwtHenTfoyY7eT2Eig==" spinCount="100000" sheet="1" formatRows="0"/>
  <mergeCells count="1">
    <mergeCell ref="I2:P2"/>
  </mergeCells>
  <phoneticPr fontId="10" type="noConversion"/>
  <hyperlinks>
    <hyperlink ref="I2" location="Welcome!A1" display="CLICK to return to Welcome screen" xr:uid="{365B375A-E534-4830-967C-D008834C19C9}"/>
  </hyperlinks>
  <pageMargins left="0.7" right="0.7" top="0.75" bottom="0.75" header="0.3" footer="0.3"/>
  <pageSetup paperSize="9" orientation="portrait" horizontalDpi="4294967295" verticalDpi="4294967295" r:id="rId1"/>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78495A588FDA4EB7BFAA74278D07A1" ma:contentTypeVersion="14" ma:contentTypeDescription="Create a new document." ma:contentTypeScope="" ma:versionID="b3f674433f6bad5046eaa3e08364321f">
  <xsd:schema xmlns:xsd="http://www.w3.org/2001/XMLSchema" xmlns:xs="http://www.w3.org/2001/XMLSchema" xmlns:p="http://schemas.microsoft.com/office/2006/metadata/properties" xmlns:ns2="dfd4edca-ec75-49e9-9c66-61b0b78208ba" xmlns:ns3="60789a60-e4d6-4b62-bfa2-5c59b010f56e" targetNamespace="http://schemas.microsoft.com/office/2006/metadata/properties" ma:root="true" ma:fieldsID="7e4dd90c922dd06337b95885118a9909" ns2:_="" ns3:_="">
    <xsd:import namespace="dfd4edca-ec75-49e9-9c66-61b0b78208ba"/>
    <xsd:import namespace="60789a60-e4d6-4b62-bfa2-5c59b010f5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4edca-ec75-49e9-9c66-61b0b78208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89a60-e4d6-4b62-bfa2-5c59b010f5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criptIds xmlns="http://schemas.microsoft.com/office/extensibility/maker/v1.0" id="script-ids-node-id">
  <scriptId id="ms-officescript%3A%2F%2Fonedrive_business_itemlink%2F01F5D5FOH745GEL465WRCIKI2RIA5TLGH4:ms-officescript%3A%2F%2Fonedrive_business_sharinglink%2Fu!aHR0cHM6Ly9lZnRlYy1teS5zaGFyZXBvaW50LmNvbS86dTovZy9wZXJzb25hbC9ydXNzZWxsX2VmdGVjX2NvX3VrL0VmX25URVh6M2JSRWhTTlJRRHMxbVB3QjREYjMxNzhNQzFrOGJhQ0J6REd0ZlE"/>
</scriptId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80337A-5ADA-4097-8322-0D43662D6C83}">
  <ds:schemaRefs>
    <ds:schemaRef ds:uri="http://schemas.microsoft.com/sharepoint/v3/contenttype/forms"/>
  </ds:schemaRefs>
</ds:datastoreItem>
</file>

<file path=customXml/itemProps2.xml><?xml version="1.0" encoding="utf-8"?>
<ds:datastoreItem xmlns:ds="http://schemas.openxmlformats.org/officeDocument/2006/customXml" ds:itemID="{169441C2-6528-4A65-8B90-91F8AC9E9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d4edca-ec75-49e9-9c66-61b0b78208ba"/>
    <ds:schemaRef ds:uri="60789a60-e4d6-4b62-bfa2-5c59b010f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96C3DE-46C1-4264-B74F-A1E8E2CC4F77}">
  <ds:schemaRefs>
    <ds:schemaRef ds:uri="http://schemas.microsoft.com/office/extensibility/maker/v1.0"/>
  </ds:schemaRefs>
</ds:datastoreItem>
</file>

<file path=customXml/itemProps4.xml><?xml version="1.0" encoding="utf-8"?>
<ds:datastoreItem xmlns:ds="http://schemas.openxmlformats.org/officeDocument/2006/customXml" ds:itemID="{455B521E-E9CE-4DFD-BE59-5F42BF7FC3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Welcome</vt:lpstr>
      <vt:lpstr>1. Tool guide</vt:lpstr>
      <vt:lpstr>2. General project information</vt:lpstr>
      <vt:lpstr>3. Option specific inputs</vt:lpstr>
      <vt:lpstr>4. Impacts</vt:lpstr>
      <vt:lpstr>5.1 - Brownfield amenity</vt:lpstr>
      <vt:lpstr>5.2 - Feature amenity</vt:lpstr>
      <vt:lpstr>6.1 - Value look-up</vt:lpstr>
      <vt:lpstr>6.2 - GDP deflators</vt:lpstr>
      <vt:lpstr>6.3 - Discount rates</vt:lpstr>
      <vt:lpstr>6.4 - Hectares brownfield</vt:lpstr>
      <vt:lpstr>6.5 - Housing densities</vt:lpstr>
      <vt:lpstr>6.6 - Lists and lookups</vt:lpstr>
      <vt:lpstr>Appraisal_Base_Year</vt:lpstr>
      <vt:lpstr>Appraisal_Period</vt:lpstr>
      <vt:lpstr>Appraisal_Period_Lookup</vt:lpstr>
      <vt:lpstr>AppraisalYearCalendar</vt:lpstr>
      <vt:lpstr>Brownfield_NDT_Central</vt:lpstr>
      <vt:lpstr>Brownfield_Removed_Total</vt:lpstr>
      <vt:lpstr>BrownfieldDT_Central</vt:lpstr>
      <vt:lpstr>BrownfieldDT_High</vt:lpstr>
      <vt:lpstr>BrownfieldDT_Low</vt:lpstr>
      <vt:lpstr>CalendarYearRange60</vt:lpstr>
      <vt:lpstr>DF_Appraisal_Period</vt:lpstr>
      <vt:lpstr>DFVector</vt:lpstr>
      <vt:lpstr>FeatureDT_Central</vt:lpstr>
      <vt:lpstr>FeatureDT_High</vt:lpstr>
      <vt:lpstr>FeatureDT_Low</vt:lpstr>
      <vt:lpstr>FinancialYearRange30</vt:lpstr>
      <vt:lpstr>FinancialYearRange30_Short</vt:lpstr>
      <vt:lpstr>FinancialYearRange60</vt:lpstr>
      <vt:lpstr>FinancialYearRange60_Short</vt:lpstr>
      <vt:lpstr>GDPUpliftVector_CalendarYear</vt:lpstr>
      <vt:lpstr>GDPUpliftVector_FinancialYear</vt:lpstr>
      <vt:lpstr>Homes_Delivered_Annual</vt:lpstr>
      <vt:lpstr>Homes_Delivered_Total</vt:lpstr>
      <vt:lpstr>LA</vt:lpstr>
      <vt:lpstr>LA_Lookup_EastEngland</vt:lpstr>
      <vt:lpstr>LA_Lookup_EastMidlands</vt:lpstr>
      <vt:lpstr>LA_Lookup_London</vt:lpstr>
      <vt:lpstr>LA_Lookup_Northeast</vt:lpstr>
      <vt:lpstr>LA_Lookup_Northwest</vt:lpstr>
      <vt:lpstr>LA_Lookup_SouthEast</vt:lpstr>
      <vt:lpstr>LA_Lookup_Southwest</vt:lpstr>
      <vt:lpstr>LA_Lookup_WestMidlands</vt:lpstr>
      <vt:lpstr>LA_Lookup_Yorkshire</vt:lpstr>
      <vt:lpstr>MoneyScalar</vt:lpstr>
      <vt:lpstr>MoneyScalarName</vt:lpstr>
      <vt:lpstr>Option_Description</vt:lpstr>
      <vt:lpstr>Option_Name</vt:lpstr>
      <vt:lpstr>Project_area</vt:lpstr>
      <vt:lpstr>Project_Name</vt:lpstr>
      <vt:lpstr>Recreation_NDT_Central</vt:lpstr>
      <vt:lpstr>Region</vt:lpstr>
      <vt:lpstr>Regions_Lookups</vt:lpstr>
      <vt:lpstr>UrbanRural</vt:lpstr>
      <vt:lpstr>YearTranslationLookup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2018-09-19T08:28:20Z</dcterms:created>
  <dcterms:modified xsi:type="dcterms:W3CDTF">2025-09-24T07:36:30Z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2023-11-07T15:09:32Z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7a5c538f-0e1e-4222-86d1-32594db8190f</vt:lpwstr>
  </property>
  <property fmtid="{D5CDD505-2E9C-101B-9397-08002B2CF9AE}" pid="8" name="MSIP_Label_727fb50e-81d5-40a5-b712-4eff31972ce4_ContentBits">
    <vt:lpwstr>2</vt:lpwstr>
  </property>
  <property fmtid="{D5CDD505-2E9C-101B-9397-08002B2CF9AE}" pid="9" name="ContentTypeId">
    <vt:lpwstr>0x0101007F78495A588FDA4EB7BFAA74278D07A1</vt:lpwstr>
  </property>
</Properties>
</file>