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mc:AlternateContent xmlns:mc="http://schemas.openxmlformats.org/markup-compatibility/2006">
    <mc:Choice Requires="x15">
      <x15ac:absPath xmlns:x15ac="http://schemas.microsoft.com/office/spreadsheetml/2010/11/ac" url="https://yjbexchange.sharepoint.com/sites/BusinessIntelligenceandInsights/Statistics and Analysis/Annual Statistics/00 24 - YJ Stats 23-24/Ch1 - Gateway to the YJS/"/>
    </mc:Choice>
  </mc:AlternateContent>
  <xr:revisionPtr revIDLastSave="2460" documentId="13_ncr:1_{FB0B615D-3F34-4788-A007-648CB746D6DC}" xr6:coauthVersionLast="46" xr6:coauthVersionMax="47" xr10:uidLastSave="{5CFA81F3-B66F-459E-BC6A-70B67259D076}"/>
  <bookViews>
    <workbookView xWindow="-16785" yWindow="-16320" windowWidth="29040" windowHeight="15840" xr2:uid="{00000000-000D-0000-FFFF-FFFF00000000}"/>
  </bookViews>
  <sheets>
    <sheet name="Cover" sheetId="1" r:id="rId1"/>
    <sheet name="Notes" sheetId="60" r:id="rId2"/>
    <sheet name="1.1" sheetId="51" r:id="rId3"/>
    <sheet name="1.2" sheetId="66" r:id="rId4"/>
    <sheet name="1.3" sheetId="54" r:id="rId5"/>
    <sheet name="1.4" sheetId="69" r:id="rId6"/>
    <sheet name="1.5" sheetId="68" r:id="rId7"/>
    <sheet name="1.6" sheetId="61" r:id="rId8"/>
    <sheet name="1.7" sheetId="70" r:id="rId9"/>
    <sheet name="1.8" sheetId="64" r:id="rId10"/>
    <sheet name="1.9" sheetId="63" r:id="rId11"/>
    <sheet name="1.10" sheetId="55" r:id="rId12"/>
    <sheet name="1.11" sheetId="71" r:id="rId13"/>
    <sheet name="1.12" sheetId="72" r:id="rId14"/>
    <sheet name="1.13" sheetId="73" r:id="rId15"/>
    <sheet name="1.14" sheetId="56" r:id="rId16"/>
    <sheet name="1.15" sheetId="57" r:id="rId17"/>
    <sheet name="1.16" sheetId="58" r:id="rId18"/>
    <sheet name="1.17" sheetId="74" r:id="rId19"/>
  </sheets>
  <definedNames>
    <definedName name="Cover_Print_Area" localSheetId="0">Cover!$A$1:$B$26</definedName>
  </definedNames>
  <calcPr calcId="191028"/>
  <customWorkbookViews>
    <customWorkbookView name="TRACIE KILBEY - Personal View" guid="{48999262-D5C6-48A0-95EF-13BCF5FE87E4}" mergeInterval="0" personalView="1" maximized="1" windowWidth="1362" windowHeight="565" tabRatio="632" activeSheetId="5"/>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7" i="70" l="1"/>
  <c r="L27" i="70"/>
  <c r="K27" i="70"/>
  <c r="J27" i="70"/>
  <c r="I27" i="70"/>
  <c r="H27" i="70"/>
  <c r="O27" i="70" s="1"/>
  <c r="G27" i="70"/>
  <c r="F27" i="70"/>
  <c r="E27" i="70"/>
  <c r="D27" i="70"/>
  <c r="C27" i="70"/>
  <c r="M26" i="70"/>
  <c r="L26" i="70"/>
  <c r="K26" i="70"/>
  <c r="J26" i="70"/>
  <c r="I26" i="70"/>
  <c r="H26" i="70"/>
  <c r="G26" i="70"/>
  <c r="F26" i="70"/>
  <c r="E26" i="70"/>
  <c r="D26" i="70"/>
  <c r="C26" i="70"/>
  <c r="M25" i="70"/>
  <c r="N25" i="70" s="1"/>
  <c r="L25" i="70"/>
  <c r="K25" i="70"/>
  <c r="J25" i="70"/>
  <c r="I25" i="70"/>
  <c r="H25" i="70"/>
  <c r="G25" i="70"/>
  <c r="F25" i="70"/>
  <c r="E25" i="70"/>
  <c r="D25" i="70"/>
  <c r="C25" i="70"/>
  <c r="M24" i="70"/>
  <c r="L24" i="70"/>
  <c r="K24" i="70"/>
  <c r="J24" i="70"/>
  <c r="I24" i="70"/>
  <c r="H24" i="70"/>
  <c r="G24" i="70"/>
  <c r="F24" i="70"/>
  <c r="E24" i="70"/>
  <c r="D24" i="70"/>
  <c r="C24" i="70"/>
  <c r="M23" i="70"/>
  <c r="P23" i="70" s="1"/>
  <c r="L23" i="70"/>
  <c r="K23" i="70"/>
  <c r="J23" i="70"/>
  <c r="I23" i="70"/>
  <c r="H23" i="70"/>
  <c r="G23" i="70"/>
  <c r="F23" i="70"/>
  <c r="E23" i="70"/>
  <c r="D23" i="70"/>
  <c r="C23" i="70"/>
  <c r="M22" i="70"/>
  <c r="L22" i="70"/>
  <c r="K22" i="70"/>
  <c r="J22" i="70"/>
  <c r="I22" i="70"/>
  <c r="H22" i="70"/>
  <c r="G22" i="70"/>
  <c r="F22" i="70"/>
  <c r="E22" i="70"/>
  <c r="D22" i="70"/>
  <c r="C22" i="70"/>
  <c r="N27" i="70"/>
  <c r="P27" i="70"/>
  <c r="K5" i="55"/>
  <c r="K6" i="55"/>
  <c r="K7" i="55"/>
  <c r="K8" i="55"/>
  <c r="K9" i="55"/>
  <c r="K10" i="55"/>
  <c r="K11" i="55"/>
  <c r="P45" i="74"/>
  <c r="O45" i="74"/>
  <c r="N45" i="74"/>
  <c r="P43" i="74"/>
  <c r="O43" i="74"/>
  <c r="N43" i="74"/>
  <c r="P42" i="74"/>
  <c r="O42" i="74"/>
  <c r="N42" i="74"/>
  <c r="P41" i="74"/>
  <c r="O41" i="74"/>
  <c r="N41" i="74"/>
  <c r="P40" i="74"/>
  <c r="O40" i="74"/>
  <c r="N40" i="74"/>
  <c r="P39" i="74"/>
  <c r="O39" i="74"/>
  <c r="N39" i="74"/>
  <c r="P38" i="74"/>
  <c r="O38" i="74"/>
  <c r="N38" i="74"/>
  <c r="P37" i="74"/>
  <c r="O37" i="74"/>
  <c r="N37" i="74"/>
  <c r="P36" i="74"/>
  <c r="O36" i="74"/>
  <c r="N36" i="74"/>
  <c r="P35" i="74"/>
  <c r="O35" i="74"/>
  <c r="N35" i="74"/>
  <c r="P34" i="74"/>
  <c r="O34" i="74"/>
  <c r="N34" i="74"/>
  <c r="P33" i="74"/>
  <c r="O33" i="74"/>
  <c r="N33" i="74"/>
  <c r="P32" i="74"/>
  <c r="O32" i="74"/>
  <c r="N32" i="74"/>
  <c r="P31" i="74"/>
  <c r="O31" i="74"/>
  <c r="N31" i="74"/>
  <c r="P29" i="74"/>
  <c r="O29" i="74"/>
  <c r="N29" i="74"/>
  <c r="P28" i="74"/>
  <c r="O28" i="74"/>
  <c r="N28" i="74"/>
  <c r="P27" i="74"/>
  <c r="O27" i="74"/>
  <c r="N27" i="74"/>
  <c r="P26" i="74"/>
  <c r="O26" i="74"/>
  <c r="N26" i="74"/>
  <c r="P25" i="74"/>
  <c r="O25" i="74"/>
  <c r="N25" i="74"/>
  <c r="P24" i="74"/>
  <c r="O24" i="74"/>
  <c r="N24" i="74"/>
  <c r="P23" i="74"/>
  <c r="O23" i="74"/>
  <c r="N23" i="74"/>
  <c r="P22" i="74"/>
  <c r="O22" i="74"/>
  <c r="N22" i="74"/>
  <c r="P21" i="74"/>
  <c r="O21" i="74"/>
  <c r="N21" i="74"/>
  <c r="P20" i="74"/>
  <c r="O20" i="74"/>
  <c r="N20" i="74"/>
  <c r="P19" i="74"/>
  <c r="O19" i="74"/>
  <c r="N19" i="74"/>
  <c r="P18" i="74"/>
  <c r="O18" i="74"/>
  <c r="N18" i="74"/>
  <c r="P17" i="74"/>
  <c r="O17" i="74"/>
  <c r="N17" i="74"/>
  <c r="P15" i="74"/>
  <c r="O15" i="74"/>
  <c r="N15" i="74"/>
  <c r="P14" i="74"/>
  <c r="O14" i="74"/>
  <c r="N14" i="74"/>
  <c r="P13" i="74"/>
  <c r="O13" i="74"/>
  <c r="N13" i="74"/>
  <c r="P12" i="74"/>
  <c r="O12" i="74"/>
  <c r="N12" i="74"/>
  <c r="P11" i="74"/>
  <c r="O11" i="74"/>
  <c r="N11" i="74"/>
  <c r="P10" i="74"/>
  <c r="O10" i="74"/>
  <c r="N10" i="74"/>
  <c r="P9" i="74"/>
  <c r="O9" i="74"/>
  <c r="N9" i="74"/>
  <c r="P8" i="74"/>
  <c r="O8" i="74"/>
  <c r="N8" i="74"/>
  <c r="P7" i="74"/>
  <c r="O7" i="74"/>
  <c r="N7" i="74"/>
  <c r="P6" i="74"/>
  <c r="O6" i="74"/>
  <c r="N6" i="74"/>
  <c r="P5" i="74"/>
  <c r="O5" i="74"/>
  <c r="N5" i="74"/>
  <c r="P4" i="74"/>
  <c r="O4" i="74"/>
  <c r="N4" i="74"/>
  <c r="G58" i="73"/>
  <c r="E58" i="73"/>
  <c r="D58" i="73"/>
  <c r="H58" i="73" s="1"/>
  <c r="C58" i="73"/>
  <c r="B58" i="73"/>
  <c r="J58" i="73" s="1"/>
  <c r="M57" i="73"/>
  <c r="L57" i="73"/>
  <c r="K57" i="73"/>
  <c r="J57" i="73"/>
  <c r="H57" i="73"/>
  <c r="F57" i="73"/>
  <c r="N57" i="73" s="1"/>
  <c r="M56" i="73"/>
  <c r="L56" i="73"/>
  <c r="K56" i="73"/>
  <c r="J56" i="73"/>
  <c r="H56" i="73"/>
  <c r="F56" i="73"/>
  <c r="N56" i="73" s="1"/>
  <c r="M55" i="73"/>
  <c r="L55" i="73"/>
  <c r="K55" i="73"/>
  <c r="J55" i="73"/>
  <c r="H55" i="73"/>
  <c r="F55" i="73"/>
  <c r="N55" i="73" s="1"/>
  <c r="M54" i="73"/>
  <c r="L54" i="73"/>
  <c r="K54" i="73"/>
  <c r="J54" i="73"/>
  <c r="H54" i="73"/>
  <c r="F54" i="73"/>
  <c r="N54" i="73" s="1"/>
  <c r="G53" i="73"/>
  <c r="G59" i="73" s="1"/>
  <c r="E53" i="73"/>
  <c r="E59" i="73" s="1"/>
  <c r="D53" i="73"/>
  <c r="D59" i="73" s="1"/>
  <c r="C53" i="73"/>
  <c r="C59" i="73" s="1"/>
  <c r="B53" i="73"/>
  <c r="J53" i="73" s="1"/>
  <c r="J52" i="73"/>
  <c r="H52" i="73"/>
  <c r="G52" i="73"/>
  <c r="E52" i="73"/>
  <c r="D52" i="73"/>
  <c r="C52" i="73"/>
  <c r="L52" i="73" s="1"/>
  <c r="B52" i="73"/>
  <c r="M52" i="73" s="1"/>
  <c r="M51" i="73"/>
  <c r="L51" i="73"/>
  <c r="K51" i="73"/>
  <c r="J51" i="73"/>
  <c r="H51" i="73"/>
  <c r="F51" i="73"/>
  <c r="N51" i="73" s="1"/>
  <c r="M50" i="73"/>
  <c r="L50" i="73"/>
  <c r="K50" i="73"/>
  <c r="J50" i="73"/>
  <c r="H50" i="73"/>
  <c r="F50" i="73"/>
  <c r="N50" i="73" s="1"/>
  <c r="M49" i="73"/>
  <c r="L49" i="73"/>
  <c r="K49" i="73"/>
  <c r="J49" i="73"/>
  <c r="H49" i="73"/>
  <c r="F49" i="73"/>
  <c r="N49" i="73" s="1"/>
  <c r="M48" i="73"/>
  <c r="L48" i="73"/>
  <c r="K48" i="73"/>
  <c r="J48" i="73"/>
  <c r="H48" i="73"/>
  <c r="F48" i="73"/>
  <c r="N48" i="73" s="1"/>
  <c r="M47" i="73"/>
  <c r="L47" i="73"/>
  <c r="K47" i="73"/>
  <c r="J47" i="73"/>
  <c r="H47" i="73"/>
  <c r="F47" i="73"/>
  <c r="N47" i="73" s="1"/>
  <c r="G46" i="73"/>
  <c r="H46" i="73" s="1"/>
  <c r="E46" i="73"/>
  <c r="M46" i="73" s="1"/>
  <c r="D46" i="73"/>
  <c r="C46" i="73"/>
  <c r="B46" i="73"/>
  <c r="L46" i="73" s="1"/>
  <c r="M45" i="73"/>
  <c r="L45" i="73"/>
  <c r="K45" i="73"/>
  <c r="J45" i="73"/>
  <c r="H45" i="73"/>
  <c r="F45" i="73"/>
  <c r="N45" i="73" s="1"/>
  <c r="N44" i="73"/>
  <c r="M44" i="73"/>
  <c r="L44" i="73"/>
  <c r="K44" i="73"/>
  <c r="J44" i="73"/>
  <c r="H44" i="73"/>
  <c r="F44" i="73"/>
  <c r="M43" i="73"/>
  <c r="L43" i="73"/>
  <c r="K43" i="73"/>
  <c r="J43" i="73"/>
  <c r="H43" i="73"/>
  <c r="F43" i="73"/>
  <c r="N43" i="73" s="1"/>
  <c r="M42" i="73"/>
  <c r="L42" i="73"/>
  <c r="K42" i="73"/>
  <c r="J42" i="73"/>
  <c r="H42" i="73"/>
  <c r="F42" i="73"/>
  <c r="N42" i="73" s="1"/>
  <c r="M41" i="73"/>
  <c r="L41" i="73"/>
  <c r="K41" i="73"/>
  <c r="J41" i="73"/>
  <c r="H41" i="73"/>
  <c r="F41" i="73"/>
  <c r="N41" i="73" s="1"/>
  <c r="G40" i="73"/>
  <c r="F40" i="73"/>
  <c r="N40" i="73" s="1"/>
  <c r="E40" i="73"/>
  <c r="M40" i="73" s="1"/>
  <c r="D40" i="73"/>
  <c r="L40" i="73" s="1"/>
  <c r="C40" i="73"/>
  <c r="B40" i="73"/>
  <c r="K40" i="73" s="1"/>
  <c r="M39" i="73"/>
  <c r="L39" i="73"/>
  <c r="K39" i="73"/>
  <c r="J39" i="73"/>
  <c r="H39" i="73"/>
  <c r="F39" i="73"/>
  <c r="N39" i="73" s="1"/>
  <c r="M38" i="73"/>
  <c r="L38" i="73"/>
  <c r="K38" i="73"/>
  <c r="J38" i="73"/>
  <c r="H38" i="73"/>
  <c r="F38" i="73"/>
  <c r="N38" i="73" s="1"/>
  <c r="J37" i="73"/>
  <c r="H37" i="73"/>
  <c r="G37" i="73"/>
  <c r="F37" i="73"/>
  <c r="N37" i="73" s="1"/>
  <c r="E37" i="73"/>
  <c r="D37" i="73"/>
  <c r="C37" i="73"/>
  <c r="L37" i="73" s="1"/>
  <c r="B37" i="73"/>
  <c r="M37" i="73" s="1"/>
  <c r="N36" i="73"/>
  <c r="M36" i="73"/>
  <c r="L36" i="73"/>
  <c r="K36" i="73"/>
  <c r="J36" i="73"/>
  <c r="H36" i="73"/>
  <c r="F36" i="73"/>
  <c r="M35" i="73"/>
  <c r="L35" i="73"/>
  <c r="K35" i="73"/>
  <c r="J35" i="73"/>
  <c r="H35" i="73"/>
  <c r="F35" i="73"/>
  <c r="N35" i="73" s="1"/>
  <c r="N34" i="73"/>
  <c r="M34" i="73"/>
  <c r="L34" i="73"/>
  <c r="K34" i="73"/>
  <c r="J34" i="73"/>
  <c r="H34" i="73"/>
  <c r="F34" i="73"/>
  <c r="M33" i="73"/>
  <c r="L33" i="73"/>
  <c r="K33" i="73"/>
  <c r="J33" i="73"/>
  <c r="H33" i="73"/>
  <c r="F33" i="73"/>
  <c r="N33" i="73" s="1"/>
  <c r="M32" i="73"/>
  <c r="L32" i="73"/>
  <c r="K32" i="73"/>
  <c r="J32" i="73"/>
  <c r="H32" i="73"/>
  <c r="F32" i="73"/>
  <c r="N32" i="73" s="1"/>
  <c r="M31" i="73"/>
  <c r="L31" i="73"/>
  <c r="K31" i="73"/>
  <c r="J31" i="73"/>
  <c r="H31" i="73"/>
  <c r="F31" i="73"/>
  <c r="N31" i="73" s="1"/>
  <c r="G30" i="73"/>
  <c r="F30" i="73"/>
  <c r="N30" i="73" s="1"/>
  <c r="E30" i="73"/>
  <c r="M30" i="73" s="1"/>
  <c r="D30" i="73"/>
  <c r="L30" i="73" s="1"/>
  <c r="C30" i="73"/>
  <c r="B30" i="73"/>
  <c r="K30" i="73" s="1"/>
  <c r="N29" i="73"/>
  <c r="M29" i="73"/>
  <c r="L29" i="73"/>
  <c r="K29" i="73"/>
  <c r="J29" i="73"/>
  <c r="H29" i="73"/>
  <c r="F29" i="73"/>
  <c r="M28" i="73"/>
  <c r="L28" i="73"/>
  <c r="K28" i="73"/>
  <c r="J28" i="73"/>
  <c r="H28" i="73"/>
  <c r="F28" i="73"/>
  <c r="N28" i="73" s="1"/>
  <c r="M27" i="73"/>
  <c r="L27" i="73"/>
  <c r="K27" i="73"/>
  <c r="J27" i="73"/>
  <c r="H27" i="73"/>
  <c r="F27" i="73"/>
  <c r="N27" i="73" s="1"/>
  <c r="M26" i="73"/>
  <c r="L26" i="73"/>
  <c r="K26" i="73"/>
  <c r="J26" i="73"/>
  <c r="H26" i="73"/>
  <c r="F26" i="73"/>
  <c r="N26" i="73" s="1"/>
  <c r="G25" i="73"/>
  <c r="F25" i="73"/>
  <c r="N25" i="73" s="1"/>
  <c r="E25" i="73"/>
  <c r="M25" i="73" s="1"/>
  <c r="D25" i="73"/>
  <c r="L25" i="73" s="1"/>
  <c r="C25" i="73"/>
  <c r="B25" i="73"/>
  <c r="K25" i="73" s="1"/>
  <c r="M24" i="73"/>
  <c r="L24" i="73"/>
  <c r="K24" i="73"/>
  <c r="J24" i="73"/>
  <c r="H24" i="73"/>
  <c r="F24" i="73"/>
  <c r="N24" i="73" s="1"/>
  <c r="M23" i="73"/>
  <c r="L23" i="73"/>
  <c r="K23" i="73"/>
  <c r="J23" i="73"/>
  <c r="H23" i="73"/>
  <c r="F23" i="73"/>
  <c r="N23" i="73" s="1"/>
  <c r="M22" i="73"/>
  <c r="L22" i="73"/>
  <c r="K22" i="73"/>
  <c r="J22" i="73"/>
  <c r="H22" i="73"/>
  <c r="F22" i="73"/>
  <c r="N22" i="73" s="1"/>
  <c r="M21" i="73"/>
  <c r="L21" i="73"/>
  <c r="K21" i="73"/>
  <c r="J21" i="73"/>
  <c r="H21" i="73"/>
  <c r="F21" i="73"/>
  <c r="N21" i="73" s="1"/>
  <c r="M20" i="73"/>
  <c r="L20" i="73"/>
  <c r="K20" i="73"/>
  <c r="J20" i="73"/>
  <c r="H20" i="73"/>
  <c r="F20" i="73"/>
  <c r="N20" i="73" s="1"/>
  <c r="G19" i="73"/>
  <c r="E19" i="73"/>
  <c r="F19" i="73" s="1"/>
  <c r="N19" i="73" s="1"/>
  <c r="D19" i="73"/>
  <c r="L19" i="73" s="1"/>
  <c r="C19" i="73"/>
  <c r="K19" i="73" s="1"/>
  <c r="B19" i="73"/>
  <c r="M18" i="73"/>
  <c r="L18" i="73"/>
  <c r="K18" i="73"/>
  <c r="J18" i="73"/>
  <c r="H18" i="73"/>
  <c r="F18" i="73"/>
  <c r="N18" i="73" s="1"/>
  <c r="M17" i="73"/>
  <c r="L17" i="73"/>
  <c r="K17" i="73"/>
  <c r="J17" i="73"/>
  <c r="H17" i="73"/>
  <c r="F17" i="73"/>
  <c r="N17" i="73" s="1"/>
  <c r="M16" i="73"/>
  <c r="L16" i="73"/>
  <c r="K16" i="73"/>
  <c r="J16" i="73"/>
  <c r="H16" i="73"/>
  <c r="F16" i="73"/>
  <c r="N16" i="73" s="1"/>
  <c r="M15" i="73"/>
  <c r="L15" i="73"/>
  <c r="K15" i="73"/>
  <c r="J15" i="73"/>
  <c r="H15" i="73"/>
  <c r="F15" i="73"/>
  <c r="N15" i="73" s="1"/>
  <c r="G14" i="73"/>
  <c r="E14" i="73"/>
  <c r="F14" i="73" s="1"/>
  <c r="N14" i="73" s="1"/>
  <c r="D14" i="73"/>
  <c r="L14" i="73" s="1"/>
  <c r="C14" i="73"/>
  <c r="K14" i="73" s="1"/>
  <c r="B14" i="73"/>
  <c r="M13" i="73"/>
  <c r="L13" i="73"/>
  <c r="K13" i="73"/>
  <c r="J13" i="73"/>
  <c r="H13" i="73"/>
  <c r="F13" i="73"/>
  <c r="N13" i="73" s="1"/>
  <c r="M12" i="73"/>
  <c r="L12" i="73"/>
  <c r="K12" i="73"/>
  <c r="J12" i="73"/>
  <c r="H12" i="73"/>
  <c r="F12" i="73"/>
  <c r="N12" i="73" s="1"/>
  <c r="M11" i="73"/>
  <c r="L11" i="73"/>
  <c r="K11" i="73"/>
  <c r="J11" i="73"/>
  <c r="H11" i="73"/>
  <c r="F11" i="73"/>
  <c r="N11" i="73" s="1"/>
  <c r="M10" i="73"/>
  <c r="L10" i="73"/>
  <c r="K10" i="73"/>
  <c r="J10" i="73"/>
  <c r="H10" i="73"/>
  <c r="F10" i="73"/>
  <c r="N10" i="73" s="1"/>
  <c r="N9" i="73"/>
  <c r="M9" i="73"/>
  <c r="L9" i="73"/>
  <c r="K9" i="73"/>
  <c r="J9" i="73"/>
  <c r="H9" i="73"/>
  <c r="F9" i="73"/>
  <c r="G8" i="73"/>
  <c r="E8" i="73"/>
  <c r="D8" i="73"/>
  <c r="M8" i="73" s="1"/>
  <c r="C8" i="73"/>
  <c r="F8" i="73" s="1"/>
  <c r="N8" i="73" s="1"/>
  <c r="B8" i="73"/>
  <c r="J8" i="73" s="1"/>
  <c r="M7" i="73"/>
  <c r="L7" i="73"/>
  <c r="K7" i="73"/>
  <c r="J7" i="73"/>
  <c r="H7" i="73"/>
  <c r="F7" i="73"/>
  <c r="N7" i="73" s="1"/>
  <c r="M6" i="73"/>
  <c r="L6" i="73"/>
  <c r="K6" i="73"/>
  <c r="J6" i="73"/>
  <c r="H6" i="73"/>
  <c r="F6" i="73"/>
  <c r="N6" i="73" s="1"/>
  <c r="M5" i="73"/>
  <c r="L5" i="73"/>
  <c r="K5" i="73"/>
  <c r="J5" i="73"/>
  <c r="H5" i="73"/>
  <c r="F5" i="73"/>
  <c r="N5" i="73" s="1"/>
  <c r="H26" i="72"/>
  <c r="F26" i="72"/>
  <c r="E26" i="72"/>
  <c r="D26" i="72"/>
  <c r="C26" i="72"/>
  <c r="H25" i="72"/>
  <c r="F25" i="72"/>
  <c r="E25" i="72"/>
  <c r="D25" i="72"/>
  <c r="C25" i="72"/>
  <c r="H24" i="72"/>
  <c r="F24" i="72"/>
  <c r="E24" i="72"/>
  <c r="D24" i="72"/>
  <c r="C24" i="72"/>
  <c r="H23" i="72"/>
  <c r="G23" i="72"/>
  <c r="F23" i="72"/>
  <c r="E23" i="72"/>
  <c r="D23" i="72"/>
  <c r="C23" i="72"/>
  <c r="H22" i="72"/>
  <c r="F22" i="72"/>
  <c r="E22" i="72"/>
  <c r="D22" i="72"/>
  <c r="C22" i="72"/>
  <c r="H21" i="72"/>
  <c r="F21" i="72"/>
  <c r="E21" i="72"/>
  <c r="D21" i="72"/>
  <c r="C21" i="72"/>
  <c r="H20" i="72"/>
  <c r="F20" i="72"/>
  <c r="E20" i="72"/>
  <c r="D20" i="72"/>
  <c r="C20" i="72"/>
  <c r="H19" i="72"/>
  <c r="F19" i="72"/>
  <c r="E19" i="72"/>
  <c r="D19" i="72"/>
  <c r="C19" i="72"/>
  <c r="H18" i="72"/>
  <c r="F18" i="72"/>
  <c r="E18" i="72"/>
  <c r="D18" i="72"/>
  <c r="C18" i="72"/>
  <c r="H17" i="72"/>
  <c r="F17" i="72"/>
  <c r="E17" i="72"/>
  <c r="D17" i="72"/>
  <c r="C17" i="72"/>
  <c r="H16" i="72"/>
  <c r="F16" i="72"/>
  <c r="E16" i="72"/>
  <c r="D16" i="72"/>
  <c r="C16" i="72"/>
  <c r="G15" i="72"/>
  <c r="G26" i="72" s="1"/>
  <c r="I14" i="72"/>
  <c r="I25" i="72" s="1"/>
  <c r="G14" i="72"/>
  <c r="G25" i="72" s="1"/>
  <c r="I13" i="72"/>
  <c r="G13" i="72"/>
  <c r="G24" i="72" s="1"/>
  <c r="I12" i="72"/>
  <c r="I23" i="72" s="1"/>
  <c r="G12" i="72"/>
  <c r="I11" i="72"/>
  <c r="I22" i="72" s="1"/>
  <c r="G11" i="72"/>
  <c r="G22" i="72" s="1"/>
  <c r="I10" i="72"/>
  <c r="I21" i="72" s="1"/>
  <c r="G10" i="72"/>
  <c r="G21" i="72" s="1"/>
  <c r="I9" i="72"/>
  <c r="G9" i="72"/>
  <c r="G20" i="72" s="1"/>
  <c r="I8" i="72"/>
  <c r="I19" i="72" s="1"/>
  <c r="G8" i="72"/>
  <c r="G19" i="72" s="1"/>
  <c r="I7" i="72"/>
  <c r="I18" i="72" s="1"/>
  <c r="G7" i="72"/>
  <c r="G18" i="72" s="1"/>
  <c r="I6" i="72"/>
  <c r="I17" i="72" s="1"/>
  <c r="G6" i="72"/>
  <c r="G17" i="72" s="1"/>
  <c r="I5" i="72"/>
  <c r="I15" i="72" s="1"/>
  <c r="I26" i="72" s="1"/>
  <c r="G5" i="72"/>
  <c r="G16" i="72" s="1"/>
  <c r="G25" i="71"/>
  <c r="F25" i="71"/>
  <c r="E25" i="71"/>
  <c r="D25" i="71"/>
  <c r="C25" i="71"/>
  <c r="G24" i="71"/>
  <c r="F24" i="71"/>
  <c r="E24" i="71"/>
  <c r="D24" i="71"/>
  <c r="C24" i="71"/>
  <c r="G23" i="71"/>
  <c r="F23" i="71"/>
  <c r="E23" i="71"/>
  <c r="D23" i="71"/>
  <c r="C23" i="71"/>
  <c r="G22" i="71"/>
  <c r="F22" i="71"/>
  <c r="E22" i="71"/>
  <c r="D22" i="71"/>
  <c r="C22" i="71"/>
  <c r="G21" i="71"/>
  <c r="F21" i="71"/>
  <c r="E21" i="71"/>
  <c r="D21" i="71"/>
  <c r="C21" i="71"/>
  <c r="G20" i="71"/>
  <c r="F20" i="71"/>
  <c r="E20" i="71"/>
  <c r="D20" i="71"/>
  <c r="C20" i="71"/>
  <c r="G19" i="71"/>
  <c r="F19" i="71"/>
  <c r="E19" i="71"/>
  <c r="D19" i="71"/>
  <c r="C19" i="71"/>
  <c r="G18" i="71"/>
  <c r="F18" i="71"/>
  <c r="E18" i="71"/>
  <c r="D18" i="71"/>
  <c r="C18" i="71"/>
  <c r="G17" i="71"/>
  <c r="F17" i="71"/>
  <c r="E17" i="71"/>
  <c r="D17" i="71"/>
  <c r="C17" i="71"/>
  <c r="G16" i="71"/>
  <c r="F16" i="71"/>
  <c r="E16" i="71"/>
  <c r="D16" i="71"/>
  <c r="C16" i="71"/>
  <c r="G15" i="71"/>
  <c r="F15" i="71"/>
  <c r="E15" i="71"/>
  <c r="D15" i="71"/>
  <c r="C15" i="71"/>
  <c r="O23" i="70"/>
  <c r="G21" i="70"/>
  <c r="E21" i="70"/>
  <c r="D21" i="70"/>
  <c r="G16" i="70"/>
  <c r="G28" i="70" s="1"/>
  <c r="P15" i="70"/>
  <c r="O15" i="70"/>
  <c r="N15" i="70"/>
  <c r="M14" i="70"/>
  <c r="O14" i="70" s="1"/>
  <c r="L14" i="70"/>
  <c r="L16" i="70" s="1"/>
  <c r="L28" i="70" s="1"/>
  <c r="K14" i="70"/>
  <c r="J14" i="70"/>
  <c r="J16" i="70" s="1"/>
  <c r="I14" i="70"/>
  <c r="H14" i="70"/>
  <c r="G14" i="70"/>
  <c r="F14" i="70"/>
  <c r="F16" i="70" s="1"/>
  <c r="E14" i="70"/>
  <c r="D14" i="70"/>
  <c r="D16" i="70" s="1"/>
  <c r="D28" i="70" s="1"/>
  <c r="C14" i="70"/>
  <c r="P13" i="70"/>
  <c r="O13" i="70"/>
  <c r="N13" i="70"/>
  <c r="P12" i="70"/>
  <c r="O12" i="70"/>
  <c r="N12" i="70"/>
  <c r="P11" i="70"/>
  <c r="O11" i="70"/>
  <c r="N11" i="70"/>
  <c r="P10" i="70"/>
  <c r="O10" i="70"/>
  <c r="N10" i="70"/>
  <c r="M9" i="70"/>
  <c r="M17" i="70" s="1"/>
  <c r="L9" i="70"/>
  <c r="L19" i="70" s="1"/>
  <c r="K9" i="70"/>
  <c r="K19" i="70" s="1"/>
  <c r="J9" i="70"/>
  <c r="J18" i="70" s="1"/>
  <c r="I9" i="70"/>
  <c r="I21" i="70" s="1"/>
  <c r="H9" i="70"/>
  <c r="H17" i="70" s="1"/>
  <c r="G9" i="70"/>
  <c r="G18" i="70" s="1"/>
  <c r="F9" i="70"/>
  <c r="F21" i="70" s="1"/>
  <c r="E9" i="70"/>
  <c r="E17" i="70" s="1"/>
  <c r="D9" i="70"/>
  <c r="D17" i="70" s="1"/>
  <c r="C9" i="70"/>
  <c r="C21" i="70" s="1"/>
  <c r="P6" i="70"/>
  <c r="O6" i="70"/>
  <c r="N6" i="70"/>
  <c r="P5" i="70"/>
  <c r="O5" i="70"/>
  <c r="N5" i="70"/>
  <c r="F29" i="69"/>
  <c r="E29" i="69"/>
  <c r="D29" i="69"/>
  <c r="C29" i="69"/>
  <c r="F28" i="69"/>
  <c r="G28" i="69" s="1"/>
  <c r="E28" i="69"/>
  <c r="D28" i="69"/>
  <c r="C28" i="69"/>
  <c r="F27" i="69"/>
  <c r="G27" i="69" s="1"/>
  <c r="E27" i="69"/>
  <c r="D27" i="69"/>
  <c r="C27" i="69"/>
  <c r="F26" i="69"/>
  <c r="G26" i="69" s="1"/>
  <c r="E26" i="69"/>
  <c r="D26" i="69"/>
  <c r="C26" i="69"/>
  <c r="F25" i="69"/>
  <c r="E25" i="69"/>
  <c r="G25" i="69" s="1"/>
  <c r="D25" i="69"/>
  <c r="C25" i="69"/>
  <c r="F24" i="69"/>
  <c r="G24" i="69" s="1"/>
  <c r="E24" i="69"/>
  <c r="D24" i="69"/>
  <c r="C24" i="69"/>
  <c r="F23" i="69"/>
  <c r="G23" i="69" s="1"/>
  <c r="E23" i="69"/>
  <c r="D23" i="69"/>
  <c r="C23" i="69"/>
  <c r="G22" i="69"/>
  <c r="F22" i="69"/>
  <c r="E22" i="69"/>
  <c r="D22" i="69"/>
  <c r="C22" i="69"/>
  <c r="F21" i="69"/>
  <c r="G21" i="69" s="1"/>
  <c r="E21" i="69"/>
  <c r="D21" i="69"/>
  <c r="C21" i="69"/>
  <c r="F20" i="69"/>
  <c r="G20" i="69" s="1"/>
  <c r="E20" i="69"/>
  <c r="D20" i="69"/>
  <c r="C20" i="69"/>
  <c r="F19" i="69"/>
  <c r="G19" i="69" s="1"/>
  <c r="E19" i="69"/>
  <c r="D19" i="69"/>
  <c r="C19" i="69"/>
  <c r="F18" i="69"/>
  <c r="G18" i="69" s="1"/>
  <c r="E18" i="69"/>
  <c r="D18" i="69"/>
  <c r="C18" i="69"/>
  <c r="G17" i="69"/>
  <c r="F17" i="69"/>
  <c r="E17" i="69"/>
  <c r="D17" i="69"/>
  <c r="C17" i="69"/>
  <c r="G16" i="69"/>
  <c r="G15" i="69"/>
  <c r="G14" i="69"/>
  <c r="G13" i="69"/>
  <c r="G12" i="69"/>
  <c r="G11" i="69"/>
  <c r="G10" i="69"/>
  <c r="G9" i="69"/>
  <c r="G8" i="69"/>
  <c r="G7" i="69"/>
  <c r="G6" i="69"/>
  <c r="G5" i="69"/>
  <c r="G4" i="69"/>
  <c r="O14" i="56"/>
  <c r="P14" i="56"/>
  <c r="D17" i="58"/>
  <c r="E17" i="58"/>
  <c r="F17" i="58"/>
  <c r="G17" i="58"/>
  <c r="H17" i="58"/>
  <c r="I17" i="58"/>
  <c r="J17" i="58"/>
  <c r="K17" i="58"/>
  <c r="L17" i="58"/>
  <c r="M17" i="58"/>
  <c r="C17" i="58"/>
  <c r="M16" i="58"/>
  <c r="L16" i="58"/>
  <c r="K16" i="58"/>
  <c r="J16" i="58"/>
  <c r="I16" i="58"/>
  <c r="H16" i="58"/>
  <c r="G16" i="58"/>
  <c r="F16" i="58"/>
  <c r="E16" i="58"/>
  <c r="D16" i="58"/>
  <c r="C16" i="58"/>
  <c r="M15" i="58"/>
  <c r="L15" i="58"/>
  <c r="K15" i="58"/>
  <c r="J15" i="58"/>
  <c r="I15" i="58"/>
  <c r="H15" i="58"/>
  <c r="G15" i="58"/>
  <c r="F15" i="58"/>
  <c r="E15" i="58"/>
  <c r="D15" i="58"/>
  <c r="C15" i="58"/>
  <c r="M14" i="58"/>
  <c r="L14" i="58"/>
  <c r="K14" i="58"/>
  <c r="J14" i="58"/>
  <c r="I14" i="58"/>
  <c r="H14" i="58"/>
  <c r="G14" i="58"/>
  <c r="F14" i="58"/>
  <c r="E14" i="58"/>
  <c r="D14" i="58"/>
  <c r="C14" i="58"/>
  <c r="M13" i="58"/>
  <c r="L13" i="58"/>
  <c r="K13" i="58"/>
  <c r="J13" i="58"/>
  <c r="I13" i="58"/>
  <c r="H13" i="58"/>
  <c r="G13" i="58"/>
  <c r="F13" i="58"/>
  <c r="E13" i="58"/>
  <c r="D13" i="58"/>
  <c r="C13" i="58"/>
  <c r="M12" i="58"/>
  <c r="L12" i="58"/>
  <c r="K12" i="58"/>
  <c r="J12" i="58"/>
  <c r="I12" i="58"/>
  <c r="H12" i="58"/>
  <c r="G12" i="58"/>
  <c r="F12" i="58"/>
  <c r="E12" i="58"/>
  <c r="D12" i="58"/>
  <c r="C12" i="58"/>
  <c r="M8" i="58"/>
  <c r="L8" i="58"/>
  <c r="K8" i="58"/>
  <c r="J8" i="58"/>
  <c r="I8" i="58"/>
  <c r="H8" i="58"/>
  <c r="G8" i="58"/>
  <c r="F8" i="58"/>
  <c r="E8" i="58"/>
  <c r="D8" i="58"/>
  <c r="C8" i="58"/>
  <c r="E24" i="56"/>
  <c r="F24" i="56"/>
  <c r="G24" i="56"/>
  <c r="H24" i="56"/>
  <c r="I24" i="56"/>
  <c r="J24" i="56"/>
  <c r="K24" i="56"/>
  <c r="L24" i="56"/>
  <c r="M24" i="56"/>
  <c r="N24" i="56"/>
  <c r="D24" i="56"/>
  <c r="N21" i="56"/>
  <c r="M21" i="56"/>
  <c r="L21" i="56"/>
  <c r="K21" i="56"/>
  <c r="J21" i="56"/>
  <c r="I21" i="56"/>
  <c r="H21" i="56"/>
  <c r="G21" i="56"/>
  <c r="F21" i="56"/>
  <c r="E21" i="56"/>
  <c r="D21" i="56"/>
  <c r="E18" i="56"/>
  <c r="F18" i="56"/>
  <c r="G18" i="56"/>
  <c r="H18" i="56"/>
  <c r="I18" i="56"/>
  <c r="J18" i="56"/>
  <c r="K18" i="56"/>
  <c r="L18" i="56"/>
  <c r="M18" i="56"/>
  <c r="N18" i="56"/>
  <c r="D18" i="56"/>
  <c r="M16" i="70" l="1"/>
  <c r="M28" i="70" s="1"/>
  <c r="P25" i="70"/>
  <c r="F17" i="70"/>
  <c r="L21" i="70"/>
  <c r="O25" i="70"/>
  <c r="G17" i="70"/>
  <c r="M21" i="70"/>
  <c r="P14" i="70"/>
  <c r="I17" i="70"/>
  <c r="O24" i="70"/>
  <c r="H18" i="70"/>
  <c r="P22" i="70"/>
  <c r="E16" i="70"/>
  <c r="E28" i="70" s="1"/>
  <c r="I18" i="70"/>
  <c r="N23" i="70"/>
  <c r="F59" i="73"/>
  <c r="K8" i="73"/>
  <c r="F52" i="73"/>
  <c r="N52" i="73" s="1"/>
  <c r="K53" i="73"/>
  <c r="K58" i="73"/>
  <c r="L8" i="73"/>
  <c r="M14" i="73"/>
  <c r="M19" i="73"/>
  <c r="F46" i="73"/>
  <c r="N46" i="73" s="1"/>
  <c r="L53" i="73"/>
  <c r="L58" i="73"/>
  <c r="M53" i="73"/>
  <c r="H25" i="73"/>
  <c r="H30" i="73"/>
  <c r="K37" i="73"/>
  <c r="H40" i="73"/>
  <c r="J46" i="73"/>
  <c r="K52" i="73"/>
  <c r="F53" i="73"/>
  <c r="N53" i="73" s="1"/>
  <c r="F58" i="73"/>
  <c r="N58" i="73" s="1"/>
  <c r="B59" i="73"/>
  <c r="H14" i="73"/>
  <c r="H19" i="73"/>
  <c r="J25" i="73"/>
  <c r="J30" i="73"/>
  <c r="J40" i="73"/>
  <c r="K46" i="73"/>
  <c r="M58" i="73"/>
  <c r="H8" i="73"/>
  <c r="J14" i="73"/>
  <c r="J19" i="73"/>
  <c r="H53" i="73"/>
  <c r="I20" i="72"/>
  <c r="I24" i="72"/>
  <c r="I16" i="72"/>
  <c r="F28" i="70"/>
  <c r="O17" i="70"/>
  <c r="N17" i="70"/>
  <c r="J28" i="70"/>
  <c r="P24" i="70"/>
  <c r="N9" i="70"/>
  <c r="H16" i="70"/>
  <c r="P16" i="70"/>
  <c r="J17" i="70"/>
  <c r="D18" i="70"/>
  <c r="L18" i="70"/>
  <c r="K20" i="70"/>
  <c r="H21" i="70"/>
  <c r="C18" i="70"/>
  <c r="O9" i="70"/>
  <c r="I16" i="70"/>
  <c r="C17" i="70"/>
  <c r="K17" i="70"/>
  <c r="E18" i="70"/>
  <c r="M18" i="70"/>
  <c r="L20" i="70"/>
  <c r="N22" i="70"/>
  <c r="K18" i="70"/>
  <c r="P9" i="70"/>
  <c r="N14" i="70"/>
  <c r="L17" i="70"/>
  <c r="P17" i="70" s="1"/>
  <c r="F18" i="70"/>
  <c r="M20" i="70"/>
  <c r="J21" i="70"/>
  <c r="O22" i="70"/>
  <c r="O16" i="70"/>
  <c r="M19" i="70"/>
  <c r="C16" i="70"/>
  <c r="N16" i="70" s="1"/>
  <c r="K16" i="70"/>
  <c r="K21" i="70"/>
  <c r="N24" i="70"/>
  <c r="N20" i="56"/>
  <c r="P20" i="56" s="1"/>
  <c r="M20" i="56"/>
  <c r="L20" i="56"/>
  <c r="K20" i="56"/>
  <c r="J20" i="56"/>
  <c r="I20" i="56"/>
  <c r="H20" i="56"/>
  <c r="G20" i="56"/>
  <c r="F20" i="56"/>
  <c r="E20" i="56"/>
  <c r="D20" i="56"/>
  <c r="N19" i="56"/>
  <c r="P19" i="56" s="1"/>
  <c r="M19" i="56"/>
  <c r="L19" i="56"/>
  <c r="K19" i="56"/>
  <c r="J19" i="56"/>
  <c r="I19" i="56"/>
  <c r="H19" i="56"/>
  <c r="G19" i="56"/>
  <c r="F19" i="56"/>
  <c r="E19" i="56"/>
  <c r="N17" i="56"/>
  <c r="M17" i="56"/>
  <c r="L17" i="56"/>
  <c r="K17" i="56"/>
  <c r="J17" i="56"/>
  <c r="I17" i="56"/>
  <c r="H17" i="56"/>
  <c r="G17" i="56"/>
  <c r="F17" i="56"/>
  <c r="E17" i="56"/>
  <c r="D17" i="56"/>
  <c r="O17" i="56" s="1"/>
  <c r="N16" i="56"/>
  <c r="M16" i="56"/>
  <c r="L16" i="56"/>
  <c r="K16" i="56"/>
  <c r="J16" i="56"/>
  <c r="I16" i="56"/>
  <c r="H16" i="56"/>
  <c r="G16" i="56"/>
  <c r="F16" i="56"/>
  <c r="E16" i="56"/>
  <c r="D19" i="56"/>
  <c r="D16" i="56"/>
  <c r="N23" i="56"/>
  <c r="O23" i="56" s="1"/>
  <c r="M23" i="56"/>
  <c r="L23" i="56"/>
  <c r="K23" i="56"/>
  <c r="J23" i="56"/>
  <c r="I23" i="56"/>
  <c r="H23" i="56"/>
  <c r="G23" i="56"/>
  <c r="F23" i="56"/>
  <c r="E23" i="56"/>
  <c r="D23" i="56"/>
  <c r="N22" i="56"/>
  <c r="M22" i="56"/>
  <c r="L22" i="56"/>
  <c r="K22" i="56"/>
  <c r="J22" i="56"/>
  <c r="I22" i="56"/>
  <c r="P22" i="56" s="1"/>
  <c r="H22" i="56"/>
  <c r="G22" i="56"/>
  <c r="F22" i="56"/>
  <c r="E22" i="56"/>
  <c r="D22" i="56"/>
  <c r="O22" i="56" s="1"/>
  <c r="O21" i="56"/>
  <c r="P18" i="56"/>
  <c r="P21" i="56"/>
  <c r="P17" i="56"/>
  <c r="P16" i="56"/>
  <c r="Q15" i="56"/>
  <c r="Q13" i="56"/>
  <c r="Q12" i="56"/>
  <c r="Q11" i="56"/>
  <c r="Q10" i="56"/>
  <c r="Q9" i="56"/>
  <c r="Q8" i="56"/>
  <c r="Q7" i="56"/>
  <c r="Q6" i="56"/>
  <c r="P15" i="56"/>
  <c r="P13" i="56"/>
  <c r="P12" i="56"/>
  <c r="P11" i="56"/>
  <c r="P10" i="56"/>
  <c r="P9" i="56"/>
  <c r="P7" i="56"/>
  <c r="P6" i="56"/>
  <c r="P8" i="56"/>
  <c r="O15" i="56"/>
  <c r="O13" i="56"/>
  <c r="O12" i="56"/>
  <c r="O11" i="56"/>
  <c r="O10" i="56"/>
  <c r="O9" i="56"/>
  <c r="O7" i="56"/>
  <c r="O6" i="56"/>
  <c r="O8" i="56"/>
  <c r="D9" i="57"/>
  <c r="E9" i="57"/>
  <c r="F9" i="57"/>
  <c r="G9" i="57"/>
  <c r="H9" i="57"/>
  <c r="I9" i="57"/>
  <c r="J9" i="57"/>
  <c r="K9" i="57"/>
  <c r="L9" i="57"/>
  <c r="M9" i="57"/>
  <c r="D10" i="57"/>
  <c r="E10" i="57"/>
  <c r="F10" i="57"/>
  <c r="G10" i="57"/>
  <c r="H10" i="57"/>
  <c r="I10" i="57"/>
  <c r="J10" i="57"/>
  <c r="K10" i="57"/>
  <c r="L10" i="57"/>
  <c r="M10" i="57"/>
  <c r="D11" i="57"/>
  <c r="E11" i="57"/>
  <c r="F11" i="57"/>
  <c r="G11" i="57"/>
  <c r="H11" i="57"/>
  <c r="I11" i="57"/>
  <c r="J11" i="57"/>
  <c r="K11" i="57"/>
  <c r="L11" i="57"/>
  <c r="M11" i="57"/>
  <c r="C11" i="57"/>
  <c r="C10" i="57"/>
  <c r="C9" i="57"/>
  <c r="H59" i="73" l="1"/>
  <c r="J59" i="73"/>
  <c r="L59" i="73"/>
  <c r="N59" i="73"/>
  <c r="K59" i="73"/>
  <c r="M59" i="73"/>
  <c r="I28" i="70"/>
  <c r="K28" i="70"/>
  <c r="C28" i="70"/>
  <c r="O18" i="70"/>
  <c r="N18" i="70"/>
  <c r="P18" i="70"/>
  <c r="H28" i="70"/>
  <c r="P26" i="70"/>
  <c r="O26" i="70"/>
  <c r="N26" i="70"/>
  <c r="O20" i="56"/>
  <c r="P23" i="56"/>
  <c r="O16" i="56"/>
  <c r="O18" i="56"/>
  <c r="O19" i="56"/>
  <c r="P20" i="64" l="1"/>
  <c r="P21" i="64"/>
  <c r="P22" i="64"/>
  <c r="N16" i="64"/>
  <c r="N17" i="64"/>
  <c r="N20" i="64"/>
  <c r="N21" i="64"/>
  <c r="N24" i="64"/>
  <c r="C15" i="64"/>
  <c r="N15" i="64" s="1"/>
  <c r="D15" i="64"/>
  <c r="E15" i="64"/>
  <c r="F15" i="64"/>
  <c r="G15" i="64"/>
  <c r="H15" i="64"/>
  <c r="O15" i="64" s="1"/>
  <c r="I15" i="64"/>
  <c r="J15" i="64"/>
  <c r="K15" i="64"/>
  <c r="L15" i="64"/>
  <c r="P15" i="64" s="1"/>
  <c r="C16" i="64"/>
  <c r="D16" i="64"/>
  <c r="E16" i="64"/>
  <c r="F16" i="64"/>
  <c r="G16" i="64"/>
  <c r="H16" i="64"/>
  <c r="O16" i="64" s="1"/>
  <c r="I16" i="64"/>
  <c r="J16" i="64"/>
  <c r="K16" i="64"/>
  <c r="L16" i="64"/>
  <c r="P16" i="64" s="1"/>
  <c r="C17" i="64"/>
  <c r="D17" i="64"/>
  <c r="E17" i="64"/>
  <c r="F17" i="64"/>
  <c r="G17" i="64"/>
  <c r="H17" i="64"/>
  <c r="O17" i="64" s="1"/>
  <c r="I17" i="64"/>
  <c r="J17" i="64"/>
  <c r="K17" i="64"/>
  <c r="L17" i="64"/>
  <c r="P17" i="64" s="1"/>
  <c r="C18" i="64"/>
  <c r="N18" i="64" s="1"/>
  <c r="D18" i="64"/>
  <c r="E18" i="64"/>
  <c r="F18" i="64"/>
  <c r="G18" i="64"/>
  <c r="H18" i="64"/>
  <c r="O18" i="64" s="1"/>
  <c r="I18" i="64"/>
  <c r="J18" i="64"/>
  <c r="K18" i="64"/>
  <c r="L18" i="64"/>
  <c r="P18" i="64" s="1"/>
  <c r="C19" i="64"/>
  <c r="N19" i="64" s="1"/>
  <c r="D19" i="64"/>
  <c r="E19" i="64"/>
  <c r="F19" i="64"/>
  <c r="G19" i="64"/>
  <c r="H19" i="64"/>
  <c r="O19" i="64" s="1"/>
  <c r="I19" i="64"/>
  <c r="J19" i="64"/>
  <c r="K19" i="64"/>
  <c r="L19" i="64"/>
  <c r="P19" i="64" s="1"/>
  <c r="C20" i="64"/>
  <c r="D20" i="64"/>
  <c r="E20" i="64"/>
  <c r="F20" i="64"/>
  <c r="G20" i="64"/>
  <c r="H20" i="64"/>
  <c r="O20" i="64" s="1"/>
  <c r="I20" i="64"/>
  <c r="J20" i="64"/>
  <c r="K20" i="64"/>
  <c r="L20" i="64"/>
  <c r="C21" i="64"/>
  <c r="D21" i="64"/>
  <c r="E21" i="64"/>
  <c r="F21" i="64"/>
  <c r="G21" i="64"/>
  <c r="H21" i="64"/>
  <c r="O21" i="64" s="1"/>
  <c r="I21" i="64"/>
  <c r="J21" i="64"/>
  <c r="K21" i="64"/>
  <c r="L21" i="64"/>
  <c r="C22" i="64"/>
  <c r="N22" i="64" s="1"/>
  <c r="D22" i="64"/>
  <c r="E22" i="64"/>
  <c r="F22" i="64"/>
  <c r="G22" i="64"/>
  <c r="H22" i="64"/>
  <c r="O22" i="64" s="1"/>
  <c r="I22" i="64"/>
  <c r="J22" i="64"/>
  <c r="K22" i="64"/>
  <c r="L22" i="64"/>
  <c r="C23" i="64"/>
  <c r="N23" i="64" s="1"/>
  <c r="D23" i="64"/>
  <c r="E23" i="64"/>
  <c r="F23" i="64"/>
  <c r="G23" i="64"/>
  <c r="H23" i="64"/>
  <c r="O23" i="64" s="1"/>
  <c r="I23" i="64"/>
  <c r="J23" i="64"/>
  <c r="K23" i="64"/>
  <c r="L23" i="64"/>
  <c r="P23" i="64" s="1"/>
  <c r="C24" i="64"/>
  <c r="D24" i="64"/>
  <c r="E24" i="64"/>
  <c r="F24" i="64"/>
  <c r="G24" i="64"/>
  <c r="H24" i="64"/>
  <c r="O24" i="64" s="1"/>
  <c r="I24" i="64"/>
  <c r="J24" i="64"/>
  <c r="K24" i="64"/>
  <c r="L24" i="64"/>
  <c r="P24" i="64" s="1"/>
  <c r="C25" i="64"/>
  <c r="D25" i="64"/>
  <c r="E25" i="64"/>
  <c r="F25" i="64"/>
  <c r="G25" i="64"/>
  <c r="H25" i="64"/>
  <c r="I25" i="64"/>
  <c r="J25" i="64"/>
  <c r="K25" i="64"/>
  <c r="L25" i="64"/>
  <c r="D14" i="68"/>
  <c r="E14" i="68"/>
  <c r="E36" i="68" s="1"/>
  <c r="F14" i="68"/>
  <c r="F36" i="68" s="1"/>
  <c r="G14" i="68"/>
  <c r="G16" i="68" s="1"/>
  <c r="H16" i="68" s="1"/>
  <c r="D36" i="68"/>
  <c r="G35" i="68"/>
  <c r="F35" i="68"/>
  <c r="E35" i="68"/>
  <c r="D35" i="68"/>
  <c r="G34" i="68"/>
  <c r="F34" i="68"/>
  <c r="E34" i="68"/>
  <c r="D34" i="68"/>
  <c r="G33" i="68"/>
  <c r="F33" i="68"/>
  <c r="E33" i="68"/>
  <c r="D33" i="68"/>
  <c r="G32" i="68"/>
  <c r="F32" i="68"/>
  <c r="E32" i="68"/>
  <c r="D32" i="68"/>
  <c r="G31" i="68"/>
  <c r="F31" i="68"/>
  <c r="E31" i="68"/>
  <c r="D31" i="68"/>
  <c r="G30" i="68"/>
  <c r="F30" i="68"/>
  <c r="E30" i="68"/>
  <c r="D30" i="68"/>
  <c r="G29" i="68"/>
  <c r="F29" i="68"/>
  <c r="E29" i="68"/>
  <c r="D29" i="68"/>
  <c r="G28" i="68"/>
  <c r="F28" i="68"/>
  <c r="E28" i="68"/>
  <c r="D28" i="68"/>
  <c r="G27" i="68"/>
  <c r="F27" i="68"/>
  <c r="E27" i="68"/>
  <c r="D27" i="68"/>
  <c r="G26" i="68"/>
  <c r="F26" i="68"/>
  <c r="E26" i="68"/>
  <c r="D26" i="68"/>
  <c r="C25" i="68"/>
  <c r="F25" i="68"/>
  <c r="E25" i="68"/>
  <c r="D25" i="68"/>
  <c r="C24" i="68"/>
  <c r="G24" i="68"/>
  <c r="H24" i="68" s="1"/>
  <c r="F24" i="68"/>
  <c r="E24" i="68"/>
  <c r="D24" i="68"/>
  <c r="C23" i="68"/>
  <c r="G23" i="68"/>
  <c r="F23" i="68"/>
  <c r="E23" i="68"/>
  <c r="D23" i="68"/>
  <c r="C22" i="68"/>
  <c r="F22" i="68"/>
  <c r="E22" i="68"/>
  <c r="D22" i="68"/>
  <c r="C21" i="68"/>
  <c r="G21" i="68"/>
  <c r="F21" i="68"/>
  <c r="E21" i="68"/>
  <c r="D21" i="68"/>
  <c r="H20" i="68"/>
  <c r="C20" i="68"/>
  <c r="G20" i="68"/>
  <c r="F20" i="68"/>
  <c r="E20" i="68"/>
  <c r="D20" i="68"/>
  <c r="C19" i="68"/>
  <c r="G19" i="68"/>
  <c r="F19" i="68"/>
  <c r="E19" i="68"/>
  <c r="D19" i="68"/>
  <c r="C18" i="68"/>
  <c r="G18" i="68"/>
  <c r="F18" i="68"/>
  <c r="H18" i="68" s="1"/>
  <c r="E18" i="68"/>
  <c r="D18" i="68"/>
  <c r="C17" i="68"/>
  <c r="F17" i="68"/>
  <c r="E17" i="68"/>
  <c r="D17" i="68"/>
  <c r="C16" i="68"/>
  <c r="F16" i="68"/>
  <c r="E16" i="68"/>
  <c r="D16" i="68"/>
  <c r="C15" i="68"/>
  <c r="G15" i="68"/>
  <c r="F15" i="68"/>
  <c r="E15" i="68"/>
  <c r="D15" i="68"/>
  <c r="H14" i="68"/>
  <c r="H13" i="68"/>
  <c r="H12" i="68"/>
  <c r="H11" i="68"/>
  <c r="H10" i="68"/>
  <c r="H9" i="68"/>
  <c r="H8" i="68"/>
  <c r="H7" i="68"/>
  <c r="H6" i="68"/>
  <c r="H5" i="68"/>
  <c r="H4" i="68"/>
  <c r="G4" i="66"/>
  <c r="F20" i="54"/>
  <c r="G20" i="54" s="1"/>
  <c r="D14" i="64"/>
  <c r="E14" i="64"/>
  <c r="F14" i="64"/>
  <c r="G14" i="64"/>
  <c r="H14" i="64"/>
  <c r="I14" i="64"/>
  <c r="J14" i="64"/>
  <c r="K14" i="64"/>
  <c r="L14" i="64"/>
  <c r="M14" i="64"/>
  <c r="C14" i="64"/>
  <c r="G16" i="54"/>
  <c r="G17" i="54"/>
  <c r="G18" i="54"/>
  <c r="G19" i="54"/>
  <c r="G21" i="54"/>
  <c r="G22" i="54"/>
  <c r="G23" i="54"/>
  <c r="G24" i="54"/>
  <c r="G15" i="54"/>
  <c r="G5" i="54"/>
  <c r="G6" i="54"/>
  <c r="G7" i="54"/>
  <c r="G8" i="54"/>
  <c r="G10" i="54"/>
  <c r="G11" i="54"/>
  <c r="G12" i="54"/>
  <c r="G13" i="54"/>
  <c r="G4" i="54"/>
  <c r="C20" i="54"/>
  <c r="D20" i="54"/>
  <c r="E20" i="54"/>
  <c r="F7" i="66"/>
  <c r="F8" i="66"/>
  <c r="F9" i="66"/>
  <c r="B19" i="51"/>
  <c r="C19" i="51"/>
  <c r="D19" i="51"/>
  <c r="E19" i="51"/>
  <c r="F19" i="51"/>
  <c r="G19" i="51"/>
  <c r="B18" i="51"/>
  <c r="E9" i="51"/>
  <c r="L4" i="55"/>
  <c r="L5" i="55"/>
  <c r="L6" i="55"/>
  <c r="L7" i="55"/>
  <c r="L8" i="55"/>
  <c r="L9" i="55"/>
  <c r="L10" i="55"/>
  <c r="L11" i="55"/>
  <c r="L12" i="55"/>
  <c r="L13" i="55"/>
  <c r="K4" i="55"/>
  <c r="K12" i="55"/>
  <c r="K13" i="55"/>
  <c r="F58" i="61"/>
  <c r="F57" i="61"/>
  <c r="F56" i="61"/>
  <c r="F55" i="61"/>
  <c r="F54" i="61"/>
  <c r="F53" i="61"/>
  <c r="F52" i="61"/>
  <c r="F51" i="61"/>
  <c r="F50" i="61"/>
  <c r="F49" i="61"/>
  <c r="F48" i="61"/>
  <c r="F47" i="61"/>
  <c r="F46" i="61"/>
  <c r="F45" i="61"/>
  <c r="F44" i="61"/>
  <c r="F43" i="61"/>
  <c r="F42" i="61"/>
  <c r="F41" i="61"/>
  <c r="F40" i="61"/>
  <c r="F39" i="61"/>
  <c r="F38" i="61"/>
  <c r="F37" i="61"/>
  <c r="F36" i="61"/>
  <c r="F35" i="61"/>
  <c r="F34" i="61"/>
  <c r="F33" i="61"/>
  <c r="F32" i="61"/>
  <c r="F31" i="61"/>
  <c r="F30" i="61"/>
  <c r="F29" i="61"/>
  <c r="F28" i="61"/>
  <c r="F27" i="61"/>
  <c r="F26" i="61"/>
  <c r="F25" i="61"/>
  <c r="F24" i="61"/>
  <c r="F23" i="61"/>
  <c r="F22" i="61"/>
  <c r="F21" i="61"/>
  <c r="F20" i="61"/>
  <c r="F19" i="61"/>
  <c r="F18" i="61"/>
  <c r="F17" i="61"/>
  <c r="F16" i="61"/>
  <c r="F15" i="61"/>
  <c r="F14" i="61"/>
  <c r="F13" i="61"/>
  <c r="F12" i="61"/>
  <c r="F11" i="61"/>
  <c r="F10" i="61"/>
  <c r="F9" i="61"/>
  <c r="F8" i="61"/>
  <c r="F7" i="61"/>
  <c r="F6" i="61"/>
  <c r="F5" i="61"/>
  <c r="F4" i="61"/>
  <c r="F15" i="54"/>
  <c r="F16" i="54"/>
  <c r="F17" i="54"/>
  <c r="F18" i="54"/>
  <c r="F19" i="54"/>
  <c r="F21" i="54"/>
  <c r="F22" i="54"/>
  <c r="F23" i="54"/>
  <c r="F24" i="54"/>
  <c r="F25" i="54"/>
  <c r="G6" i="66"/>
  <c r="G5" i="66"/>
  <c r="B13" i="51"/>
  <c r="C13" i="51"/>
  <c r="F13" i="51"/>
  <c r="I9" i="51"/>
  <c r="G9" i="51"/>
  <c r="D13" i="51" s="1"/>
  <c r="H22" i="68" l="1"/>
  <c r="G36" i="68"/>
  <c r="G17" i="68"/>
  <c r="H17" i="68" s="1"/>
  <c r="G25" i="68"/>
  <c r="G22" i="68"/>
  <c r="H19" i="68"/>
  <c r="H15" i="68"/>
  <c r="H21" i="68"/>
  <c r="H23" i="68"/>
  <c r="E13" i="51"/>
  <c r="P11" i="58"/>
  <c r="O11" i="58"/>
  <c r="N11" i="58"/>
  <c r="P10" i="58"/>
  <c r="O10" i="58"/>
  <c r="N10" i="58"/>
  <c r="P9" i="58"/>
  <c r="O9" i="58"/>
  <c r="N9" i="58"/>
  <c r="P8" i="58"/>
  <c r="O8" i="58"/>
  <c r="N8" i="58"/>
  <c r="P7" i="58"/>
  <c r="O7" i="58"/>
  <c r="N7" i="58"/>
  <c r="P6" i="58"/>
  <c r="O6" i="58"/>
  <c r="N6" i="58"/>
  <c r="P5" i="58"/>
  <c r="O5" i="58"/>
  <c r="N5" i="58"/>
  <c r="P8" i="57"/>
  <c r="O8" i="57"/>
  <c r="N8" i="57"/>
  <c r="P7" i="57"/>
  <c r="O7" i="57"/>
  <c r="N7" i="57"/>
  <c r="P6" i="57"/>
  <c r="O6" i="57"/>
  <c r="N6" i="57"/>
  <c r="P5" i="57"/>
  <c r="O5" i="57"/>
  <c r="N5" i="57"/>
  <c r="P10" i="57"/>
  <c r="N9" i="57"/>
  <c r="Q23" i="56"/>
  <c r="Q22" i="56"/>
  <c r="Q20" i="56"/>
  <c r="Q19" i="56"/>
  <c r="Q21" i="56"/>
  <c r="Q17" i="56"/>
  <c r="Q16" i="56"/>
  <c r="O9" i="57" l="1"/>
  <c r="Q18" i="56"/>
  <c r="P9" i="57"/>
  <c r="N10" i="57"/>
  <c r="O10" i="57"/>
  <c r="F18" i="51"/>
  <c r="D18" i="51"/>
  <c r="C18" i="51"/>
  <c r="F17" i="51"/>
  <c r="D17" i="51"/>
  <c r="C17" i="51"/>
  <c r="B17" i="51"/>
  <c r="F16" i="51"/>
  <c r="D16" i="51"/>
  <c r="C16" i="51"/>
  <c r="B16" i="51"/>
  <c r="G14" i="51"/>
  <c r="G14" i="54"/>
  <c r="D7" i="66" l="1"/>
  <c r="E7" i="66"/>
  <c r="G7" i="66" s="1"/>
  <c r="D8" i="66"/>
  <c r="E8" i="66"/>
  <c r="G8" i="66" s="1"/>
  <c r="D9" i="66"/>
  <c r="E9" i="66"/>
  <c r="C8" i="66"/>
  <c r="C9" i="66"/>
  <c r="C7" i="66"/>
  <c r="E25" i="54"/>
  <c r="D25" i="54"/>
  <c r="C25" i="54"/>
  <c r="E24" i="54"/>
  <c r="D24" i="54"/>
  <c r="C24" i="54"/>
  <c r="E23" i="54"/>
  <c r="D23" i="54"/>
  <c r="C23" i="54"/>
  <c r="E22" i="54"/>
  <c r="D22" i="54"/>
  <c r="C22" i="54"/>
  <c r="E21" i="54"/>
  <c r="D21" i="54"/>
  <c r="C21" i="54"/>
  <c r="E19" i="54"/>
  <c r="D19" i="54"/>
  <c r="C19" i="54"/>
  <c r="E18" i="54"/>
  <c r="D18" i="54"/>
  <c r="C18" i="54"/>
  <c r="E17" i="54"/>
  <c r="D17" i="54"/>
  <c r="C17" i="54"/>
  <c r="E16" i="54"/>
  <c r="D16" i="54"/>
  <c r="C16" i="54"/>
  <c r="E15" i="54"/>
  <c r="D15" i="54"/>
  <c r="C15" i="54"/>
  <c r="E14" i="51" l="1"/>
  <c r="E8" i="51"/>
  <c r="E18" i="51" s="1"/>
  <c r="E7" i="51"/>
  <c r="E17" i="51" s="1"/>
  <c r="E6" i="51"/>
  <c r="E16" i="51" s="1"/>
  <c r="N57" i="63"/>
  <c r="M57" i="63"/>
  <c r="N46" i="63"/>
  <c r="M46" i="63"/>
  <c r="N45" i="63"/>
  <c r="M45" i="63"/>
  <c r="N44" i="63"/>
  <c r="M44" i="63"/>
  <c r="N43" i="63"/>
  <c r="M43" i="63"/>
  <c r="N42" i="63"/>
  <c r="M42" i="63"/>
  <c r="N41" i="63"/>
  <c r="M41" i="63"/>
  <c r="N40" i="63"/>
  <c r="M40" i="63"/>
  <c r="N39" i="63"/>
  <c r="M39" i="63"/>
  <c r="N38" i="63"/>
  <c r="M38" i="63"/>
  <c r="N37" i="63"/>
  <c r="M37" i="63"/>
  <c r="N36" i="63"/>
  <c r="M36" i="63"/>
  <c r="N35" i="63"/>
  <c r="M35" i="63"/>
  <c r="N34" i="63"/>
  <c r="M34" i="63"/>
  <c r="N33" i="63"/>
  <c r="M33" i="63"/>
  <c r="N32" i="63"/>
  <c r="M32" i="63"/>
  <c r="N31" i="63"/>
  <c r="M31" i="63"/>
  <c r="N30" i="63"/>
  <c r="M30" i="63"/>
  <c r="N19" i="63"/>
  <c r="M19" i="63"/>
  <c r="N18" i="63"/>
  <c r="M18" i="63"/>
  <c r="N17" i="63"/>
  <c r="M17" i="63"/>
  <c r="N16" i="63"/>
  <c r="M16" i="63"/>
  <c r="N15" i="63"/>
  <c r="M15" i="63"/>
  <c r="N14" i="63"/>
  <c r="M14" i="63"/>
  <c r="N13" i="63"/>
  <c r="M13" i="63"/>
  <c r="N12" i="63"/>
  <c r="M12" i="63"/>
  <c r="N11" i="63"/>
  <c r="M11" i="63"/>
  <c r="N10" i="63"/>
  <c r="M10" i="63"/>
  <c r="N51" i="63"/>
  <c r="M51" i="63"/>
  <c r="N50" i="63"/>
  <c r="M50" i="63"/>
  <c r="N49" i="63"/>
  <c r="M49" i="63"/>
  <c r="N48" i="63"/>
  <c r="M48" i="63"/>
  <c r="N47" i="63"/>
  <c r="M47" i="63"/>
  <c r="N9" i="63"/>
  <c r="M9" i="63"/>
  <c r="N8" i="63"/>
  <c r="M8" i="63"/>
  <c r="N7" i="63"/>
  <c r="M7" i="63"/>
  <c r="N6" i="63"/>
  <c r="M6" i="63"/>
  <c r="N5" i="63"/>
  <c r="M5" i="63"/>
  <c r="N4" i="63"/>
  <c r="M4" i="63"/>
  <c r="N56" i="63"/>
  <c r="M56" i="63"/>
  <c r="N55" i="63"/>
  <c r="M55" i="63"/>
  <c r="N54" i="63"/>
  <c r="M54" i="63"/>
  <c r="N53" i="63"/>
  <c r="M53" i="63"/>
  <c r="N52" i="63"/>
  <c r="M52" i="63"/>
  <c r="N29" i="63"/>
  <c r="M29" i="63"/>
  <c r="N28" i="63"/>
  <c r="M28" i="63"/>
  <c r="N27" i="63"/>
  <c r="M27" i="63"/>
  <c r="N26" i="63"/>
  <c r="M26" i="63"/>
  <c r="N25" i="63"/>
  <c r="M25" i="63"/>
  <c r="N24" i="63"/>
  <c r="M24" i="63"/>
  <c r="N23" i="63"/>
  <c r="M23" i="63"/>
  <c r="N22" i="63"/>
  <c r="M22" i="63"/>
  <c r="N21" i="63"/>
  <c r="M21" i="63"/>
  <c r="M20" i="63"/>
  <c r="N20" i="63"/>
  <c r="O20" i="63"/>
  <c r="O21" i="63"/>
  <c r="O22" i="63"/>
  <c r="O23" i="63"/>
  <c r="O24" i="63"/>
  <c r="O25" i="63"/>
  <c r="O26" i="63"/>
  <c r="O27" i="63"/>
  <c r="O28" i="63"/>
  <c r="O29" i="63"/>
  <c r="O52" i="63"/>
  <c r="O53" i="63"/>
  <c r="O54" i="63"/>
  <c r="O55" i="63"/>
  <c r="O56" i="63"/>
  <c r="O4" i="63"/>
  <c r="O5" i="63"/>
  <c r="O6" i="63"/>
  <c r="O7" i="63"/>
  <c r="O8" i="63"/>
  <c r="O9" i="63"/>
  <c r="O47" i="63"/>
  <c r="O48" i="63"/>
  <c r="O49" i="63"/>
  <c r="O50" i="63"/>
  <c r="O51" i="63"/>
  <c r="O10" i="63"/>
  <c r="O11" i="63"/>
  <c r="O12" i="63"/>
  <c r="O13" i="63"/>
  <c r="O14" i="63"/>
  <c r="O15" i="63"/>
  <c r="O16" i="63"/>
  <c r="O17" i="63"/>
  <c r="O18" i="63"/>
  <c r="O19" i="63"/>
  <c r="O30" i="63"/>
  <c r="O31" i="63"/>
  <c r="O32" i="63"/>
  <c r="O33" i="63"/>
  <c r="O34" i="63"/>
  <c r="O35" i="63"/>
  <c r="O36" i="63"/>
  <c r="O37" i="63"/>
  <c r="O38" i="63"/>
  <c r="O39" i="63"/>
  <c r="O40" i="63"/>
  <c r="O41" i="63"/>
  <c r="O42" i="63"/>
  <c r="O43" i="63"/>
  <c r="O44" i="63"/>
  <c r="O45" i="63"/>
  <c r="O46" i="63"/>
  <c r="O57" i="63"/>
  <c r="N7" i="64"/>
  <c r="N8" i="64"/>
  <c r="O12" i="64"/>
  <c r="O6" i="64"/>
  <c r="P10" i="64"/>
  <c r="I14" i="55"/>
  <c r="L14" i="55" s="1"/>
  <c r="P14" i="64" l="1"/>
  <c r="P13" i="64"/>
  <c r="P11" i="64"/>
  <c r="P5" i="64"/>
  <c r="P9" i="64"/>
  <c r="P4" i="64"/>
  <c r="P6" i="64"/>
  <c r="O9" i="64"/>
  <c r="N11" i="64"/>
  <c r="O8" i="64"/>
  <c r="O11" i="64"/>
  <c r="N13" i="64"/>
  <c r="P12" i="64"/>
  <c r="O13" i="64"/>
  <c r="N12" i="64"/>
  <c r="N5" i="64"/>
  <c r="P8" i="64"/>
  <c r="N9" i="64"/>
  <c r="O5" i="64"/>
  <c r="N10" i="64"/>
  <c r="O7" i="64"/>
  <c r="N4" i="64"/>
  <c r="O10" i="64"/>
  <c r="N14" i="64"/>
  <c r="O4" i="64"/>
  <c r="N6" i="64"/>
  <c r="O14" i="64"/>
  <c r="M19" i="64"/>
  <c r="M15" i="64"/>
  <c r="P7" i="64"/>
  <c r="M23" i="64"/>
  <c r="M21" i="64"/>
  <c r="M16" i="64"/>
  <c r="M22" i="64"/>
  <c r="M17" i="64"/>
  <c r="M24" i="64"/>
  <c r="M20" i="64"/>
  <c r="M18" i="64"/>
  <c r="M25" i="64"/>
  <c r="G8" i="51" l="1"/>
  <c r="G7" i="51"/>
  <c r="B11" i="51" l="1"/>
  <c r="G17" i="51"/>
  <c r="I8" i="51"/>
  <c r="G18" i="51"/>
  <c r="F12" i="51"/>
  <c r="B12" i="51"/>
  <c r="C12" i="51"/>
  <c r="D12" i="51"/>
  <c r="E12" i="51"/>
  <c r="B14" i="55" l="1"/>
  <c r="C14" i="55"/>
  <c r="D14" i="55"/>
  <c r="E14" i="55"/>
  <c r="K14" i="55" s="1"/>
  <c r="F14" i="55"/>
  <c r="G14" i="55"/>
  <c r="H14" i="55"/>
  <c r="B15" i="51"/>
  <c r="C15" i="51"/>
  <c r="D15" i="51"/>
  <c r="E15" i="51"/>
  <c r="F15" i="51"/>
  <c r="G15" i="51"/>
  <c r="P15" i="58" l="1"/>
  <c r="N15" i="58"/>
  <c r="O15" i="58"/>
  <c r="P13" i="58"/>
  <c r="O13" i="58"/>
  <c r="N13" i="58"/>
  <c r="P12" i="58"/>
  <c r="O12" i="58"/>
  <c r="N12" i="58"/>
  <c r="P14" i="58"/>
  <c r="N14" i="58"/>
  <c r="O14" i="58"/>
  <c r="P16" i="58"/>
  <c r="O16" i="58"/>
  <c r="N16" i="58"/>
  <c r="G6" i="51"/>
  <c r="D11" i="51"/>
  <c r="I7" i="51"/>
  <c r="E11" i="51"/>
  <c r="C11" i="51"/>
  <c r="F11" i="51"/>
  <c r="D10" i="51" l="1"/>
  <c r="G16" i="51"/>
  <c r="I6" i="51"/>
  <c r="E10" i="51"/>
  <c r="C10" i="51"/>
  <c r="F10" i="51"/>
  <c r="B10" i="51"/>
</calcChain>
</file>

<file path=xl/sharedStrings.xml><?xml version="1.0" encoding="utf-8"?>
<sst xmlns="http://schemas.openxmlformats.org/spreadsheetml/2006/main" count="1212" uniqueCount="314">
  <si>
    <t>Chapter 1: Gateway to the youth justice system</t>
  </si>
  <si>
    <t>Table</t>
  </si>
  <si>
    <t>Title</t>
  </si>
  <si>
    <t>Stop and search</t>
  </si>
  <si>
    <t>Table 1.1</t>
  </si>
  <si>
    <t>Table 1.2</t>
  </si>
  <si>
    <t>Table 1.3</t>
  </si>
  <si>
    <t>Table 1.4</t>
  </si>
  <si>
    <t>Table 1.5</t>
  </si>
  <si>
    <t>Table 1.6</t>
  </si>
  <si>
    <t>Arrests</t>
  </si>
  <si>
    <t>Table 1.7</t>
  </si>
  <si>
    <t>Table 1.8</t>
  </si>
  <si>
    <t>Table 1.9</t>
  </si>
  <si>
    <t>Table 1.10</t>
  </si>
  <si>
    <t>Table 1.11</t>
  </si>
  <si>
    <t>Table 1.12</t>
  </si>
  <si>
    <t>Table 1.13</t>
  </si>
  <si>
    <t>Youth cautions</t>
  </si>
  <si>
    <t>Table 1.14</t>
  </si>
  <si>
    <t>Table 1.15</t>
  </si>
  <si>
    <t>Table 1.16</t>
  </si>
  <si>
    <t>Table 1.17</t>
  </si>
  <si>
    <t>Sources:</t>
  </si>
  <si>
    <t>Police Powers and Procedures</t>
  </si>
  <si>
    <t>Bespoke analysis of the Court Proceedings Database</t>
  </si>
  <si>
    <t>ONS 2021 census</t>
  </si>
  <si>
    <t>Notes</t>
  </si>
  <si>
    <t>Note number</t>
  </si>
  <si>
    <t>Note text</t>
  </si>
  <si>
    <t>Population breakdowns are based on the 2021 census.</t>
  </si>
  <si>
    <t>Includes Lancashire. In previous publications Lancashire has been excluded from this table due to being unable to provide complete data in 2016/17, 2017/18 and 2018/19. In this publication, Lancashire's data for these years has been estimated.</t>
  </si>
  <si>
    <t>Following the change in offence groups in 2015/16, it is believed that a number of police forces are incorrectly recording some ‘public order’ offences against ‘miscellaneous crimes against society’. Caution should therefore be exercised when comparing these offences over time and across forces. The Home Office is working with forces to investigate this issue.</t>
  </si>
  <si>
    <t>The figures provided have been drawn from an extract of the Police National Computer (PNC) data held by the Department. The PNC holds details of all convictions and cautions given for recordable offences and include a number of offences where it is not possible for offenders to be given a custodial sentence. As with any large scale recording system the PNC is subject to possible errors with data entry and processing so data provided previously may be subject to revision.</t>
  </si>
  <si>
    <t>The cautions statistics relate to persons for whom these offences were the principal offences for which they were dealt with. When an offender has been cautioned for two or more offences at the same time the principal offence is the more serious offence.</t>
  </si>
  <si>
    <t>Cautions for motoring offences are not held centrally. Summary motoring offences are typically addressed through Fixed Penalty Notices when dealt with out of court. These are not included in this table.</t>
  </si>
  <si>
    <t>Indictable only offences are the most serious and must be tried at the Crown Court; summary offences are the least serious and must be tried at magistrates’ courts; and triable-either-way offences are of intermediate severity and may be tried at either court based on the circumstances of the case. Indictable only and triable-either-way offences are often refered to collectively as 'Indictable'. See accompanying technical guide for further details.</t>
  </si>
  <si>
    <t>This worksheet contains one table. Some cells refer to notes which can be found on the notes worksheet.</t>
  </si>
  <si>
    <t>Some cells have no available data. ".." = Not available.</t>
  </si>
  <si>
    <t>Number/Proportion of stop and searches
10 to 17 population</t>
  </si>
  <si>
    <t>Asian or Asian British</t>
  </si>
  <si>
    <t>Black or Black British</t>
  </si>
  <si>
    <t>Mixed or Other</t>
  </si>
  <si>
    <t>Ethnic minorities</t>
  </si>
  <si>
    <t>White</t>
  </si>
  <si>
    <t>Number of stop and searches 2021</t>
  </si>
  <si>
    <t>Number of stop and searches 2022</t>
  </si>
  <si>
    <t>Number of stop and searches 2023</t>
  </si>
  <si>
    <t>Proportion of stop and searches 2021</t>
  </si>
  <si>
    <t>..</t>
  </si>
  <si>
    <t>Proportion of stop and searches 2022</t>
  </si>
  <si>
    <t>Proportion of stop and searches 2023</t>
  </si>
  <si>
    <t>10 to 17 population as a proportion of total</t>
  </si>
  <si>
    <t>Stop and searches per 1,000 population 2021</t>
  </si>
  <si>
    <t>Stop and searches per 1,000 population 2022</t>
  </si>
  <si>
    <t>Stop and searches per 1,000 population 2023</t>
  </si>
  <si>
    <t>This worksheet contains one table. Some cells refer to notes, which can be found in the notes worksheet.</t>
  </si>
  <si>
    <t>Number or proportion</t>
  </si>
  <si>
    <t>Age group</t>
  </si>
  <si>
    <t>Number</t>
  </si>
  <si>
    <t>10 to 17</t>
  </si>
  <si>
    <t>18 and over</t>
  </si>
  <si>
    <t>Total (where age was known)</t>
  </si>
  <si>
    <t>Proportion</t>
  </si>
  <si>
    <t>Reason for search</t>
  </si>
  <si>
    <t>Anticipation of Violence</t>
  </si>
  <si>
    <t>Criminal Damage</t>
  </si>
  <si>
    <t>Drugs</t>
  </si>
  <si>
    <t>Firearms</t>
  </si>
  <si>
    <t>Going Equipped</t>
  </si>
  <si>
    <t>Offensive Weapons</t>
  </si>
  <si>
    <t>Other</t>
  </si>
  <si>
    <t>Stolen Property</t>
  </si>
  <si>
    <t>Terrorism Act 2000 s.43a</t>
  </si>
  <si>
    <t>Total</t>
  </si>
  <si>
    <t>Outcome</t>
  </si>
  <si>
    <t>Arrest</t>
  </si>
  <si>
    <t>Caution</t>
  </si>
  <si>
    <t>Community Resolution</t>
  </si>
  <si>
    <t>Guardian Intervention</t>
  </si>
  <si>
    <t>Khat or Cannabis Warning</t>
  </si>
  <si>
    <t>Other Action</t>
  </si>
  <si>
    <t>Penalty Notice for Disorder</t>
  </si>
  <si>
    <t>Seizure of Property</t>
  </si>
  <si>
    <t>Summons</t>
  </si>
  <si>
    <t>Verbal Warning or Words of Advice</t>
  </si>
  <si>
    <t>Voluntary Attendance</t>
  </si>
  <si>
    <t>No Further Action</t>
  </si>
  <si>
    <t>Region</t>
  </si>
  <si>
    <t>Stop and searches 2021</t>
  </si>
  <si>
    <t>Stop and searches 2022</t>
  </si>
  <si>
    <t>Stop and searches 2023</t>
  </si>
  <si>
    <t>East Midlands</t>
  </si>
  <si>
    <t>East of England</t>
  </si>
  <si>
    <t>London</t>
  </si>
  <si>
    <t>North East</t>
  </si>
  <si>
    <t>North West</t>
  </si>
  <si>
    <t>South East</t>
  </si>
  <si>
    <t>South West</t>
  </si>
  <si>
    <t>Wales</t>
  </si>
  <si>
    <t>West Midlands</t>
  </si>
  <si>
    <t>Yorkshire and the Humber</t>
  </si>
  <si>
    <t>England and Wales</t>
  </si>
  <si>
    <t>Number of stop and searches per 10,000 in the 10 to 17 population</t>
  </si>
  <si>
    <t>Police force area</t>
  </si>
  <si>
    <t>Derbyshire</t>
  </si>
  <si>
    <t>Leicestershire</t>
  </si>
  <si>
    <t>Lincolnshire</t>
  </si>
  <si>
    <t>Northamptonshire</t>
  </si>
  <si>
    <t>Nottinghamshire</t>
  </si>
  <si>
    <t>East Midlands Region</t>
  </si>
  <si>
    <t>Bedfordshire</t>
  </si>
  <si>
    <t>Cambridgeshire</t>
  </si>
  <si>
    <t>Essex</t>
  </si>
  <si>
    <t>Hertfordshire</t>
  </si>
  <si>
    <t>Norfolk</t>
  </si>
  <si>
    <t>Suffolk</t>
  </si>
  <si>
    <t>Eastern Region</t>
  </si>
  <si>
    <t>London, City of</t>
  </si>
  <si>
    <t>Metropolitan Police</t>
  </si>
  <si>
    <t>London Region</t>
  </si>
  <si>
    <t>Cleveland</t>
  </si>
  <si>
    <t>Durham</t>
  </si>
  <si>
    <t>Northumbria</t>
  </si>
  <si>
    <t>North East Region</t>
  </si>
  <si>
    <t>Cheshire</t>
  </si>
  <si>
    <t>Cumbria</t>
  </si>
  <si>
    <t>Greater Manchester</t>
  </si>
  <si>
    <t>Lancashire</t>
  </si>
  <si>
    <t>Merseyside</t>
  </si>
  <si>
    <t>North West Region</t>
  </si>
  <si>
    <t>Hampshire</t>
  </si>
  <si>
    <t>Kent</t>
  </si>
  <si>
    <t>Surrey</t>
  </si>
  <si>
    <t>Sussex</t>
  </si>
  <si>
    <t>Thames Valley</t>
  </si>
  <si>
    <t>South East Region</t>
  </si>
  <si>
    <t>Avon &amp; Somerset</t>
  </si>
  <si>
    <t>Devon &amp; Cornwall</t>
  </si>
  <si>
    <t>Dorset</t>
  </si>
  <si>
    <t>Gloucestershire</t>
  </si>
  <si>
    <t>Wiltshire</t>
  </si>
  <si>
    <t>South West Region</t>
  </si>
  <si>
    <t>Dyfed-Powys</t>
  </si>
  <si>
    <t>Gwent</t>
  </si>
  <si>
    <t>North Wales</t>
  </si>
  <si>
    <t>South Wales</t>
  </si>
  <si>
    <t>Staffordshire</t>
  </si>
  <si>
    <t>Warwickshire</t>
  </si>
  <si>
    <t>West Mercia</t>
  </si>
  <si>
    <t>West Midlands Region</t>
  </si>
  <si>
    <t>Humberside</t>
  </si>
  <si>
    <t>North Yorkshire</t>
  </si>
  <si>
    <t>South Yorkshire</t>
  </si>
  <si>
    <t>West Yorkshire</t>
  </si>
  <si>
    <t>Yorkshire and the Humber Region</t>
  </si>
  <si>
    <t>British Transport Police</t>
  </si>
  <si>
    <t>This worksheet shows one table. Some cells refer to notes, which can be found in the notes worksheet.</t>
  </si>
  <si>
    <t>Some cells have no available data. ".." = Not available</t>
  </si>
  <si>
    <t>Characteristic</t>
  </si>
  <si>
    <t>2014</t>
  </si>
  <si>
    <t>2015</t>
  </si>
  <si>
    <t>2016</t>
  </si>
  <si>
    <t>2017</t>
  </si>
  <si>
    <t>2018</t>
  </si>
  <si>
    <t>2019</t>
  </si>
  <si>
    <t>2020</t>
  </si>
  <si>
    <t>2021</t>
  </si>
  <si>
    <t>2022</t>
  </si>
  <si>
    <t>2023</t>
  </si>
  <si>
    <t>Number by sex</t>
  </si>
  <si>
    <t>Boys</t>
  </si>
  <si>
    <t>Girls</t>
  </si>
  <si>
    <t>Unknown</t>
  </si>
  <si>
    <t>Total number by sex</t>
  </si>
  <si>
    <t xml:space="preserve">Total </t>
  </si>
  <si>
    <t>Black</t>
  </si>
  <si>
    <t>Asian or Other</t>
  </si>
  <si>
    <t>Mixed</t>
  </si>
  <si>
    <t>Proportion by sex</t>
  </si>
  <si>
    <t>Total proportion by sex</t>
  </si>
  <si>
    <t>Number of arrests</t>
  </si>
  <si>
    <t>Proportion of arrests</t>
  </si>
  <si>
    <t>This worksheet contains one table.</t>
  </si>
  <si>
    <t>Avon and Somerset</t>
  </si>
  <si>
    <t>Devon and Cornwall</t>
  </si>
  <si>
    <t>Offence group</t>
  </si>
  <si>
    <t>Criminal damage and arson</t>
  </si>
  <si>
    <t>Drug offences</t>
  </si>
  <si>
    <t>Fraud offences</t>
  </si>
  <si>
    <t>Misc. crimes against society</t>
  </si>
  <si>
    <t>Possession of weapons offences</t>
  </si>
  <si>
    <t>Public order offences</t>
  </si>
  <si>
    <t>Robbery</t>
  </si>
  <si>
    <t>Sexual offences</t>
  </si>
  <si>
    <t>Theft offences</t>
  </si>
  <si>
    <t>Violence against the person</t>
  </si>
  <si>
    <t>Miscellaneous crimes against society</t>
  </si>
  <si>
    <t>Some cells are have no available data. ".." = Not available</t>
  </si>
  <si>
    <t>Some cells have no available data. "-" = 0, ".." = Not available</t>
  </si>
  <si>
    <t>Proportion
White</t>
  </si>
  <si>
    <t>Proportion
Black</t>
  </si>
  <si>
    <t>Proportion
Asian or Other</t>
  </si>
  <si>
    <t>Proportion
Mixed</t>
  </si>
  <si>
    <t>Proportion
Ethnic minorities</t>
  </si>
  <si>
    <t xml:space="preserve"> Greater Manchester</t>
  </si>
  <si>
    <t xml:space="preserve"> Lancashire</t>
  </si>
  <si>
    <t>East of England Region</t>
  </si>
  <si>
    <t>England Total</t>
  </si>
  <si>
    <t>Dyfed Powys</t>
  </si>
  <si>
    <t>Wales Total</t>
  </si>
  <si>
    <t>Some cells have no available data. "[x]" = Not available.</t>
  </si>
  <si>
    <t>The year on year change for proportions refers to percentage points.</t>
  </si>
  <si>
    <t>Indictable offences</t>
  </si>
  <si>
    <t>Simple caution</t>
  </si>
  <si>
    <t>[x]</t>
  </si>
  <si>
    <t>Conditional caution</t>
  </si>
  <si>
    <t>Total number</t>
  </si>
  <si>
    <t>All cautions</t>
  </si>
  <si>
    <t>Summary offences</t>
  </si>
  <si>
    <t>All offences</t>
  </si>
  <si>
    <t>Total proportion</t>
  </si>
  <si>
    <t>All cautions for indictable offences (as a proportion of all cautions)</t>
  </si>
  <si>
    <t>All cautions for summary offences (as a proportion of all cautions)</t>
  </si>
  <si>
    <t>Simple caution (as a proportion of all cautions)</t>
  </si>
  <si>
    <t>Conditional caution (as a proportion of all cautions)</t>
  </si>
  <si>
    <t>Sex</t>
  </si>
  <si>
    <t>Ethnicity</t>
  </si>
  <si>
    <t>Asian</t>
  </si>
  <si>
    <t>Ethnic minority</t>
  </si>
  <si>
    <t>This worksheet contains one table. Some cells have notes, which can be found in the notes worksheet.</t>
  </si>
  <si>
    <t>Offence Group</t>
  </si>
  <si>
    <t>Possession of weapons</t>
  </si>
  <si>
    <t>Miscellaneous crime against society</t>
  </si>
  <si>
    <t>Total indictable offences</t>
  </si>
  <si>
    <t>Summary non-motoring offences</t>
  </si>
  <si>
    <t>Stop and searches of by age group where known, years ending March 2021 to 2024</t>
  </si>
  <si>
    <t>Stop and searches of 10 to 17 year olds by reason for search, years ending March 2021 to 2024</t>
  </si>
  <si>
    <t>Arrests for recorded crime by police force area, years ending March 2014 to 2024</t>
  </si>
  <si>
    <t>Arrests for notifiable offences of children by offence group, years ending March 2016 to March 2024</t>
  </si>
  <si>
    <t>Arrests for notifiable offences of children by offence group and sex, year ending March 2024</t>
  </si>
  <si>
    <t>Youth cautions given to children, years ending March 2014 to 2024</t>
  </si>
  <si>
    <t>Youth cautions given to children by sex, years ending March 2014 to 2024</t>
  </si>
  <si>
    <t>Youth cautions given to children by sex and offence, years ending March 2014 to 2024</t>
  </si>
  <si>
    <t>Number of stop and searches 2024</t>
  </si>
  <si>
    <t>Proportion of stop and searches 2024</t>
  </si>
  <si>
    <t>Table 1.3: Stop and searches of 10 to 17 year olds by reason for search, years ending March 2021 to 2024</t>
  </si>
  <si>
    <t>Stop and searches 2024</t>
  </si>
  <si>
    <t>2024</t>
  </si>
  <si>
    <t>Stop and searches per 1,000 population 2024</t>
  </si>
  <si>
    <t>Items in connection with protest related offences: suspicion-led</t>
  </si>
  <si>
    <t>Table 1.4: Stop and searches of 10 to 17 year olds by outcome, years ending March 2021 to 2024</t>
  </si>
  <si>
    <t>Table 1.5: Stop and searches of 10 to 17 year olds by region, years ending March 2021 to 2024</t>
  </si>
  <si>
    <t>Table 1.6: Stop and searches of 10 to 17 year olds by police force area, years ending March 2021 to 2024</t>
  </si>
  <si>
    <t>Numbers and rates per 1,000 of the 10 to 17 population</t>
  </si>
  <si>
    <t>Stop and searches of 10 to 17 year olds by outcome, years ending March 2021 to 2024</t>
  </si>
  <si>
    <t>Stop and searches of 10 to 17 year olds by region, years ending March 2021 to 2024</t>
  </si>
  <si>
    <t>Stop and searches of 10 to 17 year olds by police force area, years ending March 2021 to 2024</t>
  </si>
  <si>
    <t>Arrests for notifiable offences of children by region, years ending March 2014 to 2024</t>
  </si>
  <si>
    <t>% change 
years ending March 2023 to March 2024</t>
  </si>
  <si>
    <t>% change 
years ending March 2014 to March 2024</t>
  </si>
  <si>
    <t>% change 
years ending March 2019 to March 2024</t>
  </si>
  <si>
    <t>10 to 17 population (2021 Census)</t>
  </si>
  <si>
    <t>England and Wales [note 3]</t>
  </si>
  <si>
    <t>Excludes data for the British Transport Police which is included in other tables.</t>
  </si>
  <si>
    <t>10 to 17 population [note 2]</t>
  </si>
  <si>
    <t>Proportion by 
police force area [note 4][note 5]</t>
  </si>
  <si>
    <t>Total [note 18]</t>
  </si>
  <si>
    <t>The information in this publication for the first quarter of 2024 in relation to cautions is provisional.</t>
  </si>
  <si>
    <t>Proportions are based on where sex is known. In the year ending March 2024, the sex was unknown for 2% of children receiving a youth caution.</t>
  </si>
  <si>
    <t>Simple caution (as a proportion of all cautions for indictable offences)</t>
  </si>
  <si>
    <t>Conditional caution (as a proportion of all cautions for indictable offences)</t>
  </si>
  <si>
    <t>Simple caution (as a proportion of all cautions for summary offences)</t>
  </si>
  <si>
    <t>Conditional caution (as a proportion of all cautions for summary offences)</t>
  </si>
  <si>
    <t>Type of caution unknown</t>
  </si>
  <si>
    <t>Table 1.2: Stop and searches by age group where known, years ending March 2021 to 2024</t>
  </si>
  <si>
    <t>Table 1.8:  Arrests of 10 to 17 year olds for notifiable offences by region, years ending March 2014 to 2024 [note 4]</t>
  </si>
  <si>
    <t>Table 1.9: Arrests of 10 to 17 year olds for recorded crime by police force area, years ending March 2014 to 2024 [note 4]</t>
  </si>
  <si>
    <t>Table 1.10: Arrests of 10 to 17 year olds for notifiable offences by offence group, years ending March 2016 to March 2024 [note 4][note 6][note 7]</t>
  </si>
  <si>
    <t>Table 1.11: Arrests 10 to 17 year olds for notifiable offences by offence group and sex, year ending March 2024 [note 6]</t>
  </si>
  <si>
    <t>Table 1.14: Youth cautions given to 10 to 17 year olds, by caution type, years ending March 2014 to 2024 [note 8][note 9][note 10][note 11][note 12]</t>
  </si>
  <si>
    <t>Table 1.15: Youth cautions given to 10 to 17 year olds by sex, years ending March 2014 to 2024 [note 8][note 9][note 10][note 11][note 12]</t>
  </si>
  <si>
    <t>In a very small number of cases, the type of caution (simple or conditional) is unkown: Proportions are calculated excluding these cases.</t>
  </si>
  <si>
    <t>Stop and searches of 10 to 17 year olds by ethnic group, years ending March 2021 to 2024 against the 10 to 17 population</t>
  </si>
  <si>
    <t>Arrests for recorded crime (notifiable offences) of children aged 10 to 17 by sex and ethnic group, years ending March 2014 to 2024</t>
  </si>
  <si>
    <t>Arrests for notifiable offences of children by offence group and self-defined ethnic group, year ending March 2024</t>
  </si>
  <si>
    <t>Arrests for recorded crime (notifiable offences) of children by self-defined ethnic group and police force area, year ending March 2024</t>
  </si>
  <si>
    <t>Youth cautions given to children by ethnic group, years ending March 2014 to 2024</t>
  </si>
  <si>
    <t>Proportions are based on where ethnic group is known. In the year ending March 2024, the ethnic group was unknown for 2% of all stop and searches of children.</t>
  </si>
  <si>
    <t>The ethnic group breakdown is based on a 4+1 classification. Categories of ethnic group identified and recorded by police officer according to the appearance of children are not the same as those self-identified and recorded on census.</t>
  </si>
  <si>
    <t>Table 1.1: Stop and searches of 10 to 17 year olds by ethnic group, years ending March 2021 and March 2024</t>
  </si>
  <si>
    <t>Total
(where ethnic group is known)</t>
  </si>
  <si>
    <t>Unknown ethnic group [note 1]</t>
  </si>
  <si>
    <t>Total (including
unknown ethnic group)</t>
  </si>
  <si>
    <t>Table 1.7: Arrests of 10 to 17 year olds for recorded crime (notifiable offences) by sex and ethnic group, years ending March 2014 to 2024 [note 4]</t>
  </si>
  <si>
    <t>Number by ethnic group</t>
  </si>
  <si>
    <t>Total number by ethnic group</t>
  </si>
  <si>
    <t>Proportion by ethnic group</t>
  </si>
  <si>
    <t>Total proportion by ethnic group [note 5]</t>
  </si>
  <si>
    <t>Table 1.12: Arrests of 10 to 17 year olds for notifiable offences by offence group and self-defined ethnic group, year ending March 2024 [note 6]</t>
  </si>
  <si>
    <t>Table 1.13: Arrests of 10 to 17 year olds for recorded crime (notifiable offences) by self-defined ethnic group and police force area, year ending March 2024</t>
  </si>
  <si>
    <t>In the year ending March 2016 the offence groups used as the reason for giving a youth caution were updated to match the groups used in crime statistics. Whilst this should not have an impact on the total number of cautions, or on the number of cautions broken down by age, ethnic group or sex, data broken down by offence group from the year ending March 2016 onwards are not all directly comparable with previous data. Though some offence groups have the same name as in previous years, the individual offences that make up these groups may have changed, so they are not comparable. See www.gov.uk/government/statistics/police-powers-and-procedures-england-and-wales-year-ending-31-march-2016 for further information.</t>
  </si>
  <si>
    <t>Offence type [note 13]</t>
  </si>
  <si>
    <t>Caution type [note 14]</t>
  </si>
  <si>
    <t>All cautions [note 15]</t>
  </si>
  <si>
    <t>Table 1.16: Youth cautions given to 10 to 17 year olds by ethnicity, years ending March 2014 to 2024 [note 8][note 9][note 10][note 11][note 12][note 17]</t>
  </si>
  <si>
    <t>Table 1.17: Youth cautions given to 10 to 17 year olds by sex and offence, years ending March 2014 to 2024 [note 8][note 9][note 10][note 11][note 12][note 19]</t>
  </si>
  <si>
    <t>Total [note 16]</t>
  </si>
  <si>
    <t>This worksheet contains one table and contains notes for chapter 1 supplementary tables.</t>
  </si>
  <si>
    <t>Proportions are based on where ethnic group is known. In the year ending March 2024, the ethnic group was unknown for 2% of children receiving a youth caution or sentence.</t>
  </si>
  <si>
    <t>Comparable offence group data is not available prior to the year ending March 2016.</t>
  </si>
  <si>
    <t>Figures may vary from those previously published, due to minor changes in classifications and other data revisions.</t>
  </si>
  <si>
    <t>Caution type information was only made available from January 2019. Therefore, figures have been provided for the first full year for which data was made available (year ending March 2020).</t>
  </si>
  <si>
    <t>In previous publications ,proportions were based on where ethnic group was known but for this year, due to the high proportion of unknowns, they have been included in the calculation.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</si>
</sst>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0_-;\-* #,##0_-;_-* &quot;-&quot;_-;_-@_-"/>
    <numFmt numFmtId="43" formatCode="_-* #,##0.00_-;\-* #,##0.00_-;_-* &quot;-&quot;??_-;_-@_-"/>
    <numFmt numFmtId="164" formatCode="0_)"/>
    <numFmt numFmtId="165" formatCode="0.0"/>
    <numFmt numFmtId="166" formatCode="0.0%"/>
    <numFmt numFmtId="167" formatCode="#,##0.0_);\(#,##0.0\)"/>
    <numFmt numFmtId="168" formatCode="&quot; &quot;#,##0&quot; &quot;;&quot;-&quot;#,##0&quot; &quot;;&quot; -&quot;00&quot; &quot;;&quot; &quot;@&quot; &quot;"/>
    <numFmt numFmtId="169" formatCode="_-[$€-2]* #,##0.00_-;\-[$€-2]* #,##0.00_-;_-[$€-2]* &quot;-&quot;??_-"/>
    <numFmt numFmtId="170" formatCode="#,##0.00_ ;[Red]\-#,##0.00\ "/>
    <numFmt numFmtId="171" formatCode="&quot; &quot;#,##0.00&quot; &quot;;&quot;-&quot;#,##0.00&quot; &quot;;&quot; -&quot;00&quot; &quot;;&quot; &quot;@&quot; &quot;"/>
    <numFmt numFmtId="172" formatCode="0.0_ ;\-0.0\ "/>
  </numFmts>
  <fonts count="43" x14ac:knownFonts="1">
    <font>
      <sz val="12"/>
      <name val="Arial"/>
    </font>
    <font>
      <sz val="12"/>
      <name val="Arial"/>
      <family val="2"/>
    </font>
    <font>
      <sz val="8"/>
      <name val="Arial"/>
      <family val="2"/>
    </font>
    <font>
      <sz val="10"/>
      <name val="Arial"/>
      <family val="2"/>
    </font>
    <font>
      <sz val="10"/>
      <name val="Arial"/>
      <family val="2"/>
    </font>
    <font>
      <u/>
      <sz val="12"/>
      <color indexed="12"/>
      <name val="Arial"/>
      <family val="2"/>
    </font>
    <font>
      <sz val="10"/>
      <name val="Courier"/>
    </font>
    <font>
      <sz val="8"/>
      <name val="Arial"/>
      <family val="2"/>
    </font>
    <font>
      <b/>
      <sz val="12"/>
      <name val="Arial"/>
      <family val="2"/>
    </font>
    <font>
      <sz val="12"/>
      <name val="Arial"/>
      <family val="2"/>
    </font>
    <font>
      <u/>
      <sz val="10"/>
      <color indexed="12"/>
      <name val="Arial"/>
      <family val="2"/>
    </font>
    <font>
      <u/>
      <sz val="8"/>
      <color indexed="12"/>
      <name val="Arial"/>
      <family val="2"/>
    </font>
    <font>
      <sz val="10"/>
      <name val="Courier"/>
      <family val="3"/>
    </font>
    <font>
      <u/>
      <sz val="12"/>
      <color indexed="12"/>
      <name val="Arial"/>
      <family val="2"/>
    </font>
    <font>
      <sz val="8"/>
      <color indexed="9"/>
      <name val="Arial"/>
      <family val="2"/>
    </font>
    <font>
      <u/>
      <sz val="20"/>
      <name val="Arial"/>
      <family val="2"/>
    </font>
    <font>
      <b/>
      <sz val="8"/>
      <color indexed="9"/>
      <name val="Arial"/>
      <family val="2"/>
    </font>
    <font>
      <b/>
      <sz val="8"/>
      <color indexed="18"/>
      <name val="Arial"/>
      <family val="2"/>
    </font>
    <font>
      <sz val="8"/>
      <color indexed="18"/>
      <name val="Arial"/>
      <family val="2"/>
    </font>
    <font>
      <sz val="12"/>
      <name val="Arial"/>
      <family val="2"/>
    </font>
    <font>
      <sz val="10"/>
      <color indexed="8"/>
      <name val="Arial"/>
      <family val="2"/>
    </font>
    <font>
      <sz val="8"/>
      <name val="Arial"/>
      <family val="2"/>
    </font>
    <font>
      <b/>
      <sz val="10"/>
      <name val="Arial"/>
      <family val="2"/>
    </font>
    <font>
      <sz val="9"/>
      <name val="Arial"/>
      <family val="2"/>
    </font>
    <font>
      <b/>
      <sz val="9"/>
      <name val="Arial"/>
      <family val="2"/>
    </font>
    <font>
      <u/>
      <sz val="9"/>
      <name val="Arial"/>
      <family val="2"/>
    </font>
    <font>
      <b/>
      <sz val="11"/>
      <name val="Arial"/>
      <family val="2"/>
    </font>
    <font>
      <sz val="11"/>
      <name val="Arial"/>
      <family val="2"/>
    </font>
    <font>
      <sz val="11"/>
      <color theme="1"/>
      <name val="Calibri"/>
      <family val="2"/>
      <scheme val="minor"/>
    </font>
    <font>
      <sz val="12"/>
      <color theme="1"/>
      <name val="Arial"/>
      <family val="2"/>
    </font>
    <font>
      <sz val="12"/>
      <color rgb="FF000000"/>
      <name val="Arial"/>
      <family val="2"/>
    </font>
    <font>
      <b/>
      <sz val="15"/>
      <color theme="3"/>
      <name val="Calibri"/>
      <family val="2"/>
      <scheme val="minor"/>
    </font>
    <font>
      <u/>
      <sz val="10"/>
      <color rgb="FF0000FF"/>
      <name val="Arial"/>
      <family val="2"/>
    </font>
    <font>
      <u/>
      <sz val="12"/>
      <color rgb="FF0000FF"/>
      <name val="Arial"/>
      <family val="2"/>
    </font>
    <font>
      <u/>
      <sz val="11"/>
      <color theme="10"/>
      <name val="Calibri"/>
      <family val="2"/>
      <scheme val="minor"/>
    </font>
    <font>
      <sz val="10"/>
      <color rgb="FF000000"/>
      <name val="Arial"/>
      <family val="2"/>
    </font>
    <font>
      <sz val="9"/>
      <name val="Calibri"/>
      <family val="2"/>
      <scheme val="minor"/>
    </font>
    <font>
      <sz val="9"/>
      <color indexed="8"/>
      <name val="Calibri"/>
      <family val="2"/>
      <scheme val="minor"/>
    </font>
    <font>
      <u/>
      <sz val="10"/>
      <name val="Arial"/>
      <family val="2"/>
    </font>
    <font>
      <b/>
      <sz val="10"/>
      <color theme="1"/>
      <name val="Arial"/>
      <family val="2"/>
    </font>
    <font>
      <sz val="10"/>
      <color theme="1"/>
      <name val="Arial"/>
      <family val="2"/>
    </font>
    <font>
      <sz val="11"/>
      <color theme="1"/>
      <name val="Arial"/>
      <family val="2"/>
    </font>
    <font>
      <sz val="11"/>
      <color indexed="8"/>
      <name val="Arial"/>
      <family val="2"/>
    </font>
  </fonts>
  <fills count="8">
    <fill>
      <patternFill patternType="none"/>
    </fill>
    <fill>
      <patternFill patternType="gray125"/>
    </fill>
    <fill>
      <patternFill patternType="solid">
        <fgColor indexed="43"/>
      </patternFill>
    </fill>
    <fill>
      <patternFill patternType="solid">
        <fgColor indexed="16"/>
      </patternFill>
    </fill>
    <fill>
      <patternFill patternType="solid">
        <fgColor indexed="17"/>
      </patternFill>
    </fill>
    <fill>
      <patternFill patternType="solid">
        <fgColor indexed="48"/>
      </patternFill>
    </fill>
    <fill>
      <patternFill patternType="solid">
        <fgColor indexed="65"/>
        <bgColor indexed="64"/>
      </patternFill>
    </fill>
    <fill>
      <patternFill patternType="solid">
        <fgColor indexed="18"/>
      </patternFill>
    </fill>
  </fills>
  <borders count="4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
      <left style="dashed">
        <color indexed="64"/>
      </left>
      <right style="dashed">
        <color indexed="64"/>
      </right>
      <top/>
      <bottom/>
      <diagonal/>
    </border>
    <border>
      <left style="dotted">
        <color indexed="64"/>
      </left>
      <right style="dashed">
        <color indexed="64"/>
      </right>
      <top style="thin">
        <color indexed="64"/>
      </top>
      <bottom/>
      <diagonal/>
    </border>
    <border>
      <left style="dotted">
        <color indexed="64"/>
      </left>
      <right style="dashed">
        <color indexed="64"/>
      </right>
      <top/>
      <bottom/>
      <diagonal/>
    </border>
    <border>
      <left style="dashed">
        <color indexed="64"/>
      </left>
      <right/>
      <top/>
      <bottom/>
      <diagonal/>
    </border>
    <border>
      <left style="dotted">
        <color indexed="64"/>
      </left>
      <right style="dashed">
        <color indexed="64"/>
      </right>
      <top/>
      <bottom style="thin">
        <color indexed="64"/>
      </bottom>
      <diagonal/>
    </border>
    <border>
      <left style="dashed">
        <color indexed="64"/>
      </left>
      <right/>
      <top/>
      <bottom style="thin">
        <color indexed="64"/>
      </bottom>
      <diagonal/>
    </border>
    <border>
      <left style="dashed">
        <color indexed="64"/>
      </left>
      <right style="dashed">
        <color indexed="64"/>
      </right>
      <top/>
      <bottom style="thin">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style="thin">
        <color indexed="64"/>
      </left>
      <right/>
      <top/>
      <bottom/>
      <diagonal/>
    </border>
    <border>
      <left style="thin">
        <color indexed="64"/>
      </left>
      <right/>
      <top style="thin">
        <color indexed="64"/>
      </top>
      <bottom/>
      <diagonal/>
    </border>
    <border>
      <left style="dashed">
        <color indexed="64"/>
      </left>
      <right style="dashed">
        <color indexed="64"/>
      </right>
      <top style="thin">
        <color indexed="64"/>
      </top>
      <bottom style="thin">
        <color indexed="64"/>
      </bottom>
      <diagonal/>
    </border>
    <border>
      <left/>
      <right/>
      <top/>
      <bottom style="thick">
        <color theme="4"/>
      </bottom>
      <diagonal/>
    </border>
    <border>
      <left/>
      <right style="dashed">
        <color indexed="64"/>
      </right>
      <top style="thin">
        <color indexed="64"/>
      </top>
      <bottom style="thin">
        <color indexed="64"/>
      </bottom>
      <diagonal/>
    </border>
    <border>
      <left/>
      <right style="dashed">
        <color indexed="64"/>
      </right>
      <top/>
      <bottom/>
      <diagonal/>
    </border>
    <border>
      <left style="dashed">
        <color indexed="64"/>
      </left>
      <right/>
      <top style="thin">
        <color indexed="64"/>
      </top>
      <bottom/>
      <diagonal/>
    </border>
    <border>
      <left style="thin">
        <color indexed="64"/>
      </left>
      <right/>
      <top/>
      <bottom style="thin">
        <color indexed="64"/>
      </bottom>
      <diagonal/>
    </border>
    <border>
      <left/>
      <right/>
      <top/>
      <bottom style="dashed">
        <color indexed="64"/>
      </bottom>
      <diagonal/>
    </border>
    <border>
      <left/>
      <right/>
      <top style="thin">
        <color indexed="8"/>
      </top>
      <bottom style="thin">
        <color indexed="64"/>
      </bottom>
      <diagonal/>
    </border>
    <border>
      <left style="dashed">
        <color indexed="64"/>
      </left>
      <right/>
      <top style="thin">
        <color indexed="64"/>
      </top>
      <bottom style="thin">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tted">
        <color indexed="64"/>
      </left>
      <right style="dotted">
        <color indexed="64"/>
      </right>
      <top style="dashed">
        <color indexed="64"/>
      </top>
      <bottom style="thin">
        <color indexed="64"/>
      </bottom>
      <diagonal/>
    </border>
    <border>
      <left style="dotted">
        <color indexed="64"/>
      </left>
      <right/>
      <top style="dashed">
        <color indexed="64"/>
      </top>
      <bottom style="thin">
        <color indexed="64"/>
      </bottom>
      <diagonal/>
    </border>
    <border>
      <left/>
      <right style="thin">
        <color indexed="64"/>
      </right>
      <top/>
      <bottom style="dashed">
        <color indexed="64"/>
      </bottom>
      <diagonal/>
    </border>
    <border>
      <left style="dashed">
        <color indexed="64"/>
      </left>
      <right/>
      <top style="dashed">
        <color auto="1"/>
      </top>
      <bottom style="dashed">
        <color auto="1"/>
      </bottom>
      <diagonal/>
    </border>
    <border>
      <left/>
      <right style="thin">
        <color indexed="64"/>
      </right>
      <top style="dashed">
        <color auto="1"/>
      </top>
      <bottom/>
      <diagonal/>
    </border>
    <border>
      <left style="dashed">
        <color indexed="64"/>
      </left>
      <right style="dashed">
        <color indexed="64"/>
      </right>
      <top/>
      <bottom style="dashed">
        <color indexed="64"/>
      </bottom>
      <diagonal/>
    </border>
    <border>
      <left style="dashed">
        <color indexed="64"/>
      </left>
      <right style="dashed">
        <color indexed="64"/>
      </right>
      <top style="dashed">
        <color indexed="64"/>
      </top>
      <bottom style="thin">
        <color indexed="64"/>
      </bottom>
      <diagonal/>
    </border>
    <border>
      <left style="dotted">
        <color indexed="64"/>
      </left>
      <right style="dashed">
        <color indexed="64"/>
      </right>
      <top/>
      <bottom style="dashed">
        <color indexed="64"/>
      </bottom>
      <diagonal/>
    </border>
    <border>
      <left style="thin">
        <color indexed="64"/>
      </left>
      <right/>
      <top/>
      <bottom style="dashed">
        <color indexed="64"/>
      </bottom>
      <diagonal/>
    </border>
    <border>
      <left style="dashed">
        <color indexed="64"/>
      </left>
      <right/>
      <top/>
      <bottom style="dashed">
        <color indexed="64"/>
      </bottom>
      <diagonal/>
    </border>
    <border>
      <left style="dotted">
        <color indexed="64"/>
      </left>
      <right style="dashed">
        <color indexed="64"/>
      </right>
      <top style="dashed">
        <color indexed="64"/>
      </top>
      <bottom style="thin">
        <color indexed="64"/>
      </bottom>
      <diagonal/>
    </border>
    <border>
      <left style="thin">
        <color indexed="64"/>
      </left>
      <right/>
      <top style="dashed">
        <color indexed="64"/>
      </top>
      <bottom style="thin">
        <color indexed="64"/>
      </bottom>
      <diagonal/>
    </border>
  </borders>
  <cellStyleXfs count="80">
    <xf numFmtId="0" fontId="0" fillId="0" borderId="0"/>
    <xf numFmtId="43" fontId="29"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1" fontId="30" fillId="0" borderId="0" applyFont="0" applyFill="0" applyBorder="0" applyAlignment="0" applyProtection="0"/>
    <xf numFmtId="43" fontId="29"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171" fontId="30" fillId="0" borderId="0" applyFont="0" applyFill="0" applyBorder="0" applyAlignment="0" applyProtection="0"/>
    <xf numFmtId="43" fontId="1" fillId="0" borderId="0" applyFont="0" applyFill="0" applyBorder="0" applyAlignment="0" applyProtection="0"/>
    <xf numFmtId="169" fontId="3" fillId="0" borderId="0" applyFont="0" applyFill="0" applyBorder="0" applyAlignment="0" applyProtection="0"/>
    <xf numFmtId="0" fontId="31" fillId="0" borderId="18" applyNumberFormat="0" applyFill="0" applyAlignment="0" applyProtection="0"/>
    <xf numFmtId="0" fontId="5" fillId="0" borderId="0" applyNumberFormat="0" applyFill="0" applyBorder="0" applyAlignment="0" applyProtection="0">
      <alignment vertical="top"/>
      <protection locked="0"/>
    </xf>
    <xf numFmtId="0" fontId="32" fillId="0" borderId="0" applyNumberFormat="0" applyFill="0" applyBorder="0" applyAlignment="0" applyProtection="0"/>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3" fillId="0" borderId="0" applyNumberFormat="0" applyFill="0" applyBorder="0" applyAlignment="0" applyProtection="0"/>
    <xf numFmtId="0" fontId="5" fillId="0" borderId="0" applyNumberFormat="0" applyFill="0" applyBorder="0" applyAlignment="0" applyProtection="0">
      <alignment vertical="top"/>
      <protection locked="0"/>
    </xf>
    <xf numFmtId="0" fontId="34" fillId="0" borderId="0" applyNumberFormat="0" applyFill="0" applyBorder="0" applyAlignment="0" applyProtection="0"/>
    <xf numFmtId="0" fontId="7" fillId="0" borderId="0">
      <alignment horizontal="left"/>
    </xf>
    <xf numFmtId="0" fontId="2" fillId="0" borderId="0">
      <alignment horizontal="left"/>
    </xf>
    <xf numFmtId="4" fontId="14" fillId="3" borderId="0"/>
    <xf numFmtId="4" fontId="14" fillId="4" borderId="0"/>
    <xf numFmtId="4" fontId="7" fillId="2" borderId="0"/>
    <xf numFmtId="4" fontId="2" fillId="2" borderId="0"/>
    <xf numFmtId="0" fontId="14" fillId="5" borderId="0">
      <alignment horizontal="left"/>
    </xf>
    <xf numFmtId="0" fontId="11" fillId="6" borderId="0"/>
    <xf numFmtId="0" fontId="15" fillId="6" borderId="0"/>
    <xf numFmtId="170" fontId="7" fillId="0" borderId="0">
      <alignment horizontal="right"/>
    </xf>
    <xf numFmtId="170" fontId="2" fillId="0" borderId="0">
      <alignment horizontal="right"/>
    </xf>
    <xf numFmtId="0" fontId="16" fillId="7" borderId="0">
      <alignment horizontal="left"/>
    </xf>
    <xf numFmtId="0" fontId="16" fillId="5" borderId="0">
      <alignment horizontal="left"/>
    </xf>
    <xf numFmtId="0" fontId="17" fillId="0" borderId="0">
      <alignment horizontal="left"/>
    </xf>
    <xf numFmtId="0" fontId="7" fillId="0" borderId="0">
      <alignment horizontal="left"/>
    </xf>
    <xf numFmtId="0" fontId="2" fillId="0" borderId="0">
      <alignment horizontal="left"/>
    </xf>
    <xf numFmtId="0" fontId="8" fillId="0" borderId="0"/>
    <xf numFmtId="0" fontId="18" fillId="0" borderId="0">
      <alignment horizontal="left"/>
    </xf>
    <xf numFmtId="0" fontId="17" fillId="0" borderId="0"/>
    <xf numFmtId="0" fontId="17" fillId="0" borderId="0"/>
    <xf numFmtId="0" fontId="1" fillId="0" borderId="0"/>
    <xf numFmtId="0" fontId="1" fillId="0" borderId="0"/>
    <xf numFmtId="0" fontId="28" fillId="0" borderId="0"/>
    <xf numFmtId="0" fontId="3" fillId="0" borderId="0"/>
    <xf numFmtId="0" fontId="35" fillId="0" borderId="0" applyNumberFormat="0" applyBorder="0" applyProtection="0"/>
    <xf numFmtId="0" fontId="9" fillId="0" borderId="0"/>
    <xf numFmtId="0" fontId="35" fillId="0" borderId="0" applyNumberFormat="0" applyFont="0" applyBorder="0" applyProtection="0"/>
    <xf numFmtId="0" fontId="9" fillId="0" borderId="0"/>
    <xf numFmtId="0" fontId="1" fillId="0" borderId="0"/>
    <xf numFmtId="0" fontId="35" fillId="0" borderId="0" applyNumberFormat="0" applyBorder="0" applyProtection="0"/>
    <xf numFmtId="0" fontId="30" fillId="0" borderId="0" applyNumberFormat="0" applyFont="0" applyBorder="0" applyProtection="0"/>
    <xf numFmtId="0" fontId="1" fillId="0" borderId="0"/>
    <xf numFmtId="0" fontId="9" fillId="0" borderId="0"/>
    <xf numFmtId="0" fontId="30" fillId="0" borderId="0" applyNumberFormat="0" applyBorder="0" applyProtection="0"/>
    <xf numFmtId="0" fontId="1" fillId="0" borderId="0"/>
    <xf numFmtId="0" fontId="29" fillId="0" borderId="0"/>
    <xf numFmtId="0" fontId="3" fillId="0" borderId="0"/>
    <xf numFmtId="0" fontId="30" fillId="0" borderId="0" applyNumberFormat="0" applyBorder="0" applyProtection="0"/>
    <xf numFmtId="0" fontId="28" fillId="0" borderId="0"/>
    <xf numFmtId="0" fontId="28" fillId="0" borderId="0"/>
    <xf numFmtId="0" fontId="4" fillId="0" borderId="0"/>
    <xf numFmtId="0" fontId="3" fillId="0" borderId="0"/>
    <xf numFmtId="0" fontId="30" fillId="0" borderId="0"/>
    <xf numFmtId="0" fontId="28" fillId="0" borderId="0"/>
    <xf numFmtId="0" fontId="28" fillId="0" borderId="0"/>
    <xf numFmtId="164" fontId="12" fillId="0" borderId="0"/>
    <xf numFmtId="167" fontId="6" fillId="0" borderId="0"/>
    <xf numFmtId="9" fontId="1"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30"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9" fontId="28" fillId="0" borderId="0" applyFont="0" applyFill="0" applyBorder="0" applyAlignment="0" applyProtection="0"/>
    <xf numFmtId="9" fontId="1" fillId="0" borderId="0" applyFont="0" applyFill="0" applyBorder="0" applyAlignment="0" applyProtection="0"/>
    <xf numFmtId="9" fontId="28" fillId="0" borderId="0" applyFont="0" applyFill="0" applyBorder="0" applyAlignment="0" applyProtection="0"/>
    <xf numFmtId="0" fontId="3" fillId="0" borderId="0"/>
    <xf numFmtId="0" fontId="8" fillId="0" borderId="0">
      <alignment horizontal="left" vertical="top"/>
    </xf>
  </cellStyleXfs>
  <cellXfs count="343">
    <xf numFmtId="0" fontId="0" fillId="0" borderId="0" xfId="0"/>
    <xf numFmtId="0" fontId="37" fillId="0" borderId="0" xfId="55" applyFont="1" applyAlignment="1">
      <alignment horizontal="left" vertical="top"/>
    </xf>
    <xf numFmtId="0" fontId="0" fillId="0" borderId="0" xfId="0" applyAlignment="1">
      <alignment vertical="center"/>
    </xf>
    <xf numFmtId="0" fontId="36" fillId="0" borderId="0" xfId="40" applyFont="1" applyAlignment="1">
      <alignment vertical="center"/>
    </xf>
    <xf numFmtId="0" fontId="3" fillId="0" borderId="0" xfId="0" applyFont="1"/>
    <xf numFmtId="0" fontId="23" fillId="0" borderId="0" xfId="0" applyFont="1"/>
    <xf numFmtId="0" fontId="24" fillId="0" borderId="0" xfId="0" applyFont="1" applyAlignment="1">
      <alignment horizontal="center" vertical="center" wrapText="1"/>
    </xf>
    <xf numFmtId="0" fontId="24" fillId="0" borderId="0" xfId="55" applyFont="1" applyAlignment="1">
      <alignment vertical="center"/>
    </xf>
    <xf numFmtId="0" fontId="25" fillId="0" borderId="0" xfId="12" applyFont="1" applyFill="1" applyAlignment="1" applyProtection="1"/>
    <xf numFmtId="0" fontId="23" fillId="0" borderId="0" xfId="0" applyFont="1" applyAlignment="1">
      <alignment vertical="top"/>
    </xf>
    <xf numFmtId="0" fontId="1" fillId="0" borderId="0" xfId="0" applyFont="1"/>
    <xf numFmtId="0" fontId="8" fillId="0" borderId="0" xfId="11" applyFont="1" applyBorder="1"/>
    <xf numFmtId="0" fontId="3" fillId="0" borderId="0" xfId="0" applyFont="1" applyAlignment="1">
      <alignment horizontal="center" vertical="center"/>
    </xf>
    <xf numFmtId="0" fontId="3" fillId="0" borderId="0" xfId="0" applyFont="1" applyAlignment="1">
      <alignment wrapText="1"/>
    </xf>
    <xf numFmtId="0" fontId="24" fillId="0" borderId="0" xfId="0" applyFont="1"/>
    <xf numFmtId="0" fontId="23" fillId="0" borderId="0" xfId="0" applyFont="1" applyAlignment="1">
      <alignment vertical="center"/>
    </xf>
    <xf numFmtId="0" fontId="1" fillId="0" borderId="0" xfId="0" applyFont="1" applyAlignment="1">
      <alignment vertical="center"/>
    </xf>
    <xf numFmtId="0" fontId="3" fillId="0" borderId="0" xfId="0" applyFont="1" applyAlignment="1">
      <alignment horizontal="left"/>
    </xf>
    <xf numFmtId="0" fontId="22" fillId="0" borderId="2" xfId="0" applyFont="1" applyBorder="1" applyAlignment="1">
      <alignment horizontal="left" vertical="center" wrapText="1"/>
    </xf>
    <xf numFmtId="0" fontId="22" fillId="0" borderId="2" xfId="0" applyFont="1" applyBorder="1" applyAlignment="1">
      <alignment horizontal="right" vertical="center" wrapText="1"/>
    </xf>
    <xf numFmtId="0" fontId="3" fillId="0" borderId="0" xfId="0" quotePrefix="1" applyFont="1" applyAlignment="1">
      <alignment horizontal="left"/>
    </xf>
    <xf numFmtId="0" fontId="3" fillId="0" borderId="3" xfId="0" quotePrefix="1" applyFont="1" applyBorder="1" applyAlignment="1">
      <alignment horizontal="left"/>
    </xf>
    <xf numFmtId="0" fontId="3" fillId="0" borderId="3" xfId="0" applyFont="1" applyBorder="1" applyAlignment="1">
      <alignment horizontal="left"/>
    </xf>
    <xf numFmtId="0" fontId="3" fillId="0" borderId="2" xfId="0" applyFont="1" applyBorder="1" applyAlignment="1">
      <alignment horizontal="left"/>
    </xf>
    <xf numFmtId="0" fontId="23" fillId="0" borderId="0" xfId="46" applyFont="1"/>
    <xf numFmtId="0" fontId="1" fillId="0" borderId="0" xfId="55" applyFont="1"/>
    <xf numFmtId="0" fontId="23" fillId="0" borderId="0" xfId="0" applyFont="1" applyAlignment="1">
      <alignment horizontal="left" vertical="center" wrapText="1"/>
    </xf>
    <xf numFmtId="0" fontId="23" fillId="0" borderId="0" xfId="0" applyFont="1" applyAlignment="1">
      <alignment vertical="center" wrapText="1"/>
    </xf>
    <xf numFmtId="0" fontId="8" fillId="0" borderId="0" xfId="0" applyFont="1"/>
    <xf numFmtId="0" fontId="8" fillId="0" borderId="0" xfId="79">
      <alignment horizontal="left" vertical="top"/>
    </xf>
    <xf numFmtId="0" fontId="1" fillId="0" borderId="0" xfId="46" applyFont="1" applyBorder="1" applyAlignment="1" applyProtection="1">
      <alignment vertical="center"/>
      <protection locked="0"/>
    </xf>
    <xf numFmtId="0" fontId="1" fillId="0" borderId="0" xfId="79" applyFont="1">
      <alignment horizontal="left" vertical="top"/>
    </xf>
    <xf numFmtId="0" fontId="3" fillId="0" borderId="0" xfId="55" applyFont="1" applyAlignment="1">
      <alignment horizontal="left" vertical="center"/>
    </xf>
    <xf numFmtId="0" fontId="22" fillId="0" borderId="2" xfId="55" applyFont="1" applyBorder="1" applyAlignment="1">
      <alignment horizontal="left" vertical="center"/>
    </xf>
    <xf numFmtId="0" fontId="22" fillId="0" borderId="2" xfId="0" quotePrefix="1" applyFont="1" applyBorder="1" applyAlignment="1">
      <alignment horizontal="right" vertical="center"/>
    </xf>
    <xf numFmtId="3" fontId="3" fillId="0" borderId="0" xfId="0" applyNumberFormat="1" applyFont="1" applyAlignment="1">
      <alignment horizontal="right" vertical="center"/>
    </xf>
    <xf numFmtId="9" fontId="3" fillId="0" borderId="0" xfId="67" applyFont="1" applyAlignment="1">
      <alignment horizontal="right" vertical="center"/>
    </xf>
    <xf numFmtId="0" fontId="22" fillId="0" borderId="2" xfId="0" applyFont="1" applyBorder="1" applyAlignment="1">
      <alignment horizontal="left" vertical="center"/>
    </xf>
    <xf numFmtId="0" fontId="3" fillId="0" borderId="0" xfId="0" applyFont="1" applyAlignment="1">
      <alignment horizontal="left" vertical="center"/>
    </xf>
    <xf numFmtId="0" fontId="1" fillId="0" borderId="0" xfId="46" applyFont="1"/>
    <xf numFmtId="167" fontId="20" fillId="0" borderId="0" xfId="66" applyFont="1" applyAlignment="1">
      <alignment vertical="top" wrapText="1"/>
    </xf>
    <xf numFmtId="0" fontId="3" fillId="0" borderId="0" xfId="0" applyFont="1" applyAlignment="1">
      <alignment vertical="top" wrapText="1"/>
    </xf>
    <xf numFmtId="168" fontId="3" fillId="0" borderId="0" xfId="1" applyNumberFormat="1" applyFont="1" applyFill="1"/>
    <xf numFmtId="168" fontId="3" fillId="0" borderId="0" xfId="1" applyNumberFormat="1" applyFont="1" applyFill="1" applyBorder="1"/>
    <xf numFmtId="0" fontId="20" fillId="0" borderId="0" xfId="55" applyFont="1" applyAlignment="1">
      <alignment vertical="top" wrapText="1"/>
    </xf>
    <xf numFmtId="167" fontId="20" fillId="0" borderId="0" xfId="66" applyFont="1" applyAlignment="1">
      <alignment vertical="top"/>
    </xf>
    <xf numFmtId="0" fontId="27" fillId="0" borderId="0" xfId="0" applyFont="1" applyAlignment="1">
      <alignment vertical="center"/>
    </xf>
    <xf numFmtId="0" fontId="27" fillId="0" borderId="0" xfId="40" applyFont="1" applyAlignment="1">
      <alignment vertical="top"/>
    </xf>
    <xf numFmtId="0" fontId="23" fillId="0" borderId="0" xfId="0" applyFont="1" applyAlignment="1">
      <alignment horizontal="right" vertical="center"/>
    </xf>
    <xf numFmtId="3" fontId="3" fillId="0" borderId="0" xfId="67" applyNumberFormat="1" applyFont="1" applyFill="1" applyBorder="1" applyAlignment="1">
      <alignment horizontal="right" vertical="center"/>
    </xf>
    <xf numFmtId="3" fontId="3" fillId="0" borderId="2" xfId="67" applyNumberFormat="1" applyFont="1" applyFill="1" applyBorder="1" applyAlignment="1">
      <alignment horizontal="right" vertical="center"/>
    </xf>
    <xf numFmtId="9" fontId="3" fillId="0" borderId="3" xfId="67" applyFont="1" applyFill="1" applyBorder="1" applyAlignment="1">
      <alignment horizontal="right" vertical="center"/>
    </xf>
    <xf numFmtId="0" fontId="3" fillId="0" borderId="3" xfId="0" applyFont="1" applyBorder="1" applyAlignment="1">
      <alignment horizontal="right" vertical="center"/>
    </xf>
    <xf numFmtId="9" fontId="3" fillId="0" borderId="2" xfId="67" applyFont="1" applyFill="1" applyBorder="1" applyAlignment="1">
      <alignment horizontal="right" vertical="center"/>
    </xf>
    <xf numFmtId="3" fontId="3" fillId="0" borderId="3" xfId="0" applyNumberFormat="1" applyFont="1" applyBorder="1" applyAlignment="1">
      <alignment horizontal="right" vertical="center"/>
    </xf>
    <xf numFmtId="0" fontId="3" fillId="0" borderId="3" xfId="0" applyFont="1" applyBorder="1" applyAlignment="1">
      <alignment horizontal="right" vertical="center" wrapText="1"/>
    </xf>
    <xf numFmtId="0" fontId="3" fillId="0" borderId="2" xfId="0" applyFont="1" applyBorder="1" applyAlignment="1">
      <alignment horizontal="right" vertical="center" wrapText="1"/>
    </xf>
    <xf numFmtId="1" fontId="3" fillId="0" borderId="3" xfId="0" applyNumberFormat="1" applyFont="1" applyBorder="1" applyAlignment="1">
      <alignment horizontal="right" vertical="center"/>
    </xf>
    <xf numFmtId="1" fontId="3" fillId="0" borderId="0" xfId="0" applyNumberFormat="1" applyFont="1" applyAlignment="1">
      <alignment horizontal="right" vertical="center"/>
    </xf>
    <xf numFmtId="0" fontId="3" fillId="0" borderId="0" xfId="0" applyFont="1" applyAlignment="1">
      <alignment horizontal="right" vertical="center"/>
    </xf>
    <xf numFmtId="9" fontId="24" fillId="0" borderId="0" xfId="67" applyFont="1" applyAlignment="1">
      <alignment horizontal="right" vertical="center"/>
    </xf>
    <xf numFmtId="0" fontId="23" fillId="0" borderId="0" xfId="46" applyFont="1" applyAlignment="1">
      <alignment horizontal="right" vertical="center"/>
    </xf>
    <xf numFmtId="0" fontId="25" fillId="0" borderId="0" xfId="12" applyFont="1" applyFill="1" applyAlignment="1" applyProtection="1">
      <alignment horizontal="right" vertical="center"/>
    </xf>
    <xf numFmtId="3" fontId="3" fillId="0" borderId="0" xfId="45" applyNumberFormat="1" applyFont="1" applyAlignment="1">
      <alignment horizontal="right" vertical="center"/>
    </xf>
    <xf numFmtId="3" fontId="3" fillId="0" borderId="4" xfId="45" applyNumberFormat="1" applyFont="1" applyBorder="1" applyAlignment="1">
      <alignment horizontal="right" vertical="center"/>
    </xf>
    <xf numFmtId="9" fontId="3" fillId="0" borderId="0" xfId="68" applyFont="1" applyFill="1" applyBorder="1" applyAlignment="1">
      <alignment horizontal="right" vertical="center"/>
    </xf>
    <xf numFmtId="3" fontId="3" fillId="0" borderId="12" xfId="45" applyNumberFormat="1" applyFont="1" applyBorder="1" applyAlignment="1">
      <alignment horizontal="right" vertical="center"/>
    </xf>
    <xf numFmtId="3" fontId="3" fillId="0" borderId="13" xfId="45" applyNumberFormat="1" applyFont="1" applyBorder="1" applyAlignment="1">
      <alignment horizontal="right" vertical="center"/>
    </xf>
    <xf numFmtId="9" fontId="3" fillId="0" borderId="12" xfId="68" applyFont="1" applyFill="1" applyBorder="1" applyAlignment="1">
      <alignment horizontal="right" vertical="center"/>
    </xf>
    <xf numFmtId="9" fontId="3" fillId="0" borderId="0" xfId="67" applyFont="1" applyFill="1" applyAlignment="1">
      <alignment horizontal="right" vertical="center"/>
    </xf>
    <xf numFmtId="9" fontId="3" fillId="0" borderId="4" xfId="67" applyFont="1" applyFill="1" applyBorder="1" applyAlignment="1">
      <alignment horizontal="right" vertical="center"/>
    </xf>
    <xf numFmtId="172" fontId="3" fillId="0" borderId="0" xfId="68" applyNumberFormat="1" applyFont="1" applyFill="1" applyBorder="1" applyAlignment="1">
      <alignment horizontal="right" vertical="center"/>
    </xf>
    <xf numFmtId="9" fontId="3" fillId="0" borderId="0" xfId="67" applyFont="1" applyFill="1" applyBorder="1" applyAlignment="1">
      <alignment horizontal="right" vertical="center"/>
    </xf>
    <xf numFmtId="0" fontId="3" fillId="0" borderId="0" xfId="0" applyFont="1" applyAlignment="1" applyProtection="1">
      <alignment horizontal="left" vertical="center"/>
      <protection locked="0"/>
    </xf>
    <xf numFmtId="0" fontId="22" fillId="0" borderId="2" xfId="45" quotePrefix="1" applyFont="1" applyBorder="1" applyAlignment="1" applyProtection="1">
      <alignment horizontal="right" vertical="center"/>
      <protection locked="0"/>
    </xf>
    <xf numFmtId="41" fontId="3" fillId="0" borderId="0" xfId="1" applyNumberFormat="1" applyFont="1" applyFill="1" applyBorder="1" applyAlignment="1">
      <alignment horizontal="right" vertical="center"/>
    </xf>
    <xf numFmtId="41" fontId="3" fillId="0" borderId="3" xfId="1" applyNumberFormat="1" applyFont="1" applyFill="1" applyBorder="1" applyAlignment="1">
      <alignment horizontal="right" vertical="center"/>
    </xf>
    <xf numFmtId="41" fontId="22" fillId="0" borderId="3" xfId="1" applyNumberFormat="1" applyFont="1" applyFill="1" applyBorder="1" applyAlignment="1">
      <alignment horizontal="right" vertical="center"/>
    </xf>
    <xf numFmtId="3" fontId="3" fillId="0" borderId="0" xfId="55" applyNumberFormat="1" applyFont="1" applyAlignment="1">
      <alignment horizontal="right" vertical="center"/>
    </xf>
    <xf numFmtId="49" fontId="22" fillId="0" borderId="2" xfId="46" applyNumberFormat="1" applyFont="1" applyBorder="1" applyAlignment="1" applyProtection="1">
      <alignment horizontal="right" vertical="center"/>
      <protection locked="0"/>
    </xf>
    <xf numFmtId="0" fontId="22" fillId="0" borderId="2" xfId="46" applyNumberFormat="1" applyFont="1" applyBorder="1" applyAlignment="1" applyProtection="1">
      <alignment horizontal="right" vertical="center"/>
      <protection locked="0"/>
    </xf>
    <xf numFmtId="9" fontId="3" fillId="0" borderId="0" xfId="55" applyNumberFormat="1" applyFont="1" applyAlignment="1">
      <alignment horizontal="right" vertical="center"/>
    </xf>
    <xf numFmtId="168" fontId="3" fillId="0" borderId="0" xfId="1" applyNumberFormat="1" applyFont="1" applyFill="1" applyAlignment="1">
      <alignment horizontal="right" vertical="center"/>
    </xf>
    <xf numFmtId="41" fontId="3" fillId="0" borderId="6" xfId="1" applyNumberFormat="1" applyFont="1" applyFill="1" applyBorder="1" applyAlignment="1">
      <alignment horizontal="right" vertical="center"/>
    </xf>
    <xf numFmtId="41" fontId="3" fillId="0" borderId="7" xfId="1" applyNumberFormat="1" applyFont="1" applyFill="1" applyBorder="1" applyAlignment="1">
      <alignment horizontal="right" vertical="center"/>
    </xf>
    <xf numFmtId="9" fontId="22" fillId="0" borderId="3" xfId="67" applyFont="1" applyFill="1" applyBorder="1" applyAlignment="1">
      <alignment horizontal="right" vertical="center"/>
    </xf>
    <xf numFmtId="168" fontId="3" fillId="0" borderId="0" xfId="1" applyNumberFormat="1" applyFont="1" applyFill="1" applyAlignment="1">
      <alignment horizontal="left" vertical="center"/>
    </xf>
    <xf numFmtId="0" fontId="22" fillId="0" borderId="0" xfId="0" applyFont="1" applyAlignment="1">
      <alignment horizontal="left" vertical="top"/>
    </xf>
    <xf numFmtId="41" fontId="22" fillId="0" borderId="1" xfId="1" applyNumberFormat="1" applyFont="1" applyFill="1" applyBorder="1" applyAlignment="1">
      <alignment horizontal="right" vertical="center"/>
    </xf>
    <xf numFmtId="41" fontId="22" fillId="0" borderId="19" xfId="1" applyNumberFormat="1" applyFont="1" applyFill="1" applyBorder="1" applyAlignment="1">
      <alignment horizontal="right" vertical="center"/>
    </xf>
    <xf numFmtId="41" fontId="22" fillId="0" borderId="17" xfId="1" applyNumberFormat="1" applyFont="1" applyFill="1" applyBorder="1" applyAlignment="1">
      <alignment horizontal="right" vertical="center"/>
    </xf>
    <xf numFmtId="9" fontId="3" fillId="0" borderId="8" xfId="67" applyFont="1" applyFill="1" applyBorder="1" applyAlignment="1">
      <alignment horizontal="right" vertical="center"/>
    </xf>
    <xf numFmtId="9" fontId="3" fillId="0" borderId="21" xfId="67" applyFont="1" applyFill="1" applyBorder="1" applyAlignment="1">
      <alignment horizontal="right" vertical="center"/>
    </xf>
    <xf numFmtId="9" fontId="22" fillId="0" borderId="21" xfId="67" applyFont="1" applyFill="1" applyBorder="1" applyAlignment="1">
      <alignment horizontal="right" vertical="center"/>
    </xf>
    <xf numFmtId="49" fontId="22" fillId="0" borderId="2" xfId="1" applyNumberFormat="1" applyFont="1" applyFill="1" applyBorder="1" applyAlignment="1">
      <alignment horizontal="left" vertical="center" wrapText="1"/>
    </xf>
    <xf numFmtId="168" fontId="22" fillId="0" borderId="2" xfId="1" applyNumberFormat="1" applyFont="1" applyFill="1" applyBorder="1" applyAlignment="1">
      <alignment horizontal="right" vertical="center" wrapText="1"/>
    </xf>
    <xf numFmtId="168" fontId="22" fillId="0" borderId="2" xfId="1" applyNumberFormat="1" applyFont="1" applyFill="1" applyBorder="1" applyAlignment="1" applyProtection="1">
      <alignment horizontal="right" vertical="center" wrapText="1"/>
      <protection locked="0"/>
    </xf>
    <xf numFmtId="168" fontId="22" fillId="0" borderId="9" xfId="1" applyNumberFormat="1" applyFont="1" applyFill="1" applyBorder="1" applyAlignment="1" applyProtection="1">
      <alignment horizontal="right" vertical="center" wrapText="1"/>
      <protection locked="0"/>
    </xf>
    <xf numFmtId="168" fontId="22" fillId="0" borderId="10" xfId="1" applyNumberFormat="1" applyFont="1" applyFill="1" applyBorder="1" applyAlignment="1" applyProtection="1">
      <alignment horizontal="right" vertical="center" wrapText="1"/>
      <protection locked="0"/>
    </xf>
    <xf numFmtId="49" fontId="22" fillId="0" borderId="22" xfId="1" applyNumberFormat="1" applyFont="1" applyFill="1" applyBorder="1" applyAlignment="1">
      <alignment horizontal="left" vertical="center" wrapText="1"/>
    </xf>
    <xf numFmtId="41" fontId="22" fillId="0" borderId="6" xfId="1" applyNumberFormat="1" applyFont="1" applyFill="1" applyBorder="1" applyAlignment="1">
      <alignment horizontal="right" vertical="center"/>
    </xf>
    <xf numFmtId="41" fontId="22" fillId="0" borderId="21" xfId="1" applyNumberFormat="1" applyFont="1" applyFill="1" applyBorder="1" applyAlignment="1">
      <alignment horizontal="right" vertical="center"/>
    </xf>
    <xf numFmtId="164" fontId="8" fillId="0" borderId="0" xfId="65" applyFont="1" applyAlignment="1" applyProtection="1">
      <alignment horizontal="left"/>
      <protection locked="0"/>
    </xf>
    <xf numFmtId="0" fontId="1" fillId="0" borderId="0" xfId="52" applyFont="1" applyAlignment="1">
      <alignment horizontal="left"/>
    </xf>
    <xf numFmtId="0" fontId="27" fillId="0" borderId="0" xfId="0" applyFont="1"/>
    <xf numFmtId="0" fontId="1" fillId="0" borderId="0" xfId="52" applyFont="1"/>
    <xf numFmtId="9" fontId="1" fillId="0" borderId="0" xfId="0" applyNumberFormat="1" applyFont="1"/>
    <xf numFmtId="0" fontId="22" fillId="0" borderId="2" xfId="0" applyFont="1" applyBorder="1" applyAlignment="1">
      <alignment vertical="center"/>
    </xf>
    <xf numFmtId="0" fontId="22" fillId="0" borderId="2" xfId="0" applyFont="1" applyBorder="1" applyAlignment="1">
      <alignment horizontal="right" vertical="center"/>
    </xf>
    <xf numFmtId="0" fontId="22" fillId="0" borderId="2" xfId="52" applyFont="1" applyBorder="1" applyAlignment="1">
      <alignment horizontal="right" vertical="center" wrapText="1"/>
    </xf>
    <xf numFmtId="164" fontId="3" fillId="0" borderId="0" xfId="65" applyFont="1" applyAlignment="1" applyProtection="1">
      <alignment horizontal="left" wrapText="1"/>
      <protection locked="0"/>
    </xf>
    <xf numFmtId="3" fontId="3" fillId="0" borderId="0" xfId="0" applyNumberFormat="1" applyFont="1" applyAlignment="1">
      <alignment horizontal="right"/>
    </xf>
    <xf numFmtId="0" fontId="3" fillId="0" borderId="0" xfId="0" applyFont="1" applyAlignment="1">
      <alignment horizontal="right"/>
    </xf>
    <xf numFmtId="9" fontId="3" fillId="0" borderId="0" xfId="74" applyFont="1" applyFill="1" applyBorder="1" applyAlignment="1">
      <alignment horizontal="right"/>
    </xf>
    <xf numFmtId="164" fontId="22" fillId="0" borderId="0" xfId="65" applyFont="1" applyAlignment="1" applyProtection="1">
      <alignment horizontal="left" wrapText="1"/>
      <protection locked="0"/>
    </xf>
    <xf numFmtId="0" fontId="22" fillId="0" borderId="0" xfId="0" applyFont="1"/>
    <xf numFmtId="3" fontId="22" fillId="0" borderId="0" xfId="0" applyNumberFormat="1" applyFont="1" applyAlignment="1">
      <alignment horizontal="right"/>
    </xf>
    <xf numFmtId="9" fontId="22" fillId="0" borderId="0" xfId="74" applyFont="1" applyFill="1" applyBorder="1" applyAlignment="1">
      <alignment horizontal="right"/>
    </xf>
    <xf numFmtId="164" fontId="3" fillId="0" borderId="0" xfId="65" applyFont="1" applyAlignment="1" applyProtection="1">
      <alignment horizontal="left" vertical="center" wrapText="1"/>
      <protection locked="0"/>
    </xf>
    <xf numFmtId="165" fontId="22" fillId="0" borderId="0" xfId="74" applyNumberFormat="1" applyFont="1" applyFill="1" applyBorder="1" applyAlignment="1">
      <alignment horizontal="right"/>
    </xf>
    <xf numFmtId="165" fontId="26" fillId="0" borderId="0" xfId="74" applyNumberFormat="1" applyFont="1" applyFill="1" applyBorder="1"/>
    <xf numFmtId="3" fontId="3" fillId="0" borderId="0" xfId="0" applyNumberFormat="1" applyFont="1"/>
    <xf numFmtId="9" fontId="3" fillId="0" borderId="0" xfId="74" applyFont="1" applyFill="1" applyBorder="1"/>
    <xf numFmtId="0" fontId="26" fillId="0" borderId="0" xfId="0" applyFont="1" applyAlignment="1">
      <alignment horizontal="right" vertical="center"/>
    </xf>
    <xf numFmtId="0" fontId="26" fillId="0" borderId="0" xfId="0" applyFont="1" applyAlignment="1">
      <alignment vertical="top"/>
    </xf>
    <xf numFmtId="0" fontId="26" fillId="0" borderId="0" xfId="0" applyFont="1"/>
    <xf numFmtId="0" fontId="27" fillId="0" borderId="0" xfId="0" applyFont="1" applyAlignment="1">
      <alignment vertical="top"/>
    </xf>
    <xf numFmtId="167" fontId="27" fillId="0" borderId="0" xfId="66" applyFont="1" applyAlignment="1">
      <alignment horizontal="right" vertical="center"/>
    </xf>
    <xf numFmtId="0" fontId="27" fillId="0" borderId="0" xfId="0" applyFont="1" applyAlignment="1">
      <alignment horizontal="right" vertical="center"/>
    </xf>
    <xf numFmtId="0" fontId="1" fillId="0" borderId="0" xfId="0" applyFont="1" applyAlignment="1">
      <alignment horizontal="right" vertical="center"/>
    </xf>
    <xf numFmtId="9" fontId="3" fillId="0" borderId="0" xfId="74" applyFont="1" applyFill="1" applyBorder="1" applyAlignment="1">
      <alignment horizontal="right" vertical="center"/>
    </xf>
    <xf numFmtId="165" fontId="3" fillId="0" borderId="0" xfId="74" applyNumberFormat="1" applyFont="1" applyFill="1" applyBorder="1" applyAlignment="1">
      <alignment horizontal="right" vertical="center"/>
    </xf>
    <xf numFmtId="0" fontId="27" fillId="0" borderId="0" xfId="40" applyFont="1" applyAlignment="1">
      <alignment horizontal="right" vertical="center"/>
    </xf>
    <xf numFmtId="0" fontId="3" fillId="0" borderId="0" xfId="0" applyFont="1" applyAlignment="1">
      <alignment horizontal="left" vertical="center" wrapText="1"/>
    </xf>
    <xf numFmtId="0" fontId="3" fillId="0" borderId="3" xfId="0" applyFont="1" applyBorder="1" applyAlignment="1">
      <alignment horizontal="left" vertical="center" wrapText="1"/>
    </xf>
    <xf numFmtId="9" fontId="3" fillId="0" borderId="3" xfId="74" applyFont="1" applyFill="1" applyBorder="1" applyAlignment="1">
      <alignment horizontal="right" vertical="center"/>
    </xf>
    <xf numFmtId="0" fontId="26" fillId="0" borderId="0" xfId="0" applyFont="1" applyAlignment="1">
      <alignment horizontal="center"/>
    </xf>
    <xf numFmtId="0" fontId="1" fillId="0" borderId="0" xfId="0" applyFont="1" applyAlignment="1">
      <alignment horizontal="center"/>
    </xf>
    <xf numFmtId="0" fontId="26" fillId="0" borderId="0" xfId="0" applyFont="1" applyAlignment="1">
      <alignment horizontal="left"/>
    </xf>
    <xf numFmtId="0" fontId="3" fillId="0" borderId="0" xfId="0" applyFont="1" applyAlignment="1">
      <alignment vertical="center" wrapText="1"/>
    </xf>
    <xf numFmtId="0" fontId="3" fillId="0" borderId="0" xfId="0" applyFont="1" applyAlignment="1">
      <alignment vertical="center"/>
    </xf>
    <xf numFmtId="0" fontId="38" fillId="0" borderId="0" xfId="12" applyFont="1" applyFill="1" applyAlignment="1" applyProtection="1"/>
    <xf numFmtId="49" fontId="22" fillId="0" borderId="2" xfId="46" applyNumberFormat="1" applyFont="1" applyBorder="1" applyAlignment="1" applyProtection="1">
      <alignment horizontal="right" vertical="center" wrapText="1"/>
      <protection locked="0"/>
    </xf>
    <xf numFmtId="49" fontId="22" fillId="0" borderId="11" xfId="46" applyNumberFormat="1" applyFont="1" applyBorder="1" applyAlignment="1" applyProtection="1">
      <alignment horizontal="right" vertical="center" wrapText="1"/>
      <protection locked="0"/>
    </xf>
    <xf numFmtId="3" fontId="3" fillId="0" borderId="5" xfId="55" applyNumberFormat="1" applyFont="1" applyBorder="1" applyAlignment="1">
      <alignment horizontal="right" vertical="center"/>
    </xf>
    <xf numFmtId="9" fontId="3" fillId="0" borderId="5" xfId="67" applyFont="1" applyFill="1" applyBorder="1" applyAlignment="1">
      <alignment horizontal="right" vertical="center"/>
    </xf>
    <xf numFmtId="0" fontId="1" fillId="0" borderId="0" xfId="11" applyFont="1" applyBorder="1"/>
    <xf numFmtId="0" fontId="3" fillId="0" borderId="23" xfId="0" applyFont="1" applyBorder="1" applyAlignment="1" applyProtection="1">
      <alignment horizontal="left" vertical="center"/>
      <protection locked="0"/>
    </xf>
    <xf numFmtId="0" fontId="3" fillId="0" borderId="12" xfId="0" applyFont="1" applyBorder="1" applyAlignment="1" applyProtection="1">
      <alignment horizontal="left" vertical="center"/>
      <protection locked="0"/>
    </xf>
    <xf numFmtId="1" fontId="22" fillId="0" borderId="24" xfId="55" applyNumberFormat="1" applyFont="1" applyBorder="1" applyAlignment="1">
      <alignment horizontal="left" vertical="center" wrapText="1"/>
    </xf>
    <xf numFmtId="164" fontId="3" fillId="0" borderId="3" xfId="65" applyFont="1" applyBorder="1" applyAlignment="1" applyProtection="1">
      <alignment horizontal="left" wrapText="1"/>
      <protection locked="0"/>
    </xf>
    <xf numFmtId="0" fontId="3" fillId="0" borderId="3" xfId="0" applyFont="1" applyBorder="1"/>
    <xf numFmtId="0" fontId="3" fillId="0" borderId="3" xfId="0" applyFont="1" applyBorder="1" applyAlignment="1">
      <alignment horizontal="right"/>
    </xf>
    <xf numFmtId="9" fontId="3" fillId="0" borderId="3" xfId="74" applyFont="1" applyFill="1" applyBorder="1" applyAlignment="1">
      <alignment horizontal="right"/>
    </xf>
    <xf numFmtId="165" fontId="22" fillId="0" borderId="3" xfId="74" applyNumberFormat="1" applyFont="1" applyFill="1" applyBorder="1" applyAlignment="1">
      <alignment horizontal="right"/>
    </xf>
    <xf numFmtId="0" fontId="22" fillId="0" borderId="2" xfId="0" applyFont="1" applyBorder="1"/>
    <xf numFmtId="9" fontId="3" fillId="0" borderId="3" xfId="74" applyFont="1" applyFill="1" applyBorder="1" applyAlignment="1"/>
    <xf numFmtId="165" fontId="3" fillId="0" borderId="3" xfId="74" applyNumberFormat="1" applyFont="1" applyFill="1" applyBorder="1"/>
    <xf numFmtId="0" fontId="3" fillId="0" borderId="3" xfId="0" applyFont="1" applyBorder="1" applyAlignment="1">
      <alignment horizontal="left" vertical="center"/>
    </xf>
    <xf numFmtId="165" fontId="3" fillId="0" borderId="3" xfId="74" applyNumberFormat="1" applyFont="1" applyFill="1" applyBorder="1" applyAlignment="1">
      <alignment horizontal="right" vertical="center"/>
    </xf>
    <xf numFmtId="0" fontId="8" fillId="0" borderId="0" xfId="0" applyFont="1" applyAlignment="1">
      <alignment horizontal="left" vertical="center"/>
    </xf>
    <xf numFmtId="168" fontId="3" fillId="0" borderId="15" xfId="1" applyNumberFormat="1" applyFont="1" applyFill="1" applyBorder="1" applyAlignment="1">
      <alignment horizontal="left" vertical="center"/>
    </xf>
    <xf numFmtId="168" fontId="3" fillId="0" borderId="3" xfId="1" applyNumberFormat="1" applyFont="1" applyFill="1" applyBorder="1" applyAlignment="1">
      <alignment horizontal="left" vertical="center"/>
    </xf>
    <xf numFmtId="168" fontId="3" fillId="0" borderId="16" xfId="1" applyNumberFormat="1" applyFont="1" applyFill="1" applyBorder="1" applyAlignment="1">
      <alignment horizontal="left" vertical="center"/>
    </xf>
    <xf numFmtId="49" fontId="3" fillId="0" borderId="15" xfId="55" applyNumberFormat="1" applyFont="1" applyBorder="1" applyAlignment="1">
      <alignment horizontal="left" vertical="center"/>
    </xf>
    <xf numFmtId="168" fontId="3" fillId="0" borderId="3" xfId="1" applyNumberFormat="1" applyFont="1" applyFill="1" applyBorder="1" applyAlignment="1" applyProtection="1">
      <alignment horizontal="left" vertical="center"/>
      <protection locked="0"/>
    </xf>
    <xf numFmtId="168" fontId="3" fillId="0" borderId="16" xfId="1" applyNumberFormat="1" applyFont="1" applyFill="1" applyBorder="1" applyAlignment="1" applyProtection="1">
      <alignment horizontal="left" vertical="center"/>
      <protection locked="0"/>
    </xf>
    <xf numFmtId="168" fontId="22" fillId="0" borderId="1" xfId="1" applyNumberFormat="1" applyFont="1" applyFill="1" applyBorder="1" applyAlignment="1">
      <alignment horizontal="left" vertical="center"/>
    </xf>
    <xf numFmtId="168" fontId="22" fillId="0" borderId="16" xfId="1" applyNumberFormat="1" applyFont="1" applyFill="1" applyBorder="1" applyAlignment="1">
      <alignment horizontal="left" vertical="center"/>
    </xf>
    <xf numFmtId="168" fontId="22" fillId="0" borderId="3" xfId="1" applyNumberFormat="1" applyFont="1" applyFill="1" applyBorder="1" applyAlignment="1">
      <alignment horizontal="left" vertical="center"/>
    </xf>
    <xf numFmtId="9" fontId="3" fillId="0" borderId="20" xfId="67" applyFont="1" applyFill="1" applyBorder="1" applyAlignment="1">
      <alignment horizontal="right" vertical="center"/>
    </xf>
    <xf numFmtId="3" fontId="23" fillId="0" borderId="0" xfId="0" applyNumberFormat="1" applyFont="1" applyAlignment="1">
      <alignment horizontal="right" vertical="center"/>
    </xf>
    <xf numFmtId="0" fontId="22" fillId="0" borderId="2" xfId="55" applyFont="1" applyBorder="1" applyAlignment="1">
      <alignment horizontal="left" vertical="center" wrapText="1"/>
    </xf>
    <xf numFmtId="0" fontId="22" fillId="0" borderId="2" xfId="0" applyFont="1" applyBorder="1" applyAlignment="1">
      <alignment vertical="center" wrapText="1"/>
    </xf>
    <xf numFmtId="3" fontId="22" fillId="0" borderId="2" xfId="0" applyNumberFormat="1" applyFont="1" applyBorder="1"/>
    <xf numFmtId="3" fontId="22" fillId="0" borderId="1" xfId="0" applyNumberFormat="1" applyFont="1" applyBorder="1"/>
    <xf numFmtId="166" fontId="22" fillId="0" borderId="2" xfId="0" applyNumberFormat="1" applyFont="1" applyBorder="1"/>
    <xf numFmtId="166" fontId="3" fillId="0" borderId="0" xfId="0" applyNumberFormat="1" applyFont="1"/>
    <xf numFmtId="166" fontId="22" fillId="0" borderId="1" xfId="0" applyNumberFormat="1" applyFont="1" applyBorder="1"/>
    <xf numFmtId="0" fontId="22" fillId="0" borderId="1" xfId="0" applyFont="1" applyBorder="1"/>
    <xf numFmtId="0" fontId="22" fillId="0" borderId="1" xfId="0" applyFont="1" applyBorder="1" applyAlignment="1">
      <alignment vertical="center"/>
    </xf>
    <xf numFmtId="0" fontId="22" fillId="0" borderId="1" xfId="0" applyFont="1" applyBorder="1" applyAlignment="1">
      <alignment horizontal="right" vertical="center" wrapText="1"/>
    </xf>
    <xf numFmtId="9" fontId="3" fillId="0" borderId="0" xfId="67" applyFont="1"/>
    <xf numFmtId="1" fontId="22" fillId="0" borderId="1" xfId="55" applyNumberFormat="1" applyFont="1" applyBorder="1" applyAlignment="1">
      <alignment horizontal="left" vertical="center" wrapText="1"/>
    </xf>
    <xf numFmtId="3" fontId="3" fillId="0" borderId="3" xfId="0" applyNumberFormat="1" applyFont="1" applyBorder="1"/>
    <xf numFmtId="166" fontId="3" fillId="0" borderId="3" xfId="0" applyNumberFormat="1" applyFont="1" applyBorder="1"/>
    <xf numFmtId="0" fontId="22" fillId="0" borderId="1" xfId="0" applyFont="1" applyBorder="1" applyAlignment="1">
      <alignment horizontal="left" vertical="center" wrapText="1"/>
    </xf>
    <xf numFmtId="0" fontId="3" fillId="0" borderId="2" xfId="0" quotePrefix="1" applyFont="1" applyBorder="1" applyAlignment="1">
      <alignment horizontal="left"/>
    </xf>
    <xf numFmtId="1" fontId="3" fillId="0" borderId="2" xfId="0" applyNumberFormat="1" applyFont="1" applyBorder="1" applyAlignment="1">
      <alignment horizontal="right" vertical="center"/>
    </xf>
    <xf numFmtId="9" fontId="3" fillId="0" borderId="3" xfId="67" applyFont="1" applyBorder="1" applyAlignment="1">
      <alignment horizontal="right" vertical="center"/>
    </xf>
    <xf numFmtId="165" fontId="3" fillId="0" borderId="0" xfId="0" applyNumberFormat="1" applyFont="1"/>
    <xf numFmtId="9" fontId="23" fillId="0" borderId="0" xfId="67" applyFont="1" applyFill="1" applyAlignment="1">
      <alignment horizontal="right" vertical="center"/>
    </xf>
    <xf numFmtId="9" fontId="0" fillId="0" borderId="0" xfId="0" applyNumberFormat="1"/>
    <xf numFmtId="3" fontId="0" fillId="0" borderId="0" xfId="0" applyNumberFormat="1"/>
    <xf numFmtId="166" fontId="0" fillId="0" borderId="0" xfId="0" applyNumberFormat="1"/>
    <xf numFmtId="9" fontId="1" fillId="0" borderId="0" xfId="67" applyFont="1" applyAlignment="1">
      <alignment horizontal="right" vertical="center"/>
    </xf>
    <xf numFmtId="9" fontId="3" fillId="0" borderId="0" xfId="0" applyNumberFormat="1" applyFont="1"/>
    <xf numFmtId="0" fontId="39" fillId="0" borderId="2" xfId="0" quotePrefix="1" applyFont="1" applyBorder="1" applyAlignment="1">
      <alignment horizontal="right" vertical="center"/>
    </xf>
    <xf numFmtId="3" fontId="40" fillId="0" borderId="0" xfId="0" applyNumberFormat="1" applyFont="1" applyAlignment="1">
      <alignment horizontal="right" vertical="center"/>
    </xf>
    <xf numFmtId="0" fontId="41" fillId="0" borderId="0" xfId="0" applyFont="1" applyAlignment="1">
      <alignment vertical="top"/>
    </xf>
    <xf numFmtId="0" fontId="41" fillId="0" borderId="0" xfId="0" applyFont="1"/>
    <xf numFmtId="167" fontId="42" fillId="0" borderId="0" xfId="66" applyFont="1" applyAlignment="1">
      <alignment vertical="center"/>
    </xf>
    <xf numFmtId="167" fontId="42" fillId="0" borderId="0" xfId="66" applyFont="1" applyAlignment="1">
      <alignment vertical="top"/>
    </xf>
    <xf numFmtId="0" fontId="22" fillId="0" borderId="1" xfId="45" quotePrefix="1" applyFont="1" applyBorder="1" applyAlignment="1" applyProtection="1">
      <alignment horizontal="right" vertical="center"/>
      <protection locked="0"/>
    </xf>
    <xf numFmtId="9" fontId="3" fillId="0" borderId="0" xfId="67" applyFont="1" applyAlignment="1">
      <alignment horizontal="right"/>
    </xf>
    <xf numFmtId="165" fontId="3" fillId="0" borderId="3" xfId="0" applyNumberFormat="1" applyFont="1" applyBorder="1"/>
    <xf numFmtId="9" fontId="23" fillId="0" borderId="0" xfId="67" applyFont="1" applyAlignment="1">
      <alignment horizontal="right" vertical="center"/>
    </xf>
    <xf numFmtId="9" fontId="0" fillId="0" borderId="0" xfId="67" applyFont="1"/>
    <xf numFmtId="3" fontId="3" fillId="0" borderId="2" xfId="0" applyNumberFormat="1" applyFont="1" applyBorder="1" applyAlignment="1">
      <alignment horizontal="right" vertical="center"/>
    </xf>
    <xf numFmtId="9" fontId="3" fillId="0" borderId="11" xfId="67" applyFont="1" applyFill="1" applyBorder="1" applyAlignment="1">
      <alignment horizontal="right" vertical="center"/>
    </xf>
    <xf numFmtId="0" fontId="22" fillId="0" borderId="1" xfId="52" applyFont="1" applyBorder="1" applyAlignment="1">
      <alignment horizontal="right" vertical="center" wrapText="1"/>
    </xf>
    <xf numFmtId="0" fontId="22" fillId="0" borderId="19" xfId="0" applyFont="1" applyBorder="1" applyAlignment="1">
      <alignment horizontal="right" vertical="center" wrapText="1"/>
    </xf>
    <xf numFmtId="0" fontId="22" fillId="0" borderId="17" xfId="0" applyFont="1" applyBorder="1" applyAlignment="1">
      <alignment horizontal="right" vertical="center" wrapText="1"/>
    </xf>
    <xf numFmtId="0" fontId="22" fillId="0" borderId="25" xfId="0" applyFont="1" applyBorder="1" applyAlignment="1">
      <alignment horizontal="right" vertical="center" wrapText="1"/>
    </xf>
    <xf numFmtId="3" fontId="3" fillId="0" borderId="20" xfId="0" applyNumberFormat="1" applyFont="1" applyBorder="1" applyAlignment="1">
      <alignment horizontal="right" vertical="center"/>
    </xf>
    <xf numFmtId="3" fontId="3" fillId="0" borderId="5" xfId="0" applyNumberFormat="1" applyFont="1" applyBorder="1" applyAlignment="1">
      <alignment horizontal="right" vertical="center"/>
    </xf>
    <xf numFmtId="3" fontId="3" fillId="0" borderId="8" xfId="0" applyNumberFormat="1" applyFont="1" applyBorder="1" applyAlignment="1">
      <alignment horizontal="right" vertical="center"/>
    </xf>
    <xf numFmtId="3" fontId="3" fillId="0" borderId="26" xfId="67" applyNumberFormat="1" applyFont="1" applyFill="1" applyBorder="1" applyAlignment="1">
      <alignment horizontal="right" vertical="center"/>
    </xf>
    <xf numFmtId="3" fontId="3" fillId="0" borderId="10" xfId="67" applyNumberFormat="1" applyFont="1" applyFill="1" applyBorder="1" applyAlignment="1">
      <alignment horizontal="right" vertical="center"/>
    </xf>
    <xf numFmtId="9" fontId="3" fillId="0" borderId="27" xfId="67" applyFont="1" applyFill="1" applyBorder="1" applyAlignment="1">
      <alignment horizontal="right" vertical="center"/>
    </xf>
    <xf numFmtId="9" fontId="3" fillId="0" borderId="28" xfId="67" applyFont="1" applyFill="1" applyBorder="1" applyAlignment="1">
      <alignment horizontal="right" vertical="center"/>
    </xf>
    <xf numFmtId="3" fontId="3" fillId="0" borderId="27" xfId="0" applyNumberFormat="1" applyFont="1" applyBorder="1" applyAlignment="1">
      <alignment horizontal="right" vertical="center"/>
    </xf>
    <xf numFmtId="3" fontId="3" fillId="0" borderId="28" xfId="0" applyNumberFormat="1" applyFont="1" applyBorder="1" applyAlignment="1">
      <alignment horizontal="right" vertical="center"/>
    </xf>
    <xf numFmtId="3" fontId="3" fillId="0" borderId="21" xfId="0" applyNumberFormat="1" applyFont="1" applyBorder="1" applyAlignment="1">
      <alignment horizontal="right" vertical="center"/>
    </xf>
    <xf numFmtId="9" fontId="3" fillId="0" borderId="26" xfId="67" applyFont="1" applyFill="1" applyBorder="1" applyAlignment="1">
      <alignment horizontal="right" vertical="center"/>
    </xf>
    <xf numFmtId="9" fontId="3" fillId="0" borderId="10" xfId="67" applyFont="1" applyFill="1" applyBorder="1" applyAlignment="1">
      <alignment horizontal="right" vertical="center"/>
    </xf>
    <xf numFmtId="1" fontId="3" fillId="0" borderId="27" xfId="0" applyNumberFormat="1" applyFont="1" applyBorder="1" applyAlignment="1">
      <alignment horizontal="right" vertical="center"/>
    </xf>
    <xf numFmtId="1" fontId="3" fillId="0" borderId="28" xfId="0" applyNumberFormat="1" applyFont="1" applyBorder="1" applyAlignment="1">
      <alignment horizontal="right" vertical="center"/>
    </xf>
    <xf numFmtId="1" fontId="3" fillId="0" borderId="21" xfId="0" applyNumberFormat="1" applyFont="1" applyBorder="1" applyAlignment="1">
      <alignment horizontal="right" vertical="center"/>
    </xf>
    <xf numFmtId="1" fontId="3" fillId="0" borderId="20" xfId="0" applyNumberFormat="1" applyFont="1" applyBorder="1" applyAlignment="1">
      <alignment horizontal="right" vertical="center"/>
    </xf>
    <xf numFmtId="1" fontId="3" fillId="0" borderId="5" xfId="0" applyNumberFormat="1" applyFont="1" applyBorder="1" applyAlignment="1">
      <alignment horizontal="right" vertical="center"/>
    </xf>
    <xf numFmtId="1" fontId="3" fillId="0" borderId="8" xfId="0" applyNumberFormat="1" applyFont="1" applyBorder="1" applyAlignment="1">
      <alignment horizontal="right" vertical="center"/>
    </xf>
    <xf numFmtId="1" fontId="3" fillId="0" borderId="26" xfId="0" applyNumberFormat="1" applyFont="1" applyBorder="1" applyAlignment="1">
      <alignment horizontal="right" vertical="center"/>
    </xf>
    <xf numFmtId="1" fontId="3" fillId="0" borderId="11" xfId="0" applyNumberFormat="1" applyFont="1" applyBorder="1" applyAlignment="1">
      <alignment horizontal="right" vertical="center"/>
    </xf>
    <xf numFmtId="1" fontId="3" fillId="0" borderId="10" xfId="0" applyNumberFormat="1" applyFont="1" applyBorder="1" applyAlignment="1">
      <alignment horizontal="right" vertical="center"/>
    </xf>
    <xf numFmtId="0" fontId="3" fillId="0" borderId="0" xfId="55" applyFont="1" applyAlignment="1">
      <alignment horizontal="left" vertical="center" wrapText="1"/>
    </xf>
    <xf numFmtId="167" fontId="3" fillId="0" borderId="0" xfId="66" applyFont="1" applyAlignment="1">
      <alignment horizontal="left" vertical="center" wrapText="1"/>
    </xf>
    <xf numFmtId="3" fontId="3" fillId="0" borderId="11" xfId="0" applyNumberFormat="1" applyFont="1" applyBorder="1" applyAlignment="1">
      <alignment horizontal="right" vertical="center"/>
    </xf>
    <xf numFmtId="0" fontId="3" fillId="0" borderId="23" xfId="0" applyFont="1" applyBorder="1" applyAlignment="1">
      <alignment horizontal="left" vertical="center"/>
    </xf>
    <xf numFmtId="164" fontId="3" fillId="0" borderId="23" xfId="65" applyFont="1" applyBorder="1" applyAlignment="1" applyProtection="1">
      <alignment horizontal="left" vertical="center" wrapText="1"/>
      <protection locked="0"/>
    </xf>
    <xf numFmtId="9" fontId="3" fillId="0" borderId="23" xfId="74" applyFont="1" applyFill="1" applyBorder="1" applyAlignment="1">
      <alignment horizontal="right" vertical="center"/>
    </xf>
    <xf numFmtId="165" fontId="3" fillId="0" borderId="23" xfId="74" applyNumberFormat="1" applyFont="1" applyFill="1" applyBorder="1" applyAlignment="1">
      <alignment horizontal="right" vertical="center"/>
    </xf>
    <xf numFmtId="0" fontId="3" fillId="0" borderId="12" xfId="0" applyFont="1" applyBorder="1" applyAlignment="1">
      <alignment horizontal="left" vertical="center"/>
    </xf>
    <xf numFmtId="164" fontId="3" fillId="0" borderId="12" xfId="65" applyFont="1" applyBorder="1" applyAlignment="1" applyProtection="1">
      <alignment horizontal="left" vertical="center" wrapText="1"/>
      <protection locked="0"/>
    </xf>
    <xf numFmtId="9" fontId="3" fillId="0" borderId="12" xfId="74" applyFont="1" applyFill="1" applyBorder="1" applyAlignment="1">
      <alignment horizontal="right" vertical="center"/>
    </xf>
    <xf numFmtId="165" fontId="3" fillId="0" borderId="12" xfId="74" applyNumberFormat="1" applyFont="1" applyFill="1" applyBorder="1" applyAlignment="1">
      <alignment horizontal="right" vertical="center"/>
    </xf>
    <xf numFmtId="0" fontId="3" fillId="0" borderId="14" xfId="0" applyFont="1" applyBorder="1" applyAlignment="1">
      <alignment horizontal="left" vertical="center"/>
    </xf>
    <xf numFmtId="9" fontId="3" fillId="0" borderId="14" xfId="74" applyFont="1" applyFill="1" applyBorder="1" applyAlignment="1">
      <alignment horizontal="right" vertical="center"/>
    </xf>
    <xf numFmtId="3" fontId="3" fillId="0" borderId="23" xfId="0" applyNumberFormat="1" applyFont="1" applyBorder="1" applyAlignment="1">
      <alignment horizontal="right" vertical="center"/>
    </xf>
    <xf numFmtId="3" fontId="3" fillId="0" borderId="12" xfId="0" applyNumberFormat="1" applyFont="1" applyBorder="1" applyAlignment="1">
      <alignment horizontal="right" vertical="center"/>
    </xf>
    <xf numFmtId="3" fontId="3" fillId="0" borderId="14" xfId="0" applyNumberFormat="1" applyFont="1" applyBorder="1" applyAlignment="1">
      <alignment horizontal="right" vertical="center"/>
    </xf>
    <xf numFmtId="0" fontId="3" fillId="0" borderId="23" xfId="0" applyFont="1" applyBorder="1" applyAlignment="1">
      <alignment horizontal="left"/>
    </xf>
    <xf numFmtId="0" fontId="22" fillId="0" borderId="30" xfId="0" applyFont="1" applyBorder="1" applyAlignment="1">
      <alignment horizontal="left"/>
    </xf>
    <xf numFmtId="3" fontId="22" fillId="0" borderId="30" xfId="0" applyNumberFormat="1" applyFont="1" applyBorder="1" applyAlignment="1">
      <alignment horizontal="right" vertical="center"/>
    </xf>
    <xf numFmtId="9" fontId="3" fillId="0" borderId="23" xfId="67" applyFont="1" applyBorder="1" applyAlignment="1">
      <alignment horizontal="right" vertical="center"/>
    </xf>
    <xf numFmtId="165" fontId="3" fillId="0" borderId="23" xfId="0" applyNumberFormat="1" applyFont="1" applyBorder="1"/>
    <xf numFmtId="9" fontId="22" fillId="0" borderId="30" xfId="67" applyFont="1" applyBorder="1" applyAlignment="1">
      <alignment horizontal="right" vertical="center"/>
    </xf>
    <xf numFmtId="0" fontId="22" fillId="0" borderId="30" xfId="0" applyFont="1" applyBorder="1" applyAlignment="1">
      <alignment horizontal="right" vertical="center" wrapText="1"/>
    </xf>
    <xf numFmtId="9" fontId="3" fillId="0" borderId="23" xfId="67" applyFont="1" applyBorder="1"/>
    <xf numFmtId="9" fontId="22" fillId="0" borderId="30" xfId="67" applyFont="1" applyBorder="1"/>
    <xf numFmtId="3" fontId="22" fillId="0" borderId="32" xfId="0" applyNumberFormat="1" applyFont="1" applyBorder="1" applyAlignment="1">
      <alignment horizontal="right" vertical="center"/>
    </xf>
    <xf numFmtId="3" fontId="22" fillId="0" borderId="33" xfId="0" applyNumberFormat="1" applyFont="1" applyBorder="1" applyAlignment="1">
      <alignment horizontal="right" vertical="center"/>
    </xf>
    <xf numFmtId="9" fontId="3" fillId="0" borderId="30" xfId="67" applyFont="1" applyBorder="1"/>
    <xf numFmtId="0" fontId="3" fillId="0" borderId="23" xfId="55" applyFont="1" applyBorder="1" applyAlignment="1">
      <alignment horizontal="left" vertical="center"/>
    </xf>
    <xf numFmtId="3" fontId="3" fillId="0" borderId="23" xfId="0" applyNumberFormat="1" applyFont="1" applyBorder="1"/>
    <xf numFmtId="9" fontId="3" fillId="0" borderId="23" xfId="0" applyNumberFormat="1" applyFont="1" applyBorder="1"/>
    <xf numFmtId="0" fontId="22" fillId="0" borderId="30" xfId="55" applyFont="1" applyBorder="1" applyAlignment="1">
      <alignment horizontal="left" vertical="center"/>
    </xf>
    <xf numFmtId="3" fontId="22" fillId="0" borderId="30" xfId="0" applyNumberFormat="1" applyFont="1" applyBorder="1"/>
    <xf numFmtId="9" fontId="22" fillId="0" borderId="30" xfId="0" applyNumberFormat="1" applyFont="1" applyBorder="1"/>
    <xf numFmtId="165" fontId="22" fillId="0" borderId="30" xfId="0" applyNumberFormat="1" applyFont="1" applyBorder="1"/>
    <xf numFmtId="0" fontId="3" fillId="0" borderId="23" xfId="0" applyFont="1" applyBorder="1"/>
    <xf numFmtId="0" fontId="22" fillId="0" borderId="30" xfId="0" applyFont="1" applyBorder="1"/>
    <xf numFmtId="166" fontId="3" fillId="0" borderId="23" xfId="0" applyNumberFormat="1" applyFont="1" applyBorder="1"/>
    <xf numFmtId="166" fontId="22" fillId="0" borderId="30" xfId="0" applyNumberFormat="1" applyFont="1" applyBorder="1"/>
    <xf numFmtId="9" fontId="3" fillId="0" borderId="23" xfId="68" applyFont="1" applyFill="1" applyBorder="1" applyAlignment="1">
      <alignment horizontal="right" vertical="center"/>
    </xf>
    <xf numFmtId="3" fontId="3" fillId="0" borderId="23" xfId="45" applyNumberFormat="1" applyFont="1" applyBorder="1" applyAlignment="1">
      <alignment horizontal="right" vertical="center"/>
    </xf>
    <xf numFmtId="3" fontId="3" fillId="0" borderId="34" xfId="45" applyNumberFormat="1" applyFont="1" applyBorder="1" applyAlignment="1">
      <alignment horizontal="right" vertical="center"/>
    </xf>
    <xf numFmtId="0" fontId="22" fillId="0" borderId="30" xfId="0" applyFont="1" applyBorder="1" applyAlignment="1" applyProtection="1">
      <alignment horizontal="left" vertical="center"/>
      <protection locked="0"/>
    </xf>
    <xf numFmtId="3" fontId="22" fillId="0" borderId="30" xfId="45" applyNumberFormat="1" applyFont="1" applyBorder="1" applyAlignment="1">
      <alignment horizontal="right" vertical="center"/>
    </xf>
    <xf numFmtId="3" fontId="22" fillId="0" borderId="31" xfId="45" applyNumberFormat="1" applyFont="1" applyBorder="1" applyAlignment="1">
      <alignment horizontal="right" vertical="center"/>
    </xf>
    <xf numFmtId="9" fontId="22" fillId="0" borderId="30" xfId="68" applyFont="1" applyFill="1" applyBorder="1" applyAlignment="1">
      <alignment horizontal="right" vertical="center"/>
    </xf>
    <xf numFmtId="9" fontId="3" fillId="0" borderId="23" xfId="67" applyFont="1" applyFill="1" applyBorder="1" applyAlignment="1">
      <alignment horizontal="right" vertical="center"/>
    </xf>
    <xf numFmtId="9" fontId="3" fillId="0" borderId="34" xfId="67" applyFont="1" applyFill="1" applyBorder="1" applyAlignment="1">
      <alignment horizontal="right" vertical="center"/>
    </xf>
    <xf numFmtId="172" fontId="3" fillId="0" borderId="23" xfId="68" applyNumberFormat="1" applyFont="1" applyFill="1" applyBorder="1" applyAlignment="1">
      <alignment horizontal="right" vertical="center"/>
    </xf>
    <xf numFmtId="9" fontId="22" fillId="0" borderId="30" xfId="67" applyFont="1" applyFill="1" applyBorder="1" applyAlignment="1">
      <alignment horizontal="right" vertical="center"/>
    </xf>
    <xf numFmtId="9" fontId="22" fillId="0" borderId="31" xfId="67" applyFont="1" applyFill="1" applyBorder="1" applyAlignment="1">
      <alignment horizontal="right" vertical="center"/>
    </xf>
    <xf numFmtId="0" fontId="3" fillId="0" borderId="35" xfId="0" applyFont="1" applyBorder="1" applyAlignment="1" applyProtection="1">
      <alignment horizontal="left" vertical="center"/>
      <protection locked="0"/>
    </xf>
    <xf numFmtId="9" fontId="3" fillId="0" borderId="12" xfId="67" applyFont="1" applyFill="1" applyBorder="1" applyAlignment="1">
      <alignment horizontal="right" vertical="center"/>
    </xf>
    <xf numFmtId="9" fontId="3" fillId="0" borderId="13" xfId="67" applyFont="1" applyFill="1" applyBorder="1" applyAlignment="1">
      <alignment horizontal="right" vertical="center"/>
    </xf>
    <xf numFmtId="172" fontId="3" fillId="0" borderId="12" xfId="68" applyNumberFormat="1" applyFont="1" applyFill="1" applyBorder="1" applyAlignment="1">
      <alignment horizontal="right" vertical="center"/>
    </xf>
    <xf numFmtId="0" fontId="22" fillId="0" borderId="14" xfId="0" applyFont="1" applyBorder="1" applyAlignment="1" applyProtection="1">
      <alignment horizontal="left" vertical="center"/>
      <protection locked="0"/>
    </xf>
    <xf numFmtId="9" fontId="22" fillId="0" borderId="14" xfId="67" applyFont="1" applyFill="1" applyBorder="1" applyAlignment="1">
      <alignment horizontal="right" vertical="center"/>
    </xf>
    <xf numFmtId="9" fontId="22" fillId="0" borderId="36" xfId="67" applyFont="1" applyFill="1" applyBorder="1" applyAlignment="1">
      <alignment horizontal="right" vertical="center"/>
    </xf>
    <xf numFmtId="172" fontId="22" fillId="0" borderId="14" xfId="68" applyNumberFormat="1" applyFont="1" applyFill="1" applyBorder="1" applyAlignment="1">
      <alignment horizontal="right" vertical="center"/>
    </xf>
    <xf numFmtId="3" fontId="40" fillId="0" borderId="23" xfId="0" applyNumberFormat="1" applyFont="1" applyBorder="1" applyAlignment="1">
      <alignment horizontal="right" vertical="center"/>
    </xf>
    <xf numFmtId="0" fontId="22" fillId="0" borderId="30" xfId="0" applyFont="1" applyBorder="1" applyAlignment="1">
      <alignment horizontal="left" vertical="center"/>
    </xf>
    <xf numFmtId="3" fontId="39" fillId="0" borderId="30" xfId="0" applyNumberFormat="1" applyFont="1" applyBorder="1" applyAlignment="1">
      <alignment horizontal="right" vertical="center"/>
    </xf>
    <xf numFmtId="3" fontId="3" fillId="0" borderId="23" xfId="55" applyNumberFormat="1" applyFont="1" applyBorder="1" applyAlignment="1">
      <alignment horizontal="right" vertical="center"/>
    </xf>
    <xf numFmtId="3" fontId="22" fillId="0" borderId="30" xfId="55" applyNumberFormat="1" applyFont="1" applyBorder="1" applyAlignment="1">
      <alignment horizontal="right" vertical="center"/>
    </xf>
    <xf numFmtId="9" fontId="3" fillId="0" borderId="23" xfId="55" applyNumberFormat="1" applyFont="1" applyBorder="1" applyAlignment="1">
      <alignment horizontal="right" vertical="center"/>
    </xf>
    <xf numFmtId="9" fontId="22" fillId="0" borderId="30" xfId="55" applyNumberFormat="1" applyFont="1" applyBorder="1" applyAlignment="1">
      <alignment horizontal="right" vertical="center"/>
    </xf>
    <xf numFmtId="3" fontId="3" fillId="0" borderId="37" xfId="55" applyNumberFormat="1" applyFont="1" applyBorder="1" applyAlignment="1">
      <alignment horizontal="right" vertical="center"/>
    </xf>
    <xf numFmtId="3" fontId="22" fillId="0" borderId="38" xfId="55" applyNumberFormat="1" applyFont="1" applyBorder="1" applyAlignment="1">
      <alignment horizontal="right" vertical="center"/>
    </xf>
    <xf numFmtId="9" fontId="3" fillId="0" borderId="37" xfId="67" applyFont="1" applyFill="1" applyBorder="1" applyAlignment="1">
      <alignment horizontal="right" vertical="center"/>
    </xf>
    <xf numFmtId="9" fontId="22" fillId="0" borderId="38" xfId="67" applyFont="1" applyFill="1" applyBorder="1" applyAlignment="1">
      <alignment horizontal="right" vertical="center"/>
    </xf>
    <xf numFmtId="9" fontId="22" fillId="0" borderId="29" xfId="55" applyNumberFormat="1" applyFont="1" applyBorder="1" applyAlignment="1">
      <alignment horizontal="right" vertical="center"/>
    </xf>
    <xf numFmtId="168" fontId="3" fillId="0" borderId="23" xfId="1" applyNumberFormat="1" applyFont="1" applyFill="1" applyBorder="1" applyAlignment="1">
      <alignment horizontal="left" vertical="center"/>
    </xf>
    <xf numFmtId="41" fontId="3" fillId="0" borderId="23" xfId="1" applyNumberFormat="1" applyFont="1" applyFill="1" applyBorder="1" applyAlignment="1">
      <alignment horizontal="right" vertical="center"/>
    </xf>
    <xf numFmtId="41" fontId="3" fillId="0" borderId="39" xfId="1" applyNumberFormat="1" applyFont="1" applyFill="1" applyBorder="1" applyAlignment="1">
      <alignment horizontal="right" vertical="center"/>
    </xf>
    <xf numFmtId="168" fontId="3" fillId="0" borderId="40" xfId="1" applyNumberFormat="1" applyFont="1" applyFill="1" applyBorder="1" applyAlignment="1">
      <alignment horizontal="left" vertical="center"/>
    </xf>
    <xf numFmtId="9" fontId="3" fillId="0" borderId="41" xfId="67" applyFont="1" applyFill="1" applyBorder="1" applyAlignment="1">
      <alignment horizontal="right" vertical="center"/>
    </xf>
    <xf numFmtId="168" fontId="22" fillId="0" borderId="30" xfId="1" applyNumberFormat="1" applyFont="1" applyFill="1" applyBorder="1" applyAlignment="1">
      <alignment horizontal="left" vertical="center"/>
    </xf>
    <xf numFmtId="41" fontId="22" fillId="0" borderId="30" xfId="1" applyNumberFormat="1" applyFont="1" applyFill="1" applyBorder="1" applyAlignment="1">
      <alignment horizontal="right" vertical="center"/>
    </xf>
    <xf numFmtId="41" fontId="22" fillId="0" borderId="42" xfId="1" applyNumberFormat="1" applyFont="1" applyFill="1" applyBorder="1" applyAlignment="1">
      <alignment horizontal="right" vertical="center"/>
    </xf>
    <xf numFmtId="41" fontId="22" fillId="0" borderId="29" xfId="1" applyNumberFormat="1" applyFont="1" applyFill="1" applyBorder="1" applyAlignment="1">
      <alignment horizontal="right" vertical="center"/>
    </xf>
    <xf numFmtId="168" fontId="22" fillId="0" borderId="43" xfId="1" applyNumberFormat="1" applyFont="1" applyFill="1" applyBorder="1" applyAlignment="1">
      <alignment horizontal="left" vertical="center"/>
    </xf>
    <xf numFmtId="9" fontId="22" fillId="0" borderId="29" xfId="67" applyFont="1" applyFill="1" applyBorder="1" applyAlignment="1">
      <alignment horizontal="right" vertical="center"/>
    </xf>
    <xf numFmtId="3" fontId="3" fillId="0" borderId="23" xfId="0" applyNumberFormat="1" applyFont="1" applyBorder="1" applyAlignment="1">
      <alignment horizontal="right"/>
    </xf>
    <xf numFmtId="0" fontId="3" fillId="0" borderId="23" xfId="0" applyFont="1" applyBorder="1" applyAlignment="1">
      <alignment horizontal="right"/>
    </xf>
    <xf numFmtId="9" fontId="3" fillId="0" borderId="23" xfId="74" applyFont="1" applyFill="1" applyBorder="1" applyAlignment="1">
      <alignment horizontal="right"/>
    </xf>
    <xf numFmtId="164" fontId="22" fillId="0" borderId="30" xfId="65" applyFont="1" applyBorder="1" applyAlignment="1" applyProtection="1">
      <alignment horizontal="left" wrapText="1"/>
      <protection locked="0"/>
    </xf>
    <xf numFmtId="164" fontId="22" fillId="0" borderId="30" xfId="65" applyFont="1" applyBorder="1" applyAlignment="1" applyProtection="1">
      <alignment horizontal="left" vertical="center" wrapText="1"/>
      <protection locked="0"/>
    </xf>
    <xf numFmtId="3" fontId="22" fillId="0" borderId="30" xfId="0" applyNumberFormat="1" applyFont="1" applyBorder="1" applyAlignment="1">
      <alignment horizontal="right"/>
    </xf>
    <xf numFmtId="9" fontId="22" fillId="0" borderId="30" xfId="74" applyFont="1" applyFill="1" applyBorder="1" applyAlignment="1">
      <alignment horizontal="right"/>
    </xf>
    <xf numFmtId="164" fontId="3" fillId="0" borderId="23" xfId="65" applyFont="1" applyBorder="1" applyAlignment="1" applyProtection="1">
      <alignment horizontal="left" wrapText="1"/>
      <protection locked="0"/>
    </xf>
    <xf numFmtId="165" fontId="22" fillId="0" borderId="23" xfId="74" applyNumberFormat="1" applyFont="1" applyFill="1" applyBorder="1" applyAlignment="1">
      <alignment horizontal="right"/>
    </xf>
    <xf numFmtId="0" fontId="22" fillId="0" borderId="30" xfId="0" applyFont="1" applyBorder="1" applyAlignment="1">
      <alignment horizontal="right"/>
    </xf>
    <xf numFmtId="9" fontId="3" fillId="0" borderId="23" xfId="74" applyFont="1" applyFill="1" applyBorder="1"/>
    <xf numFmtId="9" fontId="22" fillId="0" borderId="30" xfId="74" applyFont="1" applyFill="1" applyBorder="1"/>
    <xf numFmtId="9" fontId="3" fillId="0" borderId="23" xfId="74" applyFont="1" applyFill="1" applyBorder="1" applyAlignment="1"/>
    <xf numFmtId="165" fontId="3" fillId="0" borderId="23" xfId="74" applyNumberFormat="1" applyFont="1" applyFill="1" applyBorder="1"/>
    <xf numFmtId="9" fontId="22" fillId="0" borderId="30" xfId="74" applyFont="1" applyFill="1" applyBorder="1" applyAlignment="1"/>
    <xf numFmtId="9" fontId="22" fillId="0" borderId="30" xfId="74" applyFont="1" applyFill="1" applyBorder="1" applyAlignment="1">
      <alignment horizontal="right" vertical="center"/>
    </xf>
    <xf numFmtId="0" fontId="22" fillId="0" borderId="30" xfId="0" applyFont="1" applyBorder="1" applyAlignment="1">
      <alignment horizontal="right" vertical="center"/>
    </xf>
    <xf numFmtId="0" fontId="3" fillId="0" borderId="23" xfId="0" applyFont="1" applyBorder="1" applyAlignment="1">
      <alignment horizontal="left" vertical="center" wrapText="1"/>
    </xf>
    <xf numFmtId="0" fontId="22" fillId="0" borderId="12" xfId="0" applyFont="1" applyBorder="1" applyAlignment="1">
      <alignment horizontal="left" vertical="center" wrapText="1"/>
    </xf>
    <xf numFmtId="3" fontId="22" fillId="0" borderId="12" xfId="0" applyNumberFormat="1" applyFont="1" applyBorder="1" applyAlignment="1">
      <alignment horizontal="right" vertical="center"/>
    </xf>
    <xf numFmtId="9" fontId="22" fillId="0" borderId="12" xfId="74" applyFont="1" applyFill="1" applyBorder="1" applyAlignment="1">
      <alignment horizontal="right" vertical="center"/>
    </xf>
    <xf numFmtId="0" fontId="3" fillId="0" borderId="14" xfId="0" applyFont="1" applyBorder="1" applyAlignment="1">
      <alignment horizontal="left" vertical="center" wrapText="1"/>
    </xf>
    <xf numFmtId="0" fontId="22" fillId="0" borderId="30" xfId="0" applyFont="1" applyBorder="1" applyAlignment="1">
      <alignment horizontal="left" vertical="center" wrapText="1"/>
    </xf>
    <xf numFmtId="3" fontId="1" fillId="0" borderId="0" xfId="0" applyNumberFormat="1" applyFont="1"/>
    <xf numFmtId="9" fontId="3" fillId="0" borderId="14" xfId="67" applyFont="1" applyFill="1" applyBorder="1" applyAlignment="1">
      <alignment horizontal="right" vertical="center"/>
    </xf>
    <xf numFmtId="172" fontId="3" fillId="0" borderId="14" xfId="68" applyNumberFormat="1" applyFont="1" applyFill="1" applyBorder="1" applyAlignment="1">
      <alignment horizontal="right" vertical="center"/>
    </xf>
  </cellXfs>
  <cellStyles count="80">
    <cellStyle name="Comma 2" xfId="1" xr:uid="{00000000-0005-0000-0000-000000000000}"/>
    <cellStyle name="Comma 2 2" xfId="2" xr:uid="{00000000-0005-0000-0000-000001000000}"/>
    <cellStyle name="Comma 2 2 2" xfId="3" xr:uid="{00000000-0005-0000-0000-000002000000}"/>
    <cellStyle name="Comma 2 3" xfId="4" xr:uid="{00000000-0005-0000-0000-000003000000}"/>
    <cellStyle name="Comma 2 4" xfId="5" xr:uid="{00000000-0005-0000-0000-000004000000}"/>
    <cellStyle name="Comma 3" xfId="6" xr:uid="{00000000-0005-0000-0000-000005000000}"/>
    <cellStyle name="Comma 3 2" xfId="7" xr:uid="{00000000-0005-0000-0000-000006000000}"/>
    <cellStyle name="Comma 4" xfId="8" xr:uid="{00000000-0005-0000-0000-000007000000}"/>
    <cellStyle name="Comma 5" xfId="9" xr:uid="{00000000-0005-0000-0000-000008000000}"/>
    <cellStyle name="Euro" xfId="10" xr:uid="{00000000-0005-0000-0000-000009000000}"/>
    <cellStyle name="Heading 1" xfId="11" builtinId="16"/>
    <cellStyle name="Hyperlink" xfId="12" builtinId="8"/>
    <cellStyle name="Hyperlink 2" xfId="13" xr:uid="{00000000-0005-0000-0000-00000C000000}"/>
    <cellStyle name="Hyperlink 2 2" xfId="14" xr:uid="{00000000-0005-0000-0000-00000D000000}"/>
    <cellStyle name="Hyperlink 3" xfId="15" xr:uid="{00000000-0005-0000-0000-00000E000000}"/>
    <cellStyle name="Hyperlink 3 2" xfId="16" xr:uid="{00000000-0005-0000-0000-00000F000000}"/>
    <cellStyle name="Hyperlink 4" xfId="17" xr:uid="{00000000-0005-0000-0000-000010000000}"/>
    <cellStyle name="Hyperlink 5" xfId="18" xr:uid="{00000000-0005-0000-0000-000011000000}"/>
    <cellStyle name="Hyperlink 6" xfId="19" xr:uid="{00000000-0005-0000-0000-000012000000}"/>
    <cellStyle name="IABackgroundMembers" xfId="20" xr:uid="{00000000-0005-0000-0000-000013000000}"/>
    <cellStyle name="IABackgroundMembers 2" xfId="21" xr:uid="{00000000-0005-0000-0000-000014000000}"/>
    <cellStyle name="IAColorCodingBad" xfId="22" xr:uid="{00000000-0005-0000-0000-000015000000}"/>
    <cellStyle name="IAColorCodingGood" xfId="23" xr:uid="{00000000-0005-0000-0000-000016000000}"/>
    <cellStyle name="IAColorCodingOK" xfId="24" xr:uid="{00000000-0005-0000-0000-000017000000}"/>
    <cellStyle name="IAColorCodingOK 2" xfId="25" xr:uid="{00000000-0005-0000-0000-000018000000}"/>
    <cellStyle name="IAColumnHeader" xfId="26" xr:uid="{00000000-0005-0000-0000-000019000000}"/>
    <cellStyle name="IAContentsList" xfId="27" xr:uid="{00000000-0005-0000-0000-00001A000000}"/>
    <cellStyle name="IAContentsTitle" xfId="28" xr:uid="{00000000-0005-0000-0000-00001B000000}"/>
    <cellStyle name="IADataCells" xfId="29" xr:uid="{00000000-0005-0000-0000-00001C000000}"/>
    <cellStyle name="IADataCells 2" xfId="30" xr:uid="{00000000-0005-0000-0000-00001D000000}"/>
    <cellStyle name="IADimensionNames" xfId="31" xr:uid="{00000000-0005-0000-0000-00001E000000}"/>
    <cellStyle name="IAParentColumnHeader" xfId="32" xr:uid="{00000000-0005-0000-0000-00001F000000}"/>
    <cellStyle name="IAParentRowHeader" xfId="33" xr:uid="{00000000-0005-0000-0000-000020000000}"/>
    <cellStyle name="IAQueryInfo" xfId="34" xr:uid="{00000000-0005-0000-0000-000021000000}"/>
    <cellStyle name="IAQueryInfo 2" xfId="35" xr:uid="{00000000-0005-0000-0000-000022000000}"/>
    <cellStyle name="IAReportTitle" xfId="36" xr:uid="{00000000-0005-0000-0000-000023000000}"/>
    <cellStyle name="IARowHeader" xfId="37" xr:uid="{00000000-0005-0000-0000-000024000000}"/>
    <cellStyle name="IASubTotalsCol" xfId="38" xr:uid="{00000000-0005-0000-0000-000025000000}"/>
    <cellStyle name="IASubTotalsRow" xfId="39" xr:uid="{00000000-0005-0000-0000-000026000000}"/>
    <cellStyle name="Normal" xfId="0" builtinId="0"/>
    <cellStyle name="Normal 10" xfId="40" xr:uid="{00000000-0005-0000-0000-000028000000}"/>
    <cellStyle name="Normal 11" xfId="41" xr:uid="{00000000-0005-0000-0000-000029000000}"/>
    <cellStyle name="Normal 12" xfId="42" xr:uid="{00000000-0005-0000-0000-00002A000000}"/>
    <cellStyle name="Normal 2" xfId="43" xr:uid="{00000000-0005-0000-0000-00002B000000}"/>
    <cellStyle name="Normal 2 2" xfId="44" xr:uid="{00000000-0005-0000-0000-00002C000000}"/>
    <cellStyle name="Normal 3" xfId="45" xr:uid="{00000000-0005-0000-0000-00002D000000}"/>
    <cellStyle name="Normal 3 2" xfId="46" xr:uid="{00000000-0005-0000-0000-00002E000000}"/>
    <cellStyle name="Normal 3 2 2" xfId="47" xr:uid="{00000000-0005-0000-0000-00002F000000}"/>
    <cellStyle name="Normal 3 2 2 2" xfId="48" xr:uid="{00000000-0005-0000-0000-000030000000}"/>
    <cellStyle name="Normal 3 2 3" xfId="49" xr:uid="{00000000-0005-0000-0000-000031000000}"/>
    <cellStyle name="Normal 3 3" xfId="50" xr:uid="{00000000-0005-0000-0000-000032000000}"/>
    <cellStyle name="Normal 3 4" xfId="51" xr:uid="{00000000-0005-0000-0000-000033000000}"/>
    <cellStyle name="Normal 4" xfId="52" xr:uid="{00000000-0005-0000-0000-000034000000}"/>
    <cellStyle name="Normal 4 2" xfId="53" xr:uid="{00000000-0005-0000-0000-000035000000}"/>
    <cellStyle name="Normal 4 3" xfId="54" xr:uid="{00000000-0005-0000-0000-000036000000}"/>
    <cellStyle name="Normal 5" xfId="55" xr:uid="{00000000-0005-0000-0000-000037000000}"/>
    <cellStyle name="Normal 5 2" xfId="56" xr:uid="{00000000-0005-0000-0000-000038000000}"/>
    <cellStyle name="Normal 5 3" xfId="57" xr:uid="{00000000-0005-0000-0000-000039000000}"/>
    <cellStyle name="Normal 6" xfId="58" xr:uid="{00000000-0005-0000-0000-00003A000000}"/>
    <cellStyle name="Normal 6 2" xfId="59" xr:uid="{00000000-0005-0000-0000-00003B000000}"/>
    <cellStyle name="Normal 7" xfId="60" xr:uid="{00000000-0005-0000-0000-00003C000000}"/>
    <cellStyle name="Normal 7 2" xfId="61" xr:uid="{00000000-0005-0000-0000-00003D000000}"/>
    <cellStyle name="Normal 8" xfId="62" xr:uid="{00000000-0005-0000-0000-00003E000000}"/>
    <cellStyle name="Normal 9" xfId="63" xr:uid="{00000000-0005-0000-0000-00003F000000}"/>
    <cellStyle name="Normal 9 2" xfId="64" xr:uid="{00000000-0005-0000-0000-000040000000}"/>
    <cellStyle name="Normal_Copy of criminal-stats-2008-chapter-3 2" xfId="65" xr:uid="{00000000-0005-0000-0000-000041000000}"/>
    <cellStyle name="Normal_Tab302" xfId="66" xr:uid="{00000000-0005-0000-0000-000042000000}"/>
    <cellStyle name="Percent" xfId="67" builtinId="5"/>
    <cellStyle name="Percent 2" xfId="68" xr:uid="{00000000-0005-0000-0000-000044000000}"/>
    <cellStyle name="Percent 2 2" xfId="69" xr:uid="{00000000-0005-0000-0000-000045000000}"/>
    <cellStyle name="Percent 3" xfId="70" xr:uid="{00000000-0005-0000-0000-000046000000}"/>
    <cellStyle name="Percent 4" xfId="71" xr:uid="{00000000-0005-0000-0000-000047000000}"/>
    <cellStyle name="Percent 5" xfId="72" xr:uid="{00000000-0005-0000-0000-000048000000}"/>
    <cellStyle name="Percent 5 2" xfId="73" xr:uid="{00000000-0005-0000-0000-000049000000}"/>
    <cellStyle name="Percent 6" xfId="74" xr:uid="{00000000-0005-0000-0000-00004A000000}"/>
    <cellStyle name="Percent 6 2" xfId="75" xr:uid="{00000000-0005-0000-0000-00004B000000}"/>
    <cellStyle name="Percent 7" xfId="76" xr:uid="{00000000-0005-0000-0000-00004C000000}"/>
    <cellStyle name="Percent 8" xfId="77" xr:uid="{00000000-0005-0000-0000-00004D000000}"/>
    <cellStyle name="Refdb standard" xfId="78" xr:uid="{00000000-0005-0000-0000-00004E000000}"/>
    <cellStyle name="Style 1" xfId="79" xr:uid="{00000000-0005-0000-0000-00004F000000}"/>
  </cellStyles>
  <dxfs count="160">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indent="0" justifyLastLine="0" shrinkToFit="0" readingOrder="0"/>
    </dxf>
    <dxf>
      <alignment horizontal="left" vertical="center" textRotation="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dxf>
    <dxf>
      <font>
        <b val="0"/>
        <i val="0"/>
        <strike val="0"/>
        <condense val="0"/>
        <extend val="0"/>
        <outline val="0"/>
        <shadow val="0"/>
        <u val="none"/>
        <vertAlign val="baseline"/>
        <sz val="10"/>
        <color auto="1"/>
        <name val="Arial"/>
        <family val="2"/>
        <scheme val="none"/>
      </font>
    </dxf>
    <dxf>
      <border outline="0">
        <top style="thin">
          <color indexed="64"/>
        </top>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i val="0"/>
        <strike val="0"/>
        <condense val="0"/>
        <extend val="0"/>
        <outline val="0"/>
        <shadow val="0"/>
        <u val="none"/>
        <vertAlign val="baseline"/>
        <sz val="10"/>
        <color auto="1"/>
        <name val="Arial"/>
        <family val="2"/>
        <scheme val="none"/>
      </font>
      <numFmt numFmtId="165"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dxf>
    <dxf>
      <font>
        <strike val="0"/>
        <outline val="0"/>
        <shadow val="0"/>
        <u val="none"/>
        <vertAlign val="baseline"/>
        <sz val="10"/>
        <color auto="1"/>
        <name val="Arial"/>
        <family val="2"/>
        <scheme val="none"/>
      </font>
    </dxf>
    <dxf>
      <border outline="0">
        <top style="thin">
          <color indexed="64"/>
        </top>
      </border>
    </dxf>
    <dxf>
      <font>
        <strike val="0"/>
        <outline val="0"/>
        <shadow val="0"/>
        <u val="none"/>
        <vertAlign val="baseline"/>
        <sz val="10"/>
        <color auto="1"/>
        <name val="Arial"/>
        <family val="2"/>
        <scheme val="none"/>
      </font>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outline="0">
        <left style="dashed">
          <color indexed="64"/>
        </left>
        <right/>
        <top/>
        <bottom/>
      </border>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8" formatCode="&quot; &quot;#,##0&quot; &quot;;&quot;-&quot;#,##0&quot; &quot;;&quot; -&quot;00&quot; &quot;;&quot; &quot;@&quot; &quo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border diagonalUp="0" diagonalDown="0">
        <left style="dotted">
          <color indexed="64"/>
        </left>
        <right style="dashed">
          <color indexed="64"/>
        </right>
        <top/>
        <bottom/>
      </border>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3" formatCode="_-* #,##0_-;\-* #,##0_-;_-* &quot;-&quot;_-;_-@_-"/>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8" formatCode="&quot; &quot;#,##0&quot; &quot;;&quot;-&quot;#,##0&quot; &quot;;&quot; -&quot;00&quot; &quot;;&quot; &quot;@&quot; &quot;"/>
      <fill>
        <patternFill patternType="none">
          <fgColor indexed="64"/>
          <bgColor indexed="65"/>
        </patternFill>
      </fill>
      <alignment horizontal="left" vertical="center" textRotation="0" wrapText="0" indent="0" justifyLastLine="0" shrinkToFit="0" readingOrder="0"/>
    </dxf>
    <dxf>
      <border outline="0">
        <right style="dashed">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8" formatCode="&quot; &quot;#,##0&quot; &quot;;&quot;-&quot;#,##0&quot; &quot;;&quot; -&quot;00&quot; &quot;;&quot; &quot;@&quot; &quo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numFmt numFmtId="168" formatCode="&quot; &quot;#,##0&quot; &quot;;&quot;-&quot;#,##0&quot; &quot;;&quot; -&quot;00&quot; &quot;;&quot; &quot;@&quot; &quot;"/>
      <fill>
        <patternFill patternType="none">
          <fgColor indexed="64"/>
          <bgColor indexed="65"/>
        </patternFill>
      </fill>
      <alignment horizontal="right" vertical="center" textRotation="0" wrapText="1"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outline="0">
        <left style="dashed">
          <color indexed="64"/>
        </left>
        <right style="dashed">
          <color indexed="64"/>
        </right>
        <top/>
        <bottom/>
      </border>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30" formatCode="@"/>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numFmt numFmtId="30" formatCode="@"/>
      <fill>
        <patternFill patternType="none">
          <fgColor indexed="64"/>
          <bgColor indexed="65"/>
        </patternFill>
      </fill>
      <alignment horizontal="right" vertical="center" textRotation="0" wrapText="1"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center" textRotation="0" wrapText="0" indent="0" justifyLastLine="0" shrinkToFit="0" readingOrder="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numFmt numFmtId="0" formatCode="General"/>
      <fill>
        <patternFill patternType="none">
          <fgColor indexed="64"/>
          <bgColor indexed="65"/>
        </patternFill>
      </fill>
      <alignment horizontal="righ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2" formatCode="0.0_ ;\-0.0\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2" formatCode="0.0_ ;\-0.0\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72" formatCode="0.0_ ;\-0.0\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alignment horizontal="left" vertical="center" textRotation="0" wrapText="0" indent="0" justifyLastLine="0" shrinkToFit="0" readingOrder="0"/>
      <protection locked="0" hidden="0"/>
    </dxf>
    <dxf>
      <border outline="0">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family val="2"/>
        <scheme val="none"/>
      </font>
      <fill>
        <patternFill patternType="none">
          <fgColor indexed="64"/>
          <bgColor indexed="65"/>
        </patternFill>
      </fill>
      <alignment horizontal="righ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auto="1"/>
        </patternFill>
      </fill>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center" vertical="center" textRotation="0" wrapText="0" indent="0" justifyLastLine="0" shrinkToFit="0" readingOrder="0"/>
    </dxf>
    <dxf>
      <font>
        <b/>
        <i val="0"/>
        <strike val="0"/>
        <condense val="0"/>
        <extend val="0"/>
        <outline val="0"/>
        <shadow val="0"/>
        <u val="none"/>
        <vertAlign val="baseline"/>
        <sz val="12"/>
        <color auto="1"/>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9A7A0977-BB59-4603-81EB-779CC75F6106}" name="Notes" displayName="Notes" ref="A3:B22" totalsRowShown="0" headerRowDxfId="159">
  <autoFilter ref="A3:B22" xr:uid="{99652003-30C5-49BA-9FFB-C1D9CC8827BB}">
    <filterColumn colId="0" hiddenButton="1"/>
    <filterColumn colId="1" hiddenButton="1"/>
  </autoFilter>
  <tableColumns count="2">
    <tableColumn id="1" xr3:uid="{4999E7B8-37A7-4567-B2B8-4A5239810275}" name="Note number" dataDxfId="158"/>
    <tableColumn id="2" xr3:uid="{6CF8ACED-0C33-434F-B9F5-B93BA93C9E5C}" name="Note text" dataDxfId="157"/>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6D1154A-85BE-40B0-86EB-78C41B111ADB}" name="YouthCaution_Sex_OffenceGroup6" displayName="YouthCaution_Sex_OffenceGroup6" ref="A3:P45" totalsRowShown="0" headerRowDxfId="19" dataDxfId="17" headerRowBorderDxfId="18" tableBorderDxfId="16" headerRowCellStyle="Normal 4" dataCellStyle="Percent 6">
  <tableColumns count="16">
    <tableColumn id="1" xr3:uid="{4C6C5457-BBAA-4BC4-BDE8-EC2291FE3469}" name="Sex" dataDxfId="15"/>
    <tableColumn id="2" xr3:uid="{C93177A0-E25D-475A-BD6A-B0BD85BE39DD}" name="Offence Group" dataDxfId="14"/>
    <tableColumn id="3" xr3:uid="{A68E9EC5-AE29-4298-897E-FE0AAF6C79E0}" name="2014" dataDxfId="13"/>
    <tableColumn id="4" xr3:uid="{BE9B8F44-39A7-4449-972D-A6D3EE5025B2}" name="2015" dataDxfId="12"/>
    <tableColumn id="5" xr3:uid="{C45D940A-0DAB-468D-9FF3-3663A9C7C0E3}" name="2016" dataDxfId="11"/>
    <tableColumn id="6" xr3:uid="{39DDBB2C-6F0D-461D-AD46-C7A095466730}" name="2017" dataDxfId="10"/>
    <tableColumn id="7" xr3:uid="{28E8020B-56D4-45E0-83C8-7064490CB72C}" name="2018" dataDxfId="9"/>
    <tableColumn id="8" xr3:uid="{CE7F8E57-B9F6-4346-94BE-FFDB7673EB9C}" name="2019" dataDxfId="8"/>
    <tableColumn id="9" xr3:uid="{B261A090-3D09-4931-AD05-0F2885ABF292}" name="2020" dataDxfId="7"/>
    <tableColumn id="10" xr3:uid="{7BD9CCA3-AF9A-4AE1-9A79-CBBA1D4FC154}" name="2021" dataDxfId="6"/>
    <tableColumn id="11" xr3:uid="{E4CC1C21-0106-4A78-A512-8B802CB6DD4C}" name="2022" dataDxfId="5"/>
    <tableColumn id="12" xr3:uid="{B82DAF83-77EC-4FC4-B48E-29D6ED7A4EB4}" name="2023" dataDxfId="4"/>
    <tableColumn id="13" xr3:uid="{7B4DE11B-5CA0-46C5-B517-EF7884CB2437}" name="2024" dataDxfId="3"/>
    <tableColumn id="14" xr3:uid="{F0A335C1-AC67-41B3-A77D-420E0E8B9C85}" name="% change _x000a_years ending March 2014 to March 2024" dataDxfId="2" dataCellStyle="Percent 6">
      <calculatedColumnFormula>YouthCaution_Sex_OffenceGroup6[[#This Row],[2024]]/YouthCaution_Sex_OffenceGroup6[[#This Row],[2014]]-1</calculatedColumnFormula>
    </tableColumn>
    <tableColumn id="15" xr3:uid="{F55D0953-38E7-45D3-B837-7B6ADC4901CB}" name="% change _x000a_years ending March 2019 to March 2024" dataDxfId="1" dataCellStyle="Percent 6">
      <calculatedColumnFormula>YouthCaution_Sex_OffenceGroup6[[#This Row],[2024]]/YouthCaution_Sex_OffenceGroup6[[#This Row],[2019]]-1</calculatedColumnFormula>
    </tableColumn>
    <tableColumn id="16" xr3:uid="{6E9A85E4-397C-4873-97AD-90C555EFA336}" name="% change _x000a_years ending March 2023 to March 2024" dataDxfId="0" dataCellStyle="Percent 6">
      <calculatedColumnFormula>YouthCaution_Sex_OffenceGroup6[[#This Row],[2024]]/YouthCaution_Sex_OffenceGroup6[[#This Row],[2023]]-1</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FBD2304-1DE8-44AB-8B5A-EF287B4539FB}" name="Arrests_RecordedCrime2" displayName="Arrests_RecordedCrime2" ref="A4:P28" totalsRowShown="0" headerRowDxfId="156" dataDxfId="154" headerRowBorderDxfId="155" tableBorderDxfId="153" dataCellStyle="Percent 2">
  <tableColumns count="16">
    <tableColumn id="16" xr3:uid="{B1BF0507-D85A-4C4D-A48B-1F939E49A15E}" name="Number or proportion" dataDxfId="152"/>
    <tableColumn id="1" xr3:uid="{2CF73844-62E2-4872-9694-C588FA04EE3C}" name="Characteristic" dataDxfId="151"/>
    <tableColumn id="2" xr3:uid="{8BDB32D3-D46B-434B-8C14-D08EBA182D72}" name="2014" dataDxfId="150"/>
    <tableColumn id="3" xr3:uid="{10C46A40-20D8-4532-AF5B-F73A7FF543F4}" name="2015" dataDxfId="149"/>
    <tableColumn id="4" xr3:uid="{99CD2EF3-18F2-47F8-B44D-81AF5BCC4152}" name="2016" dataDxfId="148"/>
    <tableColumn id="5" xr3:uid="{79F20007-371C-436C-97CB-18D2A0A03B2B}" name="2017" dataDxfId="147"/>
    <tableColumn id="6" xr3:uid="{BF129B39-0194-4FEE-9281-0AE8A73F9866}" name="2018" dataDxfId="146"/>
    <tableColumn id="7" xr3:uid="{1800617D-8409-48D8-8DBE-2EC36B1A2565}" name="2019" dataDxfId="145"/>
    <tableColumn id="8" xr3:uid="{0C3DE147-5CDD-479F-80A0-7B1C52D6CE83}" name="2020" dataDxfId="144"/>
    <tableColumn id="9" xr3:uid="{B7FAF5AC-6F00-49E5-A3CE-6E8FB6487E6A}" name="2021" dataDxfId="143"/>
    <tableColumn id="10" xr3:uid="{57CF088C-3EB8-4F2F-AA2D-A3FB7C1FC305}" name="2022" dataDxfId="142"/>
    <tableColumn id="11" xr3:uid="{1110C69E-2794-4EFA-9C4D-7FE1A028FCB8}" name="2023" dataDxfId="141"/>
    <tableColumn id="12" xr3:uid="{44134F28-2C70-40D5-A01D-063F7DB00485}" name="2024" dataDxfId="140"/>
    <tableColumn id="13" xr3:uid="{D57C0735-C244-4DDA-8A24-869BAF641D59}" name="% change _x000a_years ending March 2014 to March 2024" dataDxfId="139" dataCellStyle="Percent 2">
      <calculatedColumnFormula>100*($M5-C5)</calculatedColumnFormula>
    </tableColumn>
    <tableColumn id="14" xr3:uid="{62396440-6DC6-4CEE-999B-81231FE3A153}" name="% change _x000a_years ending March 2019 to March 2024" dataDxfId="138" dataCellStyle="Percent 2">
      <calculatedColumnFormula>100*($M5-H5)</calculatedColumnFormula>
    </tableColumn>
    <tableColumn id="15" xr3:uid="{C96B3120-7AB4-40FF-8435-51518E8E485E}" name="% change _x000a_years ending March 2023 to March 2024" dataDxfId="137" dataCellStyle="Percent 2">
      <calculatedColumnFormula>100*($M5-L5)</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Arrests_OffenceGroup" displayName="Arrests_OffenceGroup" ref="A3:L14" totalsRowShown="0" headerRowDxfId="136" dataDxfId="134" headerRowBorderDxfId="135" tableBorderDxfId="133">
  <autoFilter ref="A3:L14"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800-000001000000}" name="Offence group" dataDxfId="132"/>
    <tableColumn id="2" xr3:uid="{00000000-0010-0000-0800-000002000000}" name="2016" dataDxfId="131"/>
    <tableColumn id="3" xr3:uid="{00000000-0010-0000-0800-000003000000}" name="2017" dataDxfId="130"/>
    <tableColumn id="4" xr3:uid="{00000000-0010-0000-0800-000004000000}" name="2018" dataDxfId="129"/>
    <tableColumn id="5" xr3:uid="{00000000-0010-0000-0800-000005000000}" name="2019" dataDxfId="128"/>
    <tableColumn id="6" xr3:uid="{00000000-0010-0000-0800-000006000000}" name="2020" dataDxfId="127"/>
    <tableColumn id="7" xr3:uid="{00000000-0010-0000-0800-000007000000}" name="2021" dataDxfId="126"/>
    <tableColumn id="8" xr3:uid="{00000000-0010-0000-0800-000008000000}" name="2022" dataDxfId="125"/>
    <tableColumn id="11" xr3:uid="{1A858238-4BD3-4605-B2CC-8BE35352A107}" name="2023" dataDxfId="124"/>
    <tableColumn id="12" xr3:uid="{54C264E9-8595-46DD-A6B7-B30093D2271A}" name="2024" dataDxfId="123"/>
    <tableColumn id="9" xr3:uid="{00000000-0010-0000-0800-000009000000}" name="% change _x000a_years ending March 2019 to March 2024" dataDxfId="122">
      <calculatedColumnFormula>J4/E4-1</calculatedColumnFormula>
    </tableColumn>
    <tableColumn id="10" xr3:uid="{00000000-0010-0000-0800-00000A000000}" name="% change _x000a_years ending March 2023 to March 2024" dataDxfId="121">
      <calculatedColumnFormula>J4/I4-1</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63E5E41-C273-46E3-A6B3-14AF0291E571}" name="Arrests_OffenceGroup_Sex3" displayName="Arrests_OffenceGroup_Sex3" ref="A3:G25" totalsRowShown="0" headerRowDxfId="120" dataDxfId="118" headerRowBorderDxfId="119" tableBorderDxfId="117" headerRowCellStyle="Normal 3 2" dataCellStyle="Normal 5">
  <tableColumns count="7">
    <tableColumn id="7" xr3:uid="{0396009E-5E47-4F3F-96F8-CC2663C67067}" name="Number or proportion" dataDxfId="116" dataCellStyle="Normal 5"/>
    <tableColumn id="1" xr3:uid="{9D7AB29A-B72D-4FD3-90FF-292CA3F8173B}" name="Offence group" dataDxfId="115" dataCellStyle="Normal 5"/>
    <tableColumn id="2" xr3:uid="{9B31962B-6478-4695-8410-065D7F72180F}" name="Boys" dataDxfId="114" dataCellStyle="Normal 5"/>
    <tableColumn id="3" xr3:uid="{2A6C3E14-4B5E-47CB-9DDF-842204F38903}" name="Girls" dataDxfId="113" dataCellStyle="Normal 5"/>
    <tableColumn id="4" xr3:uid="{3E1A55FB-1F06-4FE3-8FD7-FBE006D3F622}" name="Other" dataDxfId="112" dataCellStyle="Normal 5"/>
    <tableColumn id="5" xr3:uid="{835BDFDB-E3C3-48F7-80D5-4C63AEE1D4A6}" name="Unknown" dataDxfId="111" dataCellStyle="Normal 5"/>
    <tableColumn id="6" xr3:uid="{8830F03D-624D-4892-BE60-C6EFA165E1EE}" name="Total" dataDxfId="110" dataCellStyle="Normal 5"/>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2EFC39A-13EB-4FC8-8003-3F23877BEFAB}" name="Arrests_OffenceGroup_Ethnicity4" displayName="Arrests_OffenceGroup_Ethnicity4" ref="A4:I26" totalsRowShown="0" headerRowDxfId="109" dataDxfId="107" headerRowBorderDxfId="108" tableBorderDxfId="106" headerRowCellStyle="Normal 3 2" dataCellStyle="Normal 5">
  <tableColumns count="9">
    <tableColumn id="9" xr3:uid="{B1622944-90F0-4F11-A240-9FAE2B4404A9}" name="Number or proportion" dataDxfId="105" dataCellStyle="Normal 5"/>
    <tableColumn id="1" xr3:uid="{80B6336D-C44E-40C8-AA8D-358A3F1D90B9}" name="Offence group" dataDxfId="104" dataCellStyle="Normal 5"/>
    <tableColumn id="2" xr3:uid="{593D0447-FAC2-4927-8BE1-1DC109517AE2}" name="White" dataDxfId="103" dataCellStyle="Normal 5"/>
    <tableColumn id="3" xr3:uid="{6DC74092-16A5-4948-A595-754B18C3A47C}" name="Black" dataDxfId="102" dataCellStyle="Normal 5"/>
    <tableColumn id="4" xr3:uid="{E66D1F1A-DF51-4106-AC5F-3B0B33DA5937}" name="Asian or Other" dataDxfId="101" dataCellStyle="Normal 5"/>
    <tableColumn id="5" xr3:uid="{FDBF203A-A986-435E-9663-8099E21BBEAD}" name="Mixed" dataDxfId="100" dataCellStyle="Normal 5"/>
    <tableColumn id="6" xr3:uid="{000F74B9-2865-45A8-94FB-4A3C6F033F45}" name="Ethnic minorities" dataDxfId="99"/>
    <tableColumn id="7" xr3:uid="{FF2D4640-A205-4A64-B3E7-195B69D2A985}" name="Unknown" dataDxfId="98" dataCellStyle="Normal 5"/>
    <tableColumn id="8" xr3:uid="{09127AFE-652C-431D-9D41-886BEF7FC812}" name="Total" dataDxfId="97" dataCellStyle="Normal 5"/>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AEFB375-76D2-4C4C-B8C0-271F983A3811}" name="Arrests_RecordedCrime_Ethnicity5" displayName="Arrests_RecordedCrime_Ethnicity5" ref="A4:N59" totalsRowShown="0" headerRowDxfId="96" dataDxfId="94" headerRowBorderDxfId="95" tableBorderDxfId="93" headerRowCellStyle="Comma 2">
  <tableColumns count="14">
    <tableColumn id="1" xr3:uid="{CF070C72-2327-4D93-ABD2-84C16120974F}" name="Police force area" dataDxfId="92" dataCellStyle="Comma 2"/>
    <tableColumn id="2" xr3:uid="{D0FBAD1B-EA61-498B-99F4-B581AAF25589}" name="White" dataDxfId="91" dataCellStyle="Comma 2"/>
    <tableColumn id="3" xr3:uid="{9746F7BF-03B4-438E-B2DC-8C4B30D2A738}" name="Black" dataDxfId="90" dataCellStyle="Comma 2"/>
    <tableColumn id="4" xr3:uid="{8752FB72-3901-4B18-A051-AD2824F99EB0}" name="Asian or Other" dataDxfId="89" dataCellStyle="Comma 2"/>
    <tableColumn id="5" xr3:uid="{E7CFB8F2-26E6-46E8-AB68-623FBBED5DE0}" name="Mixed" dataDxfId="88" dataCellStyle="Comma 2"/>
    <tableColumn id="6" xr3:uid="{E938C24B-7B57-406A-BAFC-58ED7C3FE7B5}" name="Ethnic minorities" dataDxfId="87" dataCellStyle="Comma 2">
      <calculatedColumnFormula>SUM(Arrests_RecordedCrime_Ethnicity5[[#This Row],[Black]:[Mixed]])</calculatedColumnFormula>
    </tableColumn>
    <tableColumn id="7" xr3:uid="{D907C79D-AC4E-4751-8CA3-033685CA4339}" name="Unknown" dataDxfId="86" dataCellStyle="Comma 2"/>
    <tableColumn id="8" xr3:uid="{286C7071-469B-4214-B5CB-2C9CA3C36C1A}" name="Total" dataDxfId="85" dataCellStyle="Comma 2">
      <calculatedColumnFormula>SUM(Arrests_RecordedCrime_Ethnicity5[[#This Row],[White]:[Mixed]],Arrests_RecordedCrime_Ethnicity5[[#This Row],[Unknown]])</calculatedColumnFormula>
    </tableColumn>
    <tableColumn id="9" xr3:uid="{09EB7993-BD63-4C2F-9DDF-3C755B1ED21A}" name="Proportion by _x000a_police force area [note 4][note 5]" dataDxfId="84" dataCellStyle="Comma 2"/>
    <tableColumn id="10" xr3:uid="{8DEC7695-63F1-41FD-B4BD-6F756E741F8D}" name="Proportion_x000a_White" dataDxfId="83">
      <calculatedColumnFormula>IFERROR(B5/SUM($B5:$E5),"n/a")</calculatedColumnFormula>
    </tableColumn>
    <tableColumn id="11" xr3:uid="{C4220E09-C7ED-4308-9F87-CD76BF4CF381}" name="Proportion_x000a_Black" dataDxfId="82">
      <calculatedColumnFormula>IFERROR(C5/SUM($B5:$E5),"n/a")</calculatedColumnFormula>
    </tableColumn>
    <tableColumn id="12" xr3:uid="{DA213B74-50B0-44F5-9A73-ECBD20259B4B}" name="Proportion_x000a_Asian or Other" dataDxfId="81">
      <calculatedColumnFormula>IFERROR(D5/SUM($B5:$E5),"n/a")</calculatedColumnFormula>
    </tableColumn>
    <tableColumn id="13" xr3:uid="{57ADDCAF-5EF1-4DA4-B36B-89E46BBECE7D}" name="Proportion_x000a_Mixed" dataDxfId="80">
      <calculatedColumnFormula>IFERROR(E5/SUM($B5:$E5),"n/a")</calculatedColumnFormula>
    </tableColumn>
    <tableColumn id="14" xr3:uid="{074F306E-D2FD-4493-ACD6-DB63A25FF5D9}" name="Proportion_x000a_Ethnic minorities" dataDxfId="79">
      <calculatedColumnFormula>IFERROR(F5/SUM($B5:$E5),"n/a")</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C000000}" name="YouthCaution_Type_OffenceType" displayName="YouthCaution_Type_OffenceType" ref="A5:Q24" totalsRowShown="0" headerRowDxfId="78" dataDxfId="76" headerRowBorderDxfId="77" tableBorderDxfId="75" headerRowCellStyle="Normal 4">
  <autoFilter ref="A5:Q24" xr:uid="{00000000-0009-0000-0100-00001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7" xr3:uid="{26FA6C76-979E-47C8-A162-89AF8278BB22}" name="Number or proportion"/>
    <tableColumn id="1" xr3:uid="{00000000-0010-0000-0C00-000001000000}" name="Offence type [note 13]" dataDxfId="74"/>
    <tableColumn id="2" xr3:uid="{00000000-0010-0000-0C00-000002000000}" name="Caution type [note 14]" dataDxfId="73"/>
    <tableColumn id="3" xr3:uid="{00000000-0010-0000-0C00-000003000000}" name="2014" dataDxfId="72"/>
    <tableColumn id="4" xr3:uid="{00000000-0010-0000-0C00-000004000000}" name="2015" dataDxfId="71"/>
    <tableColumn id="5" xr3:uid="{00000000-0010-0000-0C00-000005000000}" name="2016" dataDxfId="70"/>
    <tableColumn id="6" xr3:uid="{00000000-0010-0000-0C00-000006000000}" name="2017" dataDxfId="69"/>
    <tableColumn id="7" xr3:uid="{00000000-0010-0000-0C00-000007000000}" name="2018" dataDxfId="68"/>
    <tableColumn id="8" xr3:uid="{00000000-0010-0000-0C00-000008000000}" name="2019" dataDxfId="67"/>
    <tableColumn id="9" xr3:uid="{00000000-0010-0000-0C00-000009000000}" name="2020" dataDxfId="66" dataCellStyle="Percent 6"/>
    <tableColumn id="10" xr3:uid="{00000000-0010-0000-0C00-00000A000000}" name="2021" dataDxfId="65" dataCellStyle="Percent 6"/>
    <tableColumn id="11" xr3:uid="{00000000-0010-0000-0C00-00000B000000}" name="2022" dataDxfId="64" dataCellStyle="Percent 6"/>
    <tableColumn id="12" xr3:uid="{00000000-0010-0000-0C00-00000C000000}" name="2023" dataDxfId="63" dataCellStyle="Percent 6"/>
    <tableColumn id="13" xr3:uid="{00000000-0010-0000-0C00-00000D000000}" name="2024" dataDxfId="62" dataCellStyle="Percent 6"/>
    <tableColumn id="14" xr3:uid="{00000000-0010-0000-0C00-00000E000000}" name="% change _x000a_years ending March 2014 to March 2024" dataDxfId="61"/>
    <tableColumn id="15" xr3:uid="{00000000-0010-0000-0C00-00000F000000}" name="% change _x000a_years ending March 2019 to March 2024" dataDxfId="60"/>
    <tableColumn id="16" xr3:uid="{00000000-0010-0000-0C00-000010000000}" name="% change _x000a_years ending March 2023 to March 2024" dataDxfId="59" dataCellStyle="Percent 6"/>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D000000}" name="YouthCaution_Sex" displayName="YouthCaution_Sex" ref="A4:P11" totalsRowShown="0" headerRowDxfId="58" dataDxfId="56" headerRowBorderDxfId="57" tableBorderDxfId="55" headerRowCellStyle="Normal 4" dataCellStyle="Percent 6">
  <autoFilter ref="A4:P11" xr:uid="{00000000-0009-0000-0100-00001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6" xr3:uid="{1D122409-CEAC-4B66-BDDE-2C2A2448FA9B}" name="Number or proportion" dataDxfId="54"/>
    <tableColumn id="1" xr3:uid="{00000000-0010-0000-0D00-000001000000}" name="Sex" dataDxfId="53"/>
    <tableColumn id="2" xr3:uid="{00000000-0010-0000-0D00-000002000000}" name="2014" dataDxfId="52" dataCellStyle="Percent 6"/>
    <tableColumn id="3" xr3:uid="{00000000-0010-0000-0D00-000003000000}" name="2015" dataDxfId="51" dataCellStyle="Percent 6"/>
    <tableColumn id="4" xr3:uid="{00000000-0010-0000-0D00-000004000000}" name="2016" dataDxfId="50" dataCellStyle="Percent 6"/>
    <tableColumn id="5" xr3:uid="{00000000-0010-0000-0D00-000005000000}" name="2017" dataDxfId="49" dataCellStyle="Percent 6"/>
    <tableColumn id="6" xr3:uid="{00000000-0010-0000-0D00-000006000000}" name="2018" dataDxfId="48" dataCellStyle="Percent 6"/>
    <tableColumn id="7" xr3:uid="{00000000-0010-0000-0D00-000007000000}" name="2019" dataDxfId="47" dataCellStyle="Percent 6"/>
    <tableColumn id="8" xr3:uid="{00000000-0010-0000-0D00-000008000000}" name="2020" dataDxfId="46" dataCellStyle="Percent 6"/>
    <tableColumn id="9" xr3:uid="{00000000-0010-0000-0D00-000009000000}" name="2021" dataDxfId="45" dataCellStyle="Percent 6"/>
    <tableColumn id="10" xr3:uid="{00000000-0010-0000-0D00-00000A000000}" name="2022" dataDxfId="44" dataCellStyle="Percent 6"/>
    <tableColumn id="11" xr3:uid="{00000000-0010-0000-0D00-00000B000000}" name="2023" dataDxfId="43" dataCellStyle="Percent 6"/>
    <tableColumn id="12" xr3:uid="{00000000-0010-0000-0D00-00000C000000}" name="2024" dataDxfId="42" dataCellStyle="Percent 6"/>
    <tableColumn id="13" xr3:uid="{00000000-0010-0000-0D00-00000D000000}" name="% change _x000a_years ending March 2014 to March 2024" dataDxfId="41" dataCellStyle="Percent 6"/>
    <tableColumn id="14" xr3:uid="{00000000-0010-0000-0D00-00000E000000}" name="% change _x000a_years ending March 2019 to March 2024" dataDxfId="40" dataCellStyle="Percent 6"/>
    <tableColumn id="15" xr3:uid="{00000000-0010-0000-0D00-00000F000000}" name="% change _x000a_years ending March 2023 to March 2024" dataDxfId="39" dataCellStyle="Percent 6"/>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0E000000}" name="YouthCaution_Ethnicity" displayName="YouthCaution_Ethnicity" ref="A4:P17" totalsRowShown="0" headerRowDxfId="38" dataDxfId="36" headerRowBorderDxfId="37" tableBorderDxfId="35" headerRowCellStyle="Normal 4" dataCellStyle="Percent 6">
  <autoFilter ref="A4:P17" xr:uid="{00000000-0009-0000-0100-00001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6" xr3:uid="{9D648A49-526C-450C-9F46-72BD66D7CF8B}" name="Number or proportion"/>
    <tableColumn id="1" xr3:uid="{00000000-0010-0000-0E00-000001000000}" name="Ethnicity" dataDxfId="34"/>
    <tableColumn id="2" xr3:uid="{00000000-0010-0000-0E00-000002000000}" name="2014" dataDxfId="33" dataCellStyle="Percent 6"/>
    <tableColumn id="3" xr3:uid="{00000000-0010-0000-0E00-000003000000}" name="2015" dataDxfId="32" dataCellStyle="Percent 6"/>
    <tableColumn id="4" xr3:uid="{00000000-0010-0000-0E00-000004000000}" name="2016" dataDxfId="31" dataCellStyle="Percent 6"/>
    <tableColumn id="5" xr3:uid="{00000000-0010-0000-0E00-000005000000}" name="2017" dataDxfId="30" dataCellStyle="Percent 6"/>
    <tableColumn id="6" xr3:uid="{00000000-0010-0000-0E00-000006000000}" name="2018" dataDxfId="29" dataCellStyle="Percent 6"/>
    <tableColumn id="7" xr3:uid="{00000000-0010-0000-0E00-000007000000}" name="2019" dataDxfId="28" dataCellStyle="Percent 6"/>
    <tableColumn id="8" xr3:uid="{00000000-0010-0000-0E00-000008000000}" name="2020" dataDxfId="27" dataCellStyle="Percent 6"/>
    <tableColumn id="9" xr3:uid="{00000000-0010-0000-0E00-000009000000}" name="2021" dataDxfId="26" dataCellStyle="Percent 6"/>
    <tableColumn id="10" xr3:uid="{00000000-0010-0000-0E00-00000A000000}" name="2022" dataDxfId="25" dataCellStyle="Percent 6"/>
    <tableColumn id="11" xr3:uid="{00000000-0010-0000-0E00-00000B000000}" name="2023" dataDxfId="24" dataCellStyle="Percent 6"/>
    <tableColumn id="12" xr3:uid="{00000000-0010-0000-0E00-00000C000000}" name="2024" dataDxfId="23" dataCellStyle="Percent 6"/>
    <tableColumn id="13" xr3:uid="{00000000-0010-0000-0E00-00000D000000}" name="% change _x000a_years ending March 2014 to March 2024" dataDxfId="22" dataCellStyle="Percent 6"/>
    <tableColumn id="14" xr3:uid="{00000000-0010-0000-0E00-00000E000000}" name="% change _x000a_years ending March 2019 to March 2024" dataDxfId="21" dataCellStyle="Percent 6"/>
    <tableColumn id="15" xr3:uid="{00000000-0010-0000-0E00-00000F000000}" name="% change _x000a_years ending March 2023 to March 2024" dataDxfId="20" dataCellStyle="Percent 6"/>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gov.uk/government/collections/police-powers-and-procedures-england-and-wales" TargetMode="Externa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6.xml"/></Relationships>
</file>

<file path=xl/worksheets/_rels/sheet16.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26"/>
  <sheetViews>
    <sheetView tabSelected="1" workbookViewId="0"/>
  </sheetViews>
  <sheetFormatPr defaultColWidth="8.6640625" defaultRowHeight="15" x14ac:dyDescent="0.2"/>
  <cols>
    <col min="1" max="1" width="14.109375" style="10" bestFit="1" customWidth="1"/>
    <col min="2" max="2" width="109.109375" style="10" customWidth="1"/>
    <col min="3" max="16384" width="8.6640625" style="10"/>
  </cols>
  <sheetData>
    <row r="1" spans="1:2" ht="15" customHeight="1" x14ac:dyDescent="0.25">
      <c r="A1" s="28" t="s">
        <v>0</v>
      </c>
    </row>
    <row r="2" spans="1:2" s="137" customFormat="1" ht="15" customHeight="1" x14ac:dyDescent="0.2">
      <c r="A2" s="160" t="s">
        <v>1</v>
      </c>
      <c r="B2" s="160" t="s">
        <v>2</v>
      </c>
    </row>
    <row r="3" spans="1:2" s="137" customFormat="1" ht="15" customHeight="1" x14ac:dyDescent="0.25">
      <c r="A3" s="138" t="s">
        <v>3</v>
      </c>
      <c r="B3" s="136"/>
    </row>
    <row r="4" spans="1:2" s="137" customFormat="1" ht="15" customHeight="1" x14ac:dyDescent="0.2">
      <c r="A4" s="141" t="s">
        <v>4</v>
      </c>
      <c r="B4" s="139" t="s">
        <v>283</v>
      </c>
    </row>
    <row r="5" spans="1:2" s="137" customFormat="1" ht="15" customHeight="1" x14ac:dyDescent="0.2">
      <c r="A5" s="141" t="s">
        <v>5</v>
      </c>
      <c r="B5" s="139" t="s">
        <v>236</v>
      </c>
    </row>
    <row r="6" spans="1:2" s="137" customFormat="1" ht="15" customHeight="1" x14ac:dyDescent="0.2">
      <c r="A6" s="141" t="s">
        <v>6</v>
      </c>
      <c r="B6" s="139" t="s">
        <v>237</v>
      </c>
    </row>
    <row r="7" spans="1:2" s="137" customFormat="1" ht="15" customHeight="1" x14ac:dyDescent="0.2">
      <c r="A7" s="141" t="s">
        <v>7</v>
      </c>
      <c r="B7" s="139" t="s">
        <v>255</v>
      </c>
    </row>
    <row r="8" spans="1:2" s="137" customFormat="1" ht="15" customHeight="1" x14ac:dyDescent="0.2">
      <c r="A8" s="141" t="s">
        <v>8</v>
      </c>
      <c r="B8" s="139" t="s">
        <v>256</v>
      </c>
    </row>
    <row r="9" spans="1:2" s="137" customFormat="1" ht="15" customHeight="1" x14ac:dyDescent="0.2">
      <c r="A9" s="141" t="s">
        <v>9</v>
      </c>
      <c r="B9" s="139" t="s">
        <v>257</v>
      </c>
    </row>
    <row r="10" spans="1:2" ht="15" customHeight="1" x14ac:dyDescent="0.25">
      <c r="A10" s="125" t="s">
        <v>10</v>
      </c>
      <c r="B10" s="139"/>
    </row>
    <row r="11" spans="1:2" s="4" customFormat="1" ht="15" customHeight="1" x14ac:dyDescent="0.2">
      <c r="A11" s="141" t="s">
        <v>11</v>
      </c>
      <c r="B11" s="139" t="s">
        <v>284</v>
      </c>
    </row>
    <row r="12" spans="1:2" s="4" customFormat="1" ht="15" customHeight="1" x14ac:dyDescent="0.2">
      <c r="A12" s="141" t="s">
        <v>12</v>
      </c>
      <c r="B12" s="139" t="s">
        <v>258</v>
      </c>
    </row>
    <row r="13" spans="1:2" s="4" customFormat="1" ht="15" customHeight="1" x14ac:dyDescent="0.2">
      <c r="A13" s="141" t="s">
        <v>13</v>
      </c>
      <c r="B13" s="139" t="s">
        <v>238</v>
      </c>
    </row>
    <row r="14" spans="1:2" s="4" customFormat="1" ht="15" customHeight="1" x14ac:dyDescent="0.2">
      <c r="A14" s="141" t="s">
        <v>14</v>
      </c>
      <c r="B14" s="139" t="s">
        <v>239</v>
      </c>
    </row>
    <row r="15" spans="1:2" s="4" customFormat="1" ht="15" customHeight="1" x14ac:dyDescent="0.2">
      <c r="A15" s="141" t="s">
        <v>15</v>
      </c>
      <c r="B15" s="139" t="s">
        <v>240</v>
      </c>
    </row>
    <row r="16" spans="1:2" s="4" customFormat="1" ht="15" customHeight="1" x14ac:dyDescent="0.2">
      <c r="A16" s="141" t="s">
        <v>16</v>
      </c>
      <c r="B16" s="139" t="s">
        <v>285</v>
      </c>
    </row>
    <row r="17" spans="1:2" s="4" customFormat="1" ht="15" customHeight="1" x14ac:dyDescent="0.2">
      <c r="A17" s="141" t="s">
        <v>17</v>
      </c>
      <c r="B17" s="139" t="s">
        <v>286</v>
      </c>
    </row>
    <row r="18" spans="1:2" ht="15" customHeight="1" x14ac:dyDescent="0.25">
      <c r="A18" s="125" t="s">
        <v>18</v>
      </c>
      <c r="B18" s="140"/>
    </row>
    <row r="19" spans="1:2" ht="15" customHeight="1" x14ac:dyDescent="0.2">
      <c r="A19" s="141" t="s">
        <v>19</v>
      </c>
      <c r="B19" s="139" t="s">
        <v>241</v>
      </c>
    </row>
    <row r="20" spans="1:2" ht="15" customHeight="1" x14ac:dyDescent="0.2">
      <c r="A20" s="141" t="s">
        <v>20</v>
      </c>
      <c r="B20" s="139" t="s">
        <v>242</v>
      </c>
    </row>
    <row r="21" spans="1:2" ht="15" customHeight="1" x14ac:dyDescent="0.2">
      <c r="A21" s="141" t="s">
        <v>21</v>
      </c>
      <c r="B21" s="139" t="s">
        <v>287</v>
      </c>
    </row>
    <row r="22" spans="1:2" ht="15" customHeight="1" x14ac:dyDescent="0.2">
      <c r="A22" s="141" t="s">
        <v>22</v>
      </c>
      <c r="B22" s="139" t="s">
        <v>243</v>
      </c>
    </row>
    <row r="23" spans="1:2" s="4" customFormat="1" ht="15" customHeight="1" x14ac:dyDescent="0.25">
      <c r="A23" s="125" t="s">
        <v>23</v>
      </c>
    </row>
    <row r="24" spans="1:2" s="4" customFormat="1" ht="15" customHeight="1" x14ac:dyDescent="0.2">
      <c r="A24" s="141" t="s">
        <v>24</v>
      </c>
    </row>
    <row r="25" spans="1:2" s="4" customFormat="1" ht="15" customHeight="1" x14ac:dyDescent="0.2">
      <c r="A25" s="140" t="s">
        <v>25</v>
      </c>
    </row>
    <row r="26" spans="1:2" ht="15" customHeight="1" x14ac:dyDescent="0.2">
      <c r="A26" s="4" t="s">
        <v>26</v>
      </c>
      <c r="B26" s="5"/>
    </row>
  </sheetData>
  <customSheetViews>
    <customSheetView guid="{48999262-D5C6-48A0-95EF-13BCF5FE87E4}" fitToPage="1" showRuler="0">
      <selection activeCell="D2" sqref="D2"/>
      <pageMargins left="0" right="0" top="0" bottom="0" header="0" footer="0"/>
      <pageSetup paperSize="9" scale="87" orientation="landscape" r:id="rId1"/>
      <headerFooter alignWithMargins="0"/>
    </customSheetView>
  </customSheetViews>
  <phoneticPr fontId="2" type="noConversion"/>
  <hyperlinks>
    <hyperlink ref="A24" r:id="rId2" xr:uid="{00000000-0004-0000-0000-000006000000}"/>
    <hyperlink ref="A4" location="'1.1'!A1" display="Table 1.1" xr:uid="{00000000-0004-0000-0000-000009000000}"/>
    <hyperlink ref="A19" location="'1.14'!A1" display="Table 1.14" xr:uid="{00000000-0004-0000-0000-00000D000000}"/>
    <hyperlink ref="A6" location="'1.3'!A1" display="Table 1.3" xr:uid="{F673D932-70E8-4EBA-8BC8-07C7A09E5707}"/>
    <hyperlink ref="A8" location="'1.5'!A1" display="Table 1.5" xr:uid="{49DE2948-2784-4B00-AC69-F99CB9C9C919}"/>
    <hyperlink ref="A21" location="'1.16'!A1" display="Table 1.16" xr:uid="{4B52580D-1008-481C-A9BE-7F15E7CADC28}"/>
    <hyperlink ref="A5" location="'1.2'!A1" display="Table 1.2" xr:uid="{93131153-7748-496A-854E-ECF7ABD8831D}"/>
    <hyperlink ref="A7" location="'1.4'!A1" display="Table 1.4" xr:uid="{40F38586-BF50-44B8-B760-CD0D2B2537C3}"/>
    <hyperlink ref="A9" location="'1.6'!A1" display="Table 1.6" xr:uid="{DC4B9CD5-988D-4197-98F6-C4AAAD1E615A}"/>
    <hyperlink ref="A11" location="'1.7'!A1" display="Table 1.7" xr:uid="{03DD35D1-7BEC-4A4A-B8C8-7871A4F30CD2}"/>
    <hyperlink ref="A12" location="'1.8'!A1" display="Table 1.8" xr:uid="{B6EB8F13-BA83-40F3-B1A5-459BD7DE180D}"/>
    <hyperlink ref="A13" location="'1.9'!A1" display="Table 1.9" xr:uid="{2C9E335B-CCAA-43A8-9793-98524240DC0E}"/>
    <hyperlink ref="A14" location="'1.10'!A1" display="Table 1.10" xr:uid="{558941B3-3573-42CC-8702-3E3B0623909A}"/>
    <hyperlink ref="A15" location="'1.11'!A1" display="Table 1.11" xr:uid="{91EF9D88-0030-4F14-927A-7E4432516C52}"/>
    <hyperlink ref="A16" location="'1.12'!A1" display="Table 1.12" xr:uid="{4D0433F7-3EB7-4A51-BE86-F438D18A8500}"/>
    <hyperlink ref="A17" location="'1.13'!A1" display="Table 1.13" xr:uid="{97B3D816-B90F-40C5-A009-BBA849FE1741}"/>
    <hyperlink ref="A20" location="'1.15'!A1" display="Table 1.15" xr:uid="{A4F625AD-5803-42E6-90A4-1B7078C6C069}"/>
    <hyperlink ref="A22" location="'1.17'!A1" display="Table 1.17" xr:uid="{0C2E4276-0D48-4977-9969-3F2B85430383}"/>
  </hyperlinks>
  <pageMargins left="0.74803149606299213" right="0.74803149606299213" top="0.98425196850393704" bottom="0.98425196850393704" header="0.51181102362204722" footer="0.51181102362204722"/>
  <pageSetup paperSize="9" scale="88" orientation="landscape" r:id="rId3"/>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B14F9-A7F5-4F11-8578-4D933DD269DB}">
  <dimension ref="A1:T25"/>
  <sheetViews>
    <sheetView workbookViewId="0"/>
  </sheetViews>
  <sheetFormatPr defaultColWidth="8.6640625" defaultRowHeight="15" x14ac:dyDescent="0.2"/>
  <cols>
    <col min="1" max="1" width="17.5546875" customWidth="1"/>
    <col min="2" max="2" width="18.44140625" bestFit="1" customWidth="1"/>
    <col min="3" max="13" width="9.33203125" customWidth="1"/>
    <col min="14" max="14" width="11.6640625" customWidth="1"/>
    <col min="15" max="15" width="11.88671875" customWidth="1"/>
    <col min="16" max="16" width="11.33203125" customWidth="1"/>
  </cols>
  <sheetData>
    <row r="1" spans="1:20" ht="15.75" x14ac:dyDescent="0.2">
      <c r="A1" s="29" t="s">
        <v>276</v>
      </c>
    </row>
    <row r="2" spans="1:20" x14ac:dyDescent="0.2">
      <c r="A2" s="16" t="s">
        <v>56</v>
      </c>
    </row>
    <row r="3" spans="1:20" ht="51" x14ac:dyDescent="0.2">
      <c r="A3" s="149" t="s">
        <v>57</v>
      </c>
      <c r="B3" s="183" t="s">
        <v>88</v>
      </c>
      <c r="C3" s="203">
        <v>2014</v>
      </c>
      <c r="D3" s="203">
        <v>2015</v>
      </c>
      <c r="E3" s="203">
        <v>2016</v>
      </c>
      <c r="F3" s="203">
        <v>2017</v>
      </c>
      <c r="G3" s="203">
        <v>2018</v>
      </c>
      <c r="H3" s="203">
        <v>2019</v>
      </c>
      <c r="I3" s="203">
        <v>2020</v>
      </c>
      <c r="J3" s="203">
        <v>2021</v>
      </c>
      <c r="K3" s="203">
        <v>2022</v>
      </c>
      <c r="L3" s="203">
        <v>2023</v>
      </c>
      <c r="M3" s="203">
        <v>2024</v>
      </c>
      <c r="N3" s="181" t="s">
        <v>260</v>
      </c>
      <c r="O3" s="181" t="s">
        <v>261</v>
      </c>
      <c r="P3" s="181" t="s">
        <v>259</v>
      </c>
    </row>
    <row r="4" spans="1:20" x14ac:dyDescent="0.2">
      <c r="A4" s="32" t="s">
        <v>181</v>
      </c>
      <c r="B4" s="32" t="s">
        <v>92</v>
      </c>
      <c r="C4" s="121">
        <v>7642</v>
      </c>
      <c r="D4" s="121">
        <v>6921</v>
      </c>
      <c r="E4" s="121">
        <v>5499</v>
      </c>
      <c r="F4" s="121">
        <v>4568</v>
      </c>
      <c r="G4" s="121">
        <v>4564</v>
      </c>
      <c r="H4" s="121">
        <v>4479</v>
      </c>
      <c r="I4" s="121">
        <v>4108</v>
      </c>
      <c r="J4" s="121">
        <v>3084</v>
      </c>
      <c r="K4" s="121">
        <v>3560</v>
      </c>
      <c r="L4" s="121">
        <v>4364</v>
      </c>
      <c r="M4" s="121">
        <v>4594</v>
      </c>
      <c r="N4" s="196">
        <f t="shared" ref="N4:N13" si="0">M4/C4-1</f>
        <v>-0.39884846898717619</v>
      </c>
      <c r="O4" s="196">
        <f t="shared" ref="O4:O13" si="1">M4/H4-1</f>
        <v>2.5675373967403381E-2</v>
      </c>
      <c r="P4" s="196">
        <f t="shared" ref="P4:P13" si="2">M4/L4-1</f>
        <v>5.270394133822176E-2</v>
      </c>
      <c r="R4" s="193"/>
      <c r="S4" s="193"/>
      <c r="T4" s="194"/>
    </row>
    <row r="5" spans="1:20" x14ac:dyDescent="0.2">
      <c r="A5" s="32" t="s">
        <v>181</v>
      </c>
      <c r="B5" s="32" t="s">
        <v>93</v>
      </c>
      <c r="C5" s="121">
        <v>9364</v>
      </c>
      <c r="D5" s="121">
        <v>8311</v>
      </c>
      <c r="E5" s="121">
        <v>7524</v>
      </c>
      <c r="F5" s="121">
        <v>6646</v>
      </c>
      <c r="G5" s="121">
        <v>5532</v>
      </c>
      <c r="H5" s="121">
        <v>5153</v>
      </c>
      <c r="I5" s="121">
        <v>6189</v>
      </c>
      <c r="J5" s="121">
        <v>4837</v>
      </c>
      <c r="K5" s="121">
        <v>5663</v>
      </c>
      <c r="L5" s="121">
        <v>6669</v>
      </c>
      <c r="M5" s="121">
        <v>6042</v>
      </c>
      <c r="N5" s="196">
        <f t="shared" si="0"/>
        <v>-0.35476292182827851</v>
      </c>
      <c r="O5" s="196">
        <f t="shared" si="1"/>
        <v>0.17252086163399971</v>
      </c>
      <c r="P5" s="196">
        <f t="shared" si="2"/>
        <v>-9.4017094017094016E-2</v>
      </c>
      <c r="R5" s="193"/>
      <c r="S5" s="193"/>
      <c r="T5" s="194"/>
    </row>
    <row r="6" spans="1:20" x14ac:dyDescent="0.2">
      <c r="A6" s="32" t="s">
        <v>181</v>
      </c>
      <c r="B6" s="32" t="s">
        <v>94</v>
      </c>
      <c r="C6" s="121">
        <v>23795</v>
      </c>
      <c r="D6" s="121">
        <v>21512</v>
      </c>
      <c r="E6" s="121">
        <v>21496</v>
      </c>
      <c r="F6" s="121">
        <v>18103</v>
      </c>
      <c r="G6" s="121">
        <v>15463</v>
      </c>
      <c r="H6" s="121">
        <v>12515</v>
      </c>
      <c r="I6" s="121">
        <v>13736</v>
      </c>
      <c r="J6" s="121">
        <v>10756</v>
      </c>
      <c r="K6" s="121">
        <v>9290</v>
      </c>
      <c r="L6" s="121">
        <v>9869</v>
      </c>
      <c r="M6" s="121">
        <v>7664</v>
      </c>
      <c r="N6" s="196">
        <f t="shared" si="0"/>
        <v>-0.67791552847236813</v>
      </c>
      <c r="O6" s="196">
        <f t="shared" si="1"/>
        <v>-0.38761486216540153</v>
      </c>
      <c r="P6" s="196">
        <f t="shared" si="2"/>
        <v>-0.22342689228898571</v>
      </c>
      <c r="R6" s="193"/>
      <c r="S6" s="193"/>
      <c r="T6" s="194"/>
    </row>
    <row r="7" spans="1:20" x14ac:dyDescent="0.2">
      <c r="A7" s="32" t="s">
        <v>181</v>
      </c>
      <c r="B7" s="32" t="s">
        <v>95</v>
      </c>
      <c r="C7" s="121">
        <v>7492</v>
      </c>
      <c r="D7" s="121">
        <v>5895</v>
      </c>
      <c r="E7" s="121">
        <v>4831</v>
      </c>
      <c r="F7" s="121">
        <v>3830</v>
      </c>
      <c r="G7" s="121">
        <v>3308</v>
      </c>
      <c r="H7" s="121">
        <v>2913</v>
      </c>
      <c r="I7" s="121">
        <v>2814</v>
      </c>
      <c r="J7" s="121">
        <v>2606</v>
      </c>
      <c r="K7" s="121">
        <v>2950</v>
      </c>
      <c r="L7" s="121">
        <v>3544</v>
      </c>
      <c r="M7" s="121">
        <v>3883</v>
      </c>
      <c r="N7" s="196">
        <f t="shared" si="0"/>
        <v>-0.48171382808328889</v>
      </c>
      <c r="O7" s="196">
        <f t="shared" si="1"/>
        <v>0.33299004462753179</v>
      </c>
      <c r="P7" s="196">
        <f t="shared" si="2"/>
        <v>9.5654627539503378E-2</v>
      </c>
      <c r="R7" s="193"/>
      <c r="S7" s="193"/>
      <c r="T7" s="194"/>
    </row>
    <row r="8" spans="1:20" x14ac:dyDescent="0.2">
      <c r="A8" s="32" t="s">
        <v>181</v>
      </c>
      <c r="B8" s="32" t="s">
        <v>96</v>
      </c>
      <c r="C8" s="121">
        <v>13928</v>
      </c>
      <c r="D8" s="121">
        <v>12445</v>
      </c>
      <c r="E8" s="121">
        <v>11621</v>
      </c>
      <c r="F8" s="121">
        <v>9851</v>
      </c>
      <c r="G8" s="121">
        <v>8846</v>
      </c>
      <c r="H8" s="121">
        <v>8900</v>
      </c>
      <c r="I8" s="121">
        <v>6669</v>
      </c>
      <c r="J8" s="121">
        <v>5693</v>
      </c>
      <c r="K8" s="121">
        <v>6828</v>
      </c>
      <c r="L8" s="121">
        <v>8050</v>
      </c>
      <c r="M8" s="121">
        <v>8394</v>
      </c>
      <c r="N8" s="196">
        <f t="shared" si="0"/>
        <v>-0.39732912119471564</v>
      </c>
      <c r="O8" s="196">
        <f t="shared" si="1"/>
        <v>-5.6853932584269629E-2</v>
      </c>
      <c r="P8" s="196">
        <f t="shared" si="2"/>
        <v>4.2732919254658386E-2</v>
      </c>
      <c r="R8" s="193"/>
      <c r="S8" s="193"/>
      <c r="T8" s="194"/>
    </row>
    <row r="9" spans="1:20" x14ac:dyDescent="0.2">
      <c r="A9" s="32" t="s">
        <v>181</v>
      </c>
      <c r="B9" s="32" t="s">
        <v>97</v>
      </c>
      <c r="C9" s="121">
        <v>18095</v>
      </c>
      <c r="D9" s="121">
        <v>13857</v>
      </c>
      <c r="E9" s="121">
        <v>11300</v>
      </c>
      <c r="F9" s="121">
        <v>9874</v>
      </c>
      <c r="G9" s="121">
        <v>9780</v>
      </c>
      <c r="H9" s="121">
        <v>9591</v>
      </c>
      <c r="I9" s="121">
        <v>9554</v>
      </c>
      <c r="J9" s="121">
        <v>8141</v>
      </c>
      <c r="K9" s="121">
        <v>8499</v>
      </c>
      <c r="L9" s="121">
        <v>9143</v>
      </c>
      <c r="M9" s="121">
        <v>9655</v>
      </c>
      <c r="N9" s="196">
        <f t="shared" si="0"/>
        <v>-0.46642718983144515</v>
      </c>
      <c r="O9" s="196">
        <f t="shared" si="1"/>
        <v>6.6729225315400598E-3</v>
      </c>
      <c r="P9" s="196">
        <f t="shared" si="2"/>
        <v>5.5999125013671769E-2</v>
      </c>
      <c r="R9" s="193"/>
      <c r="S9" s="193"/>
      <c r="T9" s="194"/>
    </row>
    <row r="10" spans="1:20" x14ac:dyDescent="0.2">
      <c r="A10" s="32" t="s">
        <v>181</v>
      </c>
      <c r="B10" s="32" t="s">
        <v>98</v>
      </c>
      <c r="C10" s="121">
        <v>5744</v>
      </c>
      <c r="D10" s="121">
        <v>5486</v>
      </c>
      <c r="E10" s="121">
        <v>5160</v>
      </c>
      <c r="F10" s="121">
        <v>3700</v>
      </c>
      <c r="G10" s="121">
        <v>3524</v>
      </c>
      <c r="H10" s="121">
        <v>3659</v>
      </c>
      <c r="I10" s="121">
        <v>3684</v>
      </c>
      <c r="J10" s="121">
        <v>3116</v>
      </c>
      <c r="K10" s="121">
        <v>3093</v>
      </c>
      <c r="L10" s="121">
        <v>3319</v>
      </c>
      <c r="M10" s="121">
        <v>3533</v>
      </c>
      <c r="N10" s="196">
        <f t="shared" si="0"/>
        <v>-0.38492339832869082</v>
      </c>
      <c r="O10" s="196">
        <f t="shared" si="1"/>
        <v>-3.4435638152500725E-2</v>
      </c>
      <c r="P10" s="196">
        <f t="shared" si="2"/>
        <v>6.4477252184392819E-2</v>
      </c>
      <c r="R10" s="193"/>
      <c r="S10" s="193"/>
      <c r="T10" s="194"/>
    </row>
    <row r="11" spans="1:20" x14ac:dyDescent="0.2">
      <c r="A11" s="32" t="s">
        <v>181</v>
      </c>
      <c r="B11" s="32" t="s">
        <v>99</v>
      </c>
      <c r="C11" s="121">
        <v>6678</v>
      </c>
      <c r="D11" s="121">
        <v>5309</v>
      </c>
      <c r="E11" s="121">
        <v>5123</v>
      </c>
      <c r="F11" s="121">
        <v>4085</v>
      </c>
      <c r="G11" s="121">
        <v>3003</v>
      </c>
      <c r="H11" s="121">
        <v>3079</v>
      </c>
      <c r="I11" s="121">
        <v>3173</v>
      </c>
      <c r="J11" s="121">
        <v>2612</v>
      </c>
      <c r="K11" s="121">
        <v>2252</v>
      </c>
      <c r="L11" s="121">
        <v>2488</v>
      </c>
      <c r="M11" s="121">
        <v>2766</v>
      </c>
      <c r="N11" s="196">
        <f t="shared" si="0"/>
        <v>-0.58580413297394429</v>
      </c>
      <c r="O11" s="196">
        <f t="shared" si="1"/>
        <v>-0.10165638194218907</v>
      </c>
      <c r="P11" s="196">
        <f t="shared" si="2"/>
        <v>0.11173633440514474</v>
      </c>
      <c r="R11" s="193"/>
      <c r="S11" s="193"/>
      <c r="T11" s="194"/>
    </row>
    <row r="12" spans="1:20" x14ac:dyDescent="0.2">
      <c r="A12" s="32" t="s">
        <v>181</v>
      </c>
      <c r="B12" s="32" t="s">
        <v>100</v>
      </c>
      <c r="C12" s="121">
        <v>6485</v>
      </c>
      <c r="D12" s="121">
        <v>5787</v>
      </c>
      <c r="E12" s="121">
        <v>5734</v>
      </c>
      <c r="F12" s="121">
        <v>5293</v>
      </c>
      <c r="G12" s="121">
        <v>6001</v>
      </c>
      <c r="H12" s="121">
        <v>5341</v>
      </c>
      <c r="I12" s="121">
        <v>5162</v>
      </c>
      <c r="J12" s="121">
        <v>3447</v>
      </c>
      <c r="K12" s="121">
        <v>5044</v>
      </c>
      <c r="L12" s="121">
        <v>4846</v>
      </c>
      <c r="M12" s="121">
        <v>5761</v>
      </c>
      <c r="N12" s="196">
        <f t="shared" si="0"/>
        <v>-0.11164225134926753</v>
      </c>
      <c r="O12" s="196">
        <f t="shared" si="1"/>
        <v>7.8636959370904425E-2</v>
      </c>
      <c r="P12" s="196">
        <f t="shared" si="2"/>
        <v>0.18881551795295093</v>
      </c>
      <c r="R12" s="193"/>
      <c r="S12" s="193"/>
      <c r="T12" s="194"/>
    </row>
    <row r="13" spans="1:20" x14ac:dyDescent="0.2">
      <c r="A13" s="263" t="s">
        <v>181</v>
      </c>
      <c r="B13" s="263" t="s">
        <v>101</v>
      </c>
      <c r="C13" s="264">
        <v>9696</v>
      </c>
      <c r="D13" s="264">
        <v>8554</v>
      </c>
      <c r="E13" s="264">
        <v>7584</v>
      </c>
      <c r="F13" s="264">
        <v>7093</v>
      </c>
      <c r="G13" s="264">
        <v>6439</v>
      </c>
      <c r="H13" s="264">
        <v>7076</v>
      </c>
      <c r="I13" s="264">
        <v>7354</v>
      </c>
      <c r="J13" s="264">
        <v>6213</v>
      </c>
      <c r="K13" s="264">
        <v>6639</v>
      </c>
      <c r="L13" s="264">
        <v>6552</v>
      </c>
      <c r="M13" s="264">
        <v>6607</v>
      </c>
      <c r="N13" s="265">
        <f t="shared" si="0"/>
        <v>-0.31858498349834985</v>
      </c>
      <c r="O13" s="265">
        <f t="shared" si="1"/>
        <v>-6.6280384397964909E-2</v>
      </c>
      <c r="P13" s="265">
        <f t="shared" si="2"/>
        <v>8.3943833943833646E-3</v>
      </c>
      <c r="R13" s="193"/>
      <c r="S13" s="193"/>
      <c r="T13" s="194"/>
    </row>
    <row r="14" spans="1:20" x14ac:dyDescent="0.2">
      <c r="A14" s="266" t="s">
        <v>181</v>
      </c>
      <c r="B14" s="266" t="s">
        <v>102</v>
      </c>
      <c r="C14" s="267">
        <f>SUM(C4:C13)</f>
        <v>108919</v>
      </c>
      <c r="D14" s="267">
        <f t="shared" ref="D14:M14" si="3">SUM(D4:D13)</f>
        <v>94077</v>
      </c>
      <c r="E14" s="267">
        <f t="shared" si="3"/>
        <v>85872</v>
      </c>
      <c r="F14" s="267">
        <f t="shared" si="3"/>
        <v>73043</v>
      </c>
      <c r="G14" s="267">
        <f t="shared" si="3"/>
        <v>66460</v>
      </c>
      <c r="H14" s="267">
        <f t="shared" si="3"/>
        <v>62706</v>
      </c>
      <c r="I14" s="267">
        <f t="shared" si="3"/>
        <v>62443</v>
      </c>
      <c r="J14" s="267">
        <f t="shared" si="3"/>
        <v>50505</v>
      </c>
      <c r="K14" s="267">
        <f t="shared" si="3"/>
        <v>53818</v>
      </c>
      <c r="L14" s="267">
        <f t="shared" si="3"/>
        <v>58844</v>
      </c>
      <c r="M14" s="267">
        <f t="shared" si="3"/>
        <v>58899</v>
      </c>
      <c r="N14" s="268">
        <f t="shared" ref="N14" si="4">M14/C14-1</f>
        <v>-0.45924035292281418</v>
      </c>
      <c r="O14" s="268">
        <f t="shared" ref="O14" si="5">M14/H14-1</f>
        <v>-6.0711893598698663E-2</v>
      </c>
      <c r="P14" s="268">
        <f t="shared" ref="P14" si="6">M14/L14-1</f>
        <v>9.3467473319286398E-4</v>
      </c>
      <c r="R14" s="193"/>
      <c r="S14" s="193"/>
      <c r="T14" s="194"/>
    </row>
    <row r="15" spans="1:20" x14ac:dyDescent="0.2">
      <c r="A15" s="32" t="s">
        <v>182</v>
      </c>
      <c r="B15" s="32" t="s">
        <v>92</v>
      </c>
      <c r="C15" s="182">
        <f t="shared" ref="C15:L15" si="7">C4/C$14</f>
        <v>7.0162230648463539E-2</v>
      </c>
      <c r="D15" s="182">
        <f t="shared" si="7"/>
        <v>7.3567396919544628E-2</v>
      </c>
      <c r="E15" s="182">
        <f t="shared" si="7"/>
        <v>6.4037171604248183E-2</v>
      </c>
      <c r="F15" s="182">
        <f t="shared" si="7"/>
        <v>6.2538504716399934E-2</v>
      </c>
      <c r="G15" s="182">
        <f t="shared" si="7"/>
        <v>6.8672885946433948E-2</v>
      </c>
      <c r="H15" s="182">
        <f t="shared" si="7"/>
        <v>7.1428571428571425E-2</v>
      </c>
      <c r="I15" s="182">
        <f t="shared" si="7"/>
        <v>6.5787998654773153E-2</v>
      </c>
      <c r="J15" s="182">
        <f t="shared" si="7"/>
        <v>6.1063261063261064E-2</v>
      </c>
      <c r="K15" s="182">
        <f t="shared" si="7"/>
        <v>6.6148872124567992E-2</v>
      </c>
      <c r="L15" s="182">
        <f t="shared" si="7"/>
        <v>7.4162191557338053E-2</v>
      </c>
      <c r="M15" s="182">
        <f t="shared" ref="M15" si="8">M4/M$14</f>
        <v>7.7997928657532384E-2</v>
      </c>
      <c r="N15" s="184">
        <f t="shared" ref="N15:N24" si="9">(M15-C15)*100</f>
        <v>0.78356980090688455</v>
      </c>
      <c r="O15" s="184">
        <f t="shared" ref="O15:O24" si="10">(M15-H15)*100</f>
        <v>0.65693572289609592</v>
      </c>
      <c r="P15" s="184">
        <f t="shared" ref="P15:P24" si="11">(M15-L15)*100</f>
        <v>0.38357371001943308</v>
      </c>
      <c r="R15" s="192"/>
      <c r="S15" s="192"/>
    </row>
    <row r="16" spans="1:20" x14ac:dyDescent="0.2">
      <c r="A16" s="32" t="s">
        <v>182</v>
      </c>
      <c r="B16" s="32" t="s">
        <v>93</v>
      </c>
      <c r="C16" s="182">
        <f t="shared" ref="C16:L16" si="12">C5/C$14</f>
        <v>8.5972144437609602E-2</v>
      </c>
      <c r="D16" s="182">
        <f t="shared" si="12"/>
        <v>8.8342527929249445E-2</v>
      </c>
      <c r="E16" s="182">
        <f t="shared" si="12"/>
        <v>8.7618781442146451E-2</v>
      </c>
      <c r="F16" s="182">
        <f t="shared" si="12"/>
        <v>9.0987500513396213E-2</v>
      </c>
      <c r="G16" s="182">
        <f t="shared" si="12"/>
        <v>8.3238037917544389E-2</v>
      </c>
      <c r="H16" s="182">
        <f t="shared" si="12"/>
        <v>8.2177144132937835E-2</v>
      </c>
      <c r="I16" s="182">
        <f t="shared" si="12"/>
        <v>9.9114392325801132E-2</v>
      </c>
      <c r="J16" s="182">
        <f t="shared" si="12"/>
        <v>9.5772695772695773E-2</v>
      </c>
      <c r="K16" s="182">
        <f t="shared" si="12"/>
        <v>0.10522501765208667</v>
      </c>
      <c r="L16" s="182">
        <f t="shared" si="12"/>
        <v>0.11333355992114744</v>
      </c>
      <c r="M16" s="182">
        <f t="shared" ref="M16" si="13">M5/M$14</f>
        <v>0.1025823867977385</v>
      </c>
      <c r="N16" s="121">
        <f t="shared" si="9"/>
        <v>1.6610242360128895</v>
      </c>
      <c r="O16" s="121">
        <f t="shared" si="10"/>
        <v>2.0405242664800665</v>
      </c>
      <c r="P16" s="121">
        <f t="shared" si="11"/>
        <v>-1.0751173123408939</v>
      </c>
      <c r="R16" s="192"/>
      <c r="S16" s="192"/>
    </row>
    <row r="17" spans="1:19" x14ac:dyDescent="0.2">
      <c r="A17" s="32" t="s">
        <v>182</v>
      </c>
      <c r="B17" s="32" t="s">
        <v>94</v>
      </c>
      <c r="C17" s="182">
        <f t="shared" ref="C17:L17" si="14">C6/C$14</f>
        <v>0.21846509791680055</v>
      </c>
      <c r="D17" s="182">
        <f t="shared" si="14"/>
        <v>0.22866375415882734</v>
      </c>
      <c r="E17" s="182">
        <f t="shared" si="14"/>
        <v>0.25032606670393143</v>
      </c>
      <c r="F17" s="182">
        <f t="shared" si="14"/>
        <v>0.24784031324014622</v>
      </c>
      <c r="G17" s="182">
        <f t="shared" si="14"/>
        <v>0.23266626542281071</v>
      </c>
      <c r="H17" s="182">
        <f t="shared" si="14"/>
        <v>0.19958217714413293</v>
      </c>
      <c r="I17" s="182">
        <f t="shared" si="14"/>
        <v>0.21997661867623272</v>
      </c>
      <c r="J17" s="182">
        <f t="shared" si="14"/>
        <v>0.21296901296901297</v>
      </c>
      <c r="K17" s="182">
        <f t="shared" si="14"/>
        <v>0.1726188264149541</v>
      </c>
      <c r="L17" s="182">
        <f t="shared" si="14"/>
        <v>0.16771463530691319</v>
      </c>
      <c r="M17" s="182">
        <f t="shared" ref="M17" si="15">M6/M$14</f>
        <v>0.1301210546868368</v>
      </c>
      <c r="N17" s="121">
        <f t="shared" si="9"/>
        <v>-8.8344043229963756</v>
      </c>
      <c r="O17" s="121">
        <f t="shared" si="10"/>
        <v>-6.9461122457296129</v>
      </c>
      <c r="P17" s="121">
        <f t="shared" si="11"/>
        <v>-3.7593580620076397</v>
      </c>
      <c r="R17" s="192"/>
      <c r="S17" s="192"/>
    </row>
    <row r="18" spans="1:19" x14ac:dyDescent="0.2">
      <c r="A18" s="32" t="s">
        <v>182</v>
      </c>
      <c r="B18" s="32" t="s">
        <v>95</v>
      </c>
      <c r="C18" s="182">
        <f t="shared" ref="C18:L18" si="16">C7/C$14</f>
        <v>6.8785060457771371E-2</v>
      </c>
      <c r="D18" s="182">
        <f t="shared" si="16"/>
        <v>6.2661436908064666E-2</v>
      </c>
      <c r="E18" s="182">
        <f t="shared" si="16"/>
        <v>5.6258151667598288E-2</v>
      </c>
      <c r="F18" s="182">
        <f t="shared" si="16"/>
        <v>5.2434867133058609E-2</v>
      </c>
      <c r="G18" s="182">
        <f t="shared" si="16"/>
        <v>4.9774300331026179E-2</v>
      </c>
      <c r="H18" s="182">
        <f t="shared" si="16"/>
        <v>4.6454884700028704E-2</v>
      </c>
      <c r="I18" s="182">
        <f t="shared" si="16"/>
        <v>4.5065099370626013E-2</v>
      </c>
      <c r="J18" s="182">
        <f t="shared" si="16"/>
        <v>5.1598851598851601E-2</v>
      </c>
      <c r="K18" s="182">
        <f t="shared" si="16"/>
        <v>5.4814374372886394E-2</v>
      </c>
      <c r="L18" s="182">
        <f t="shared" si="16"/>
        <v>6.0227040989735574E-2</v>
      </c>
      <c r="M18" s="182">
        <f t="shared" ref="M18" si="17">M7/M$14</f>
        <v>6.5926416407748864E-2</v>
      </c>
      <c r="N18" s="121">
        <f t="shared" si="9"/>
        <v>-0.28586440500225074</v>
      </c>
      <c r="O18" s="121">
        <f t="shared" si="10"/>
        <v>1.947153170772016</v>
      </c>
      <c r="P18" s="121">
        <f t="shared" si="11"/>
        <v>0.56993754180132905</v>
      </c>
      <c r="R18" s="192"/>
      <c r="S18" s="192"/>
    </row>
    <row r="19" spans="1:19" x14ac:dyDescent="0.2">
      <c r="A19" s="32" t="s">
        <v>182</v>
      </c>
      <c r="B19" s="32" t="s">
        <v>96</v>
      </c>
      <c r="C19" s="182">
        <f t="shared" ref="C19:L19" si="18">C8/C$14</f>
        <v>0.1278748427730699</v>
      </c>
      <c r="D19" s="182">
        <f t="shared" si="18"/>
        <v>0.13228525569480321</v>
      </c>
      <c r="E19" s="182">
        <f t="shared" si="18"/>
        <v>0.13532932737097075</v>
      </c>
      <c r="F19" s="182">
        <f t="shared" si="18"/>
        <v>0.13486576400202621</v>
      </c>
      <c r="G19" s="182">
        <f t="shared" si="18"/>
        <v>0.13310261811616009</v>
      </c>
      <c r="H19" s="182">
        <f t="shared" si="18"/>
        <v>0.14193219149682645</v>
      </c>
      <c r="I19" s="182">
        <f t="shared" si="18"/>
        <v>0.10680140287942604</v>
      </c>
      <c r="J19" s="182">
        <f t="shared" si="18"/>
        <v>0.11272151272151272</v>
      </c>
      <c r="K19" s="182">
        <f t="shared" si="18"/>
        <v>0.126872050243413</v>
      </c>
      <c r="L19" s="182">
        <f t="shared" si="18"/>
        <v>0.13680239276731698</v>
      </c>
      <c r="M19" s="182">
        <f t="shared" ref="M19" si="19">M8/M$14</f>
        <v>0.14251515305862578</v>
      </c>
      <c r="N19" s="121">
        <f t="shared" si="9"/>
        <v>1.4640310285555875</v>
      </c>
      <c r="O19" s="121">
        <f t="shared" si="10"/>
        <v>5.8296156179932224E-2</v>
      </c>
      <c r="P19" s="121">
        <f t="shared" si="11"/>
        <v>0.57127602913087938</v>
      </c>
      <c r="R19" s="192"/>
      <c r="S19" s="192"/>
    </row>
    <row r="20" spans="1:19" x14ac:dyDescent="0.2">
      <c r="A20" s="32" t="s">
        <v>182</v>
      </c>
      <c r="B20" s="32" t="s">
        <v>97</v>
      </c>
      <c r="C20" s="182">
        <f t="shared" ref="C20:L20" si="20">C9/C$14</f>
        <v>0.16613263067049827</v>
      </c>
      <c r="D20" s="182">
        <f t="shared" si="20"/>
        <v>0.14729423769890621</v>
      </c>
      <c r="E20" s="182">
        <f t="shared" si="20"/>
        <v>0.13159120551518538</v>
      </c>
      <c r="F20" s="182">
        <f t="shared" si="20"/>
        <v>0.13518064701614119</v>
      </c>
      <c r="G20" s="182">
        <f t="shared" si="20"/>
        <v>0.14715618417092988</v>
      </c>
      <c r="H20" s="182">
        <f t="shared" si="20"/>
        <v>0.15295187063438906</v>
      </c>
      <c r="I20" s="182">
        <f t="shared" si="20"/>
        <v>0.15300353922777574</v>
      </c>
      <c r="J20" s="182">
        <f t="shared" si="20"/>
        <v>0.16119196119196119</v>
      </c>
      <c r="K20" s="182">
        <f t="shared" si="20"/>
        <v>0.15792114162547846</v>
      </c>
      <c r="L20" s="182">
        <f t="shared" si="20"/>
        <v>0.15537692882876758</v>
      </c>
      <c r="M20" s="182">
        <f t="shared" ref="M20" si="21">M9/M$14</f>
        <v>0.1639246846296202</v>
      </c>
      <c r="N20" s="121">
        <f t="shared" si="9"/>
        <v>-0.22079460408780671</v>
      </c>
      <c r="O20" s="121">
        <f t="shared" si="10"/>
        <v>1.0972813995231145</v>
      </c>
      <c r="P20" s="121">
        <f t="shared" si="11"/>
        <v>0.85477558008526244</v>
      </c>
      <c r="R20" s="192"/>
      <c r="S20" s="192"/>
    </row>
    <row r="21" spans="1:19" x14ac:dyDescent="0.2">
      <c r="A21" s="32" t="s">
        <v>182</v>
      </c>
      <c r="B21" s="32" t="s">
        <v>98</v>
      </c>
      <c r="C21" s="182">
        <f t="shared" ref="C21:L21" si="22">C10/C$14</f>
        <v>5.2736437168905331E-2</v>
      </c>
      <c r="D21" s="182">
        <f t="shared" si="22"/>
        <v>5.8313934330388936E-2</v>
      </c>
      <c r="E21" s="182">
        <f t="shared" si="22"/>
        <v>6.0089435438792624E-2</v>
      </c>
      <c r="F21" s="182">
        <f t="shared" si="22"/>
        <v>5.0655093575017456E-2</v>
      </c>
      <c r="G21" s="182">
        <f t="shared" si="22"/>
        <v>5.3024375564249174E-2</v>
      </c>
      <c r="H21" s="182">
        <f t="shared" si="22"/>
        <v>5.8351672886167195E-2</v>
      </c>
      <c r="I21" s="182">
        <f t="shared" si="22"/>
        <v>5.8997805999071153E-2</v>
      </c>
      <c r="J21" s="182">
        <f t="shared" si="22"/>
        <v>6.1696861696861699E-2</v>
      </c>
      <c r="K21" s="182">
        <f t="shared" si="22"/>
        <v>5.7471477944182246E-2</v>
      </c>
      <c r="L21" s="182">
        <f t="shared" si="22"/>
        <v>5.6403371626673915E-2</v>
      </c>
      <c r="M21" s="182">
        <f t="shared" ref="M21" si="23">M10/M$14</f>
        <v>5.99840404760692E-2</v>
      </c>
      <c r="N21" s="121">
        <f t="shared" si="9"/>
        <v>0.7247603307163869</v>
      </c>
      <c r="O21" s="121">
        <f t="shared" si="10"/>
        <v>0.16323675899020049</v>
      </c>
      <c r="P21" s="121">
        <f t="shared" si="11"/>
        <v>0.35806688493952854</v>
      </c>
      <c r="R21" s="192"/>
      <c r="S21" s="192"/>
    </row>
    <row r="22" spans="1:19" x14ac:dyDescent="0.2">
      <c r="A22" s="32" t="s">
        <v>182</v>
      </c>
      <c r="B22" s="32" t="s">
        <v>99</v>
      </c>
      <c r="C22" s="182">
        <f t="shared" ref="C22:L22" si="24">C11/C$14</f>
        <v>6.1311616889615221E-2</v>
      </c>
      <c r="D22" s="182">
        <f t="shared" si="24"/>
        <v>5.6432496784548827E-2</v>
      </c>
      <c r="E22" s="182">
        <f t="shared" si="24"/>
        <v>5.9658561580026088E-2</v>
      </c>
      <c r="F22" s="182">
        <f t="shared" si="24"/>
        <v>5.5925961419985487E-2</v>
      </c>
      <c r="G22" s="182">
        <f t="shared" si="24"/>
        <v>4.5185073728558532E-2</v>
      </c>
      <c r="H22" s="182">
        <f t="shared" si="24"/>
        <v>4.9102159283003224E-2</v>
      </c>
      <c r="I22" s="182">
        <f t="shared" si="24"/>
        <v>5.0814342680524635E-2</v>
      </c>
      <c r="J22" s="182">
        <f t="shared" si="24"/>
        <v>5.1717651717651719E-2</v>
      </c>
      <c r="K22" s="182">
        <f t="shared" si="24"/>
        <v>4.1844735961945816E-2</v>
      </c>
      <c r="L22" s="182">
        <f t="shared" si="24"/>
        <v>4.2281286112432877E-2</v>
      </c>
      <c r="M22" s="182">
        <f t="shared" ref="M22" si="25">M11/M$14</f>
        <v>4.6961748077216932E-2</v>
      </c>
      <c r="N22" s="121">
        <f t="shared" si="9"/>
        <v>-1.434986881239829</v>
      </c>
      <c r="O22" s="121">
        <f t="shared" si="10"/>
        <v>-0.21404112057862926</v>
      </c>
      <c r="P22" s="121">
        <f t="shared" si="11"/>
        <v>0.46804619647840551</v>
      </c>
      <c r="R22" s="192"/>
      <c r="S22" s="192"/>
    </row>
    <row r="23" spans="1:19" x14ac:dyDescent="0.2">
      <c r="A23" s="32" t="s">
        <v>182</v>
      </c>
      <c r="B23" s="32" t="s">
        <v>100</v>
      </c>
      <c r="C23" s="182">
        <f t="shared" ref="C23:L23" si="26">C12/C$14</f>
        <v>5.953965791092463E-2</v>
      </c>
      <c r="D23" s="182">
        <f t="shared" si="26"/>
        <v>6.1513441117382571E-2</v>
      </c>
      <c r="E23" s="182">
        <f t="shared" si="26"/>
        <v>6.6773802869387E-2</v>
      </c>
      <c r="F23" s="182">
        <f t="shared" si="26"/>
        <v>7.2464164943937134E-2</v>
      </c>
      <c r="G23" s="182">
        <f t="shared" si="26"/>
        <v>9.0294914234125792E-2</v>
      </c>
      <c r="H23" s="182">
        <f t="shared" si="26"/>
        <v>8.5175262335342714E-2</v>
      </c>
      <c r="I23" s="182">
        <f t="shared" si="26"/>
        <v>8.2667392662107847E-2</v>
      </c>
      <c r="J23" s="182">
        <f t="shared" si="26"/>
        <v>6.825066825066825E-2</v>
      </c>
      <c r="K23" s="182">
        <f t="shared" si="26"/>
        <v>9.3723289605708124E-2</v>
      </c>
      <c r="L23" s="182">
        <f t="shared" si="26"/>
        <v>8.2353341037319019E-2</v>
      </c>
      <c r="M23" s="182">
        <f t="shared" ref="M23" si="27">M12/M$14</f>
        <v>9.781150783544712E-2</v>
      </c>
      <c r="N23" s="121">
        <f t="shared" si="9"/>
        <v>3.8271849924522492</v>
      </c>
      <c r="O23" s="121">
        <f t="shared" si="10"/>
        <v>1.2636245500104406</v>
      </c>
      <c r="P23" s="121">
        <f t="shared" si="11"/>
        <v>1.5458166798128101</v>
      </c>
      <c r="R23" s="192"/>
      <c r="S23" s="192"/>
    </row>
    <row r="24" spans="1:19" x14ac:dyDescent="0.2">
      <c r="A24" s="263" t="s">
        <v>182</v>
      </c>
      <c r="B24" s="263" t="s">
        <v>101</v>
      </c>
      <c r="C24" s="258">
        <f t="shared" ref="C24:L24" si="28">C13/C$14</f>
        <v>8.9020281126341597E-2</v>
      </c>
      <c r="D24" s="258">
        <f t="shared" si="28"/>
        <v>9.0925518458284171E-2</v>
      </c>
      <c r="E24" s="258">
        <f t="shared" si="28"/>
        <v>8.8317495807713808E-2</v>
      </c>
      <c r="F24" s="258">
        <f t="shared" si="28"/>
        <v>9.7107183439891567E-2</v>
      </c>
      <c r="G24" s="258">
        <f t="shared" si="28"/>
        <v>9.6885344568161294E-2</v>
      </c>
      <c r="H24" s="258">
        <f t="shared" si="28"/>
        <v>0.11284406595860046</v>
      </c>
      <c r="I24" s="258">
        <f t="shared" si="28"/>
        <v>0.11777140752366158</v>
      </c>
      <c r="J24" s="258">
        <f t="shared" si="28"/>
        <v>0.12301752301752301</v>
      </c>
      <c r="K24" s="258">
        <f t="shared" si="28"/>
        <v>0.12336021405477721</v>
      </c>
      <c r="L24" s="258">
        <f t="shared" si="28"/>
        <v>0.11134525185235539</v>
      </c>
      <c r="M24" s="258">
        <f t="shared" ref="M24:M25" si="29">M13/M$14</f>
        <v>0.11217507937316423</v>
      </c>
      <c r="N24" s="264">
        <f t="shared" si="9"/>
        <v>2.3154798246822637</v>
      </c>
      <c r="O24" s="264">
        <f t="shared" si="10"/>
        <v>-6.6898658543622369E-2</v>
      </c>
      <c r="P24" s="264">
        <f t="shared" si="11"/>
        <v>8.298275208088457E-2</v>
      </c>
      <c r="R24" s="192"/>
      <c r="S24" s="192"/>
    </row>
    <row r="25" spans="1:19" x14ac:dyDescent="0.2">
      <c r="A25" s="266" t="s">
        <v>182</v>
      </c>
      <c r="B25" s="266" t="s">
        <v>102</v>
      </c>
      <c r="C25" s="259">
        <f t="shared" ref="C25:L25" si="30">C14/C$14</f>
        <v>1</v>
      </c>
      <c r="D25" s="259">
        <f t="shared" si="30"/>
        <v>1</v>
      </c>
      <c r="E25" s="259">
        <f t="shared" si="30"/>
        <v>1</v>
      </c>
      <c r="F25" s="259">
        <f t="shared" si="30"/>
        <v>1</v>
      </c>
      <c r="G25" s="259">
        <f t="shared" si="30"/>
        <v>1</v>
      </c>
      <c r="H25" s="259">
        <f t="shared" si="30"/>
        <v>1</v>
      </c>
      <c r="I25" s="259">
        <f t="shared" si="30"/>
        <v>1</v>
      </c>
      <c r="J25" s="259">
        <f t="shared" si="30"/>
        <v>1</v>
      </c>
      <c r="K25" s="259">
        <f t="shared" si="30"/>
        <v>1</v>
      </c>
      <c r="L25" s="259">
        <f t="shared" si="30"/>
        <v>1</v>
      </c>
      <c r="M25" s="259">
        <f t="shared" si="29"/>
        <v>1</v>
      </c>
      <c r="N25" s="267" t="s">
        <v>49</v>
      </c>
      <c r="O25" s="267" t="s">
        <v>49</v>
      </c>
      <c r="P25" s="267" t="s">
        <v>49</v>
      </c>
      <c r="R25" s="192"/>
      <c r="S25" s="192"/>
    </row>
  </sheetData>
  <sortState xmlns:xlrd2="http://schemas.microsoft.com/office/spreadsheetml/2017/richdata2" ref="A4:P13">
    <sortCondition ref="B4:B13"/>
  </sortState>
  <phoneticPr fontId="2" type="noConversion"/>
  <pageMargins left="0.7" right="0.7" top="0.75" bottom="0.75" header="0.3" footer="0.3"/>
  <pageSetup paperSize="9" orientation="portrait" r:id="rId1"/>
  <ignoredErrors>
    <ignoredError sqref="C14:P14"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B07D8-84C8-493E-94C6-3DA78A1B279B}">
  <dimension ref="A1:O57"/>
  <sheetViews>
    <sheetView workbookViewId="0">
      <pane xSplit="1" ySplit="3" topLeftCell="B4" activePane="bottomRight" state="frozen"/>
      <selection pane="topRight" activeCell="B1" sqref="B1"/>
      <selection pane="bottomLeft" activeCell="A4" sqref="A4"/>
      <selection pane="bottomRight"/>
    </sheetView>
  </sheetViews>
  <sheetFormatPr defaultColWidth="8.6640625" defaultRowHeight="15" x14ac:dyDescent="0.2"/>
  <cols>
    <col min="1" max="1" width="28.109375" customWidth="1"/>
    <col min="13" max="13" width="11.88671875" customWidth="1"/>
    <col min="14" max="14" width="11.6640625" customWidth="1"/>
    <col min="15" max="15" width="11.88671875" customWidth="1"/>
  </cols>
  <sheetData>
    <row r="1" spans="1:15" ht="15.75" x14ac:dyDescent="0.2">
      <c r="A1" s="29" t="s">
        <v>277</v>
      </c>
    </row>
    <row r="2" spans="1:15" x14ac:dyDescent="0.2">
      <c r="A2" s="31" t="s">
        <v>183</v>
      </c>
    </row>
    <row r="3" spans="1:15" ht="51" x14ac:dyDescent="0.2">
      <c r="A3" s="180" t="s">
        <v>104</v>
      </c>
      <c r="B3" s="180">
        <v>2014</v>
      </c>
      <c r="C3" s="180">
        <v>2015</v>
      </c>
      <c r="D3" s="180">
        <v>2016</v>
      </c>
      <c r="E3" s="180">
        <v>2017</v>
      </c>
      <c r="F3" s="180">
        <v>2018</v>
      </c>
      <c r="G3" s="180">
        <v>2019</v>
      </c>
      <c r="H3" s="180">
        <v>2020</v>
      </c>
      <c r="I3" s="180">
        <v>2021</v>
      </c>
      <c r="J3" s="180">
        <v>2022</v>
      </c>
      <c r="K3" s="180">
        <v>2023</v>
      </c>
      <c r="L3" s="180">
        <v>2024</v>
      </c>
      <c r="M3" s="210" t="s">
        <v>260</v>
      </c>
      <c r="N3" s="210" t="s">
        <v>261</v>
      </c>
      <c r="O3" s="210" t="s">
        <v>259</v>
      </c>
    </row>
    <row r="4" spans="1:15" x14ac:dyDescent="0.2">
      <c r="A4" s="151" t="s">
        <v>105</v>
      </c>
      <c r="B4" s="184">
        <v>1660</v>
      </c>
      <c r="C4" s="184">
        <v>1578</v>
      </c>
      <c r="D4" s="184">
        <v>1399</v>
      </c>
      <c r="E4" s="184">
        <v>1149</v>
      </c>
      <c r="F4" s="184">
        <v>928</v>
      </c>
      <c r="G4" s="184">
        <v>825</v>
      </c>
      <c r="H4" s="184">
        <v>801</v>
      </c>
      <c r="I4" s="184">
        <v>706</v>
      </c>
      <c r="J4" s="184">
        <v>774</v>
      </c>
      <c r="K4" s="184">
        <v>913</v>
      </c>
      <c r="L4" s="184">
        <v>1115</v>
      </c>
      <c r="M4" s="185">
        <f t="shared" ref="M4:M35" si="0">L4/B4-1</f>
        <v>-0.32831325301204817</v>
      </c>
      <c r="N4" s="185">
        <f t="shared" ref="N4:N35" si="1">L4/G4-1</f>
        <v>0.35151515151515156</v>
      </c>
      <c r="O4" s="185">
        <f t="shared" ref="O4:O35" si="2">L4/K4-1</f>
        <v>0.22124863088718505</v>
      </c>
    </row>
    <row r="5" spans="1:15" x14ac:dyDescent="0.2">
      <c r="A5" s="4" t="s">
        <v>106</v>
      </c>
      <c r="B5" s="121">
        <v>2140</v>
      </c>
      <c r="C5" s="121">
        <v>1686</v>
      </c>
      <c r="D5" s="121">
        <v>755</v>
      </c>
      <c r="E5" s="121">
        <v>879</v>
      </c>
      <c r="F5" s="121">
        <v>1095</v>
      </c>
      <c r="G5" s="121">
        <v>1080</v>
      </c>
      <c r="H5" s="121">
        <v>1057</v>
      </c>
      <c r="I5" s="121">
        <v>771</v>
      </c>
      <c r="J5" s="121">
        <v>851</v>
      </c>
      <c r="K5" s="121">
        <v>1041</v>
      </c>
      <c r="L5" s="121">
        <v>1177</v>
      </c>
      <c r="M5" s="177">
        <f t="shared" si="0"/>
        <v>-0.44999999999999996</v>
      </c>
      <c r="N5" s="177">
        <f t="shared" si="1"/>
        <v>8.9814814814814792E-2</v>
      </c>
      <c r="O5" s="177">
        <f t="shared" si="2"/>
        <v>0.13064361191162344</v>
      </c>
    </row>
    <row r="6" spans="1:15" x14ac:dyDescent="0.2">
      <c r="A6" s="4" t="s">
        <v>107</v>
      </c>
      <c r="B6" s="121">
        <v>819</v>
      </c>
      <c r="C6" s="121">
        <v>759</v>
      </c>
      <c r="D6" s="121">
        <v>888</v>
      </c>
      <c r="E6" s="121">
        <v>745</v>
      </c>
      <c r="F6" s="121">
        <v>694</v>
      </c>
      <c r="G6" s="121">
        <v>652</v>
      </c>
      <c r="H6" s="121">
        <v>633</v>
      </c>
      <c r="I6" s="121">
        <v>447</v>
      </c>
      <c r="J6" s="121">
        <v>499</v>
      </c>
      <c r="K6" s="121">
        <v>572</v>
      </c>
      <c r="L6" s="121">
        <v>583</v>
      </c>
      <c r="M6" s="177">
        <f t="shared" si="0"/>
        <v>-0.28815628815628813</v>
      </c>
      <c r="N6" s="177">
        <f t="shared" si="1"/>
        <v>-0.10582822085889576</v>
      </c>
      <c r="O6" s="177">
        <f t="shared" si="2"/>
        <v>1.9230769230769162E-2</v>
      </c>
    </row>
    <row r="7" spans="1:15" x14ac:dyDescent="0.2">
      <c r="A7" s="4" t="s">
        <v>108</v>
      </c>
      <c r="B7" s="121">
        <v>1016</v>
      </c>
      <c r="C7" s="121">
        <v>987</v>
      </c>
      <c r="D7" s="121">
        <v>861</v>
      </c>
      <c r="E7" s="121">
        <v>783</v>
      </c>
      <c r="F7" s="121">
        <v>832</v>
      </c>
      <c r="G7" s="121">
        <v>875</v>
      </c>
      <c r="H7" s="121">
        <v>680</v>
      </c>
      <c r="I7" s="121">
        <v>577</v>
      </c>
      <c r="J7" s="121">
        <v>738</v>
      </c>
      <c r="K7" s="121">
        <v>978</v>
      </c>
      <c r="L7" s="121">
        <v>926</v>
      </c>
      <c r="M7" s="177">
        <f t="shared" si="0"/>
        <v>-8.8582677165354284E-2</v>
      </c>
      <c r="N7" s="177">
        <f t="shared" si="1"/>
        <v>5.8285714285714274E-2</v>
      </c>
      <c r="O7" s="177">
        <f t="shared" si="2"/>
        <v>-5.3169734151329195E-2</v>
      </c>
    </row>
    <row r="8" spans="1:15" x14ac:dyDescent="0.2">
      <c r="A8" s="270" t="s">
        <v>109</v>
      </c>
      <c r="B8" s="264">
        <v>2007</v>
      </c>
      <c r="C8" s="264">
        <v>1911</v>
      </c>
      <c r="D8" s="264">
        <v>1596</v>
      </c>
      <c r="E8" s="264">
        <v>1012</v>
      </c>
      <c r="F8" s="264">
        <v>1015</v>
      </c>
      <c r="G8" s="264">
        <v>1047</v>
      </c>
      <c r="H8" s="264">
        <v>937</v>
      </c>
      <c r="I8" s="264">
        <v>583</v>
      </c>
      <c r="J8" s="264">
        <v>698</v>
      </c>
      <c r="K8" s="264">
        <v>860</v>
      </c>
      <c r="L8" s="264">
        <v>793</v>
      </c>
      <c r="M8" s="272">
        <f t="shared" si="0"/>
        <v>-0.60488290981564519</v>
      </c>
      <c r="N8" s="272">
        <f t="shared" si="1"/>
        <v>-0.24259789875835724</v>
      </c>
      <c r="O8" s="272">
        <f t="shared" si="2"/>
        <v>-7.7906976744186007E-2</v>
      </c>
    </row>
    <row r="9" spans="1:15" x14ac:dyDescent="0.2">
      <c r="A9" s="271" t="s">
        <v>110</v>
      </c>
      <c r="B9" s="267">
        <v>7642</v>
      </c>
      <c r="C9" s="267">
        <v>6921</v>
      </c>
      <c r="D9" s="267">
        <v>5499</v>
      </c>
      <c r="E9" s="267">
        <v>4568</v>
      </c>
      <c r="F9" s="267">
        <v>4564</v>
      </c>
      <c r="G9" s="267">
        <v>4479</v>
      </c>
      <c r="H9" s="267">
        <v>4108</v>
      </c>
      <c r="I9" s="267">
        <v>3084</v>
      </c>
      <c r="J9" s="267">
        <v>3560</v>
      </c>
      <c r="K9" s="267">
        <v>4364</v>
      </c>
      <c r="L9" s="267">
        <v>4594</v>
      </c>
      <c r="M9" s="273">
        <f t="shared" si="0"/>
        <v>-0.39884846898717619</v>
      </c>
      <c r="N9" s="273">
        <f t="shared" si="1"/>
        <v>2.5675373967403381E-2</v>
      </c>
      <c r="O9" s="273">
        <f t="shared" si="2"/>
        <v>5.270394133822176E-2</v>
      </c>
    </row>
    <row r="10" spans="1:15" x14ac:dyDescent="0.2">
      <c r="A10" s="151" t="s">
        <v>111</v>
      </c>
      <c r="B10" s="184">
        <v>1221</v>
      </c>
      <c r="C10" s="184">
        <v>1055</v>
      </c>
      <c r="D10" s="184">
        <v>1038</v>
      </c>
      <c r="E10" s="184">
        <v>943</v>
      </c>
      <c r="F10" s="184">
        <v>778</v>
      </c>
      <c r="G10" s="184">
        <v>594</v>
      </c>
      <c r="H10" s="184">
        <v>779</v>
      </c>
      <c r="I10" s="184">
        <v>623</v>
      </c>
      <c r="J10" s="184">
        <v>750</v>
      </c>
      <c r="K10" s="184">
        <v>789</v>
      </c>
      <c r="L10" s="184">
        <v>731</v>
      </c>
      <c r="M10" s="185">
        <f t="shared" si="0"/>
        <v>-0.4013104013104013</v>
      </c>
      <c r="N10" s="185">
        <f t="shared" si="1"/>
        <v>0.23063973063973053</v>
      </c>
      <c r="O10" s="185">
        <f t="shared" si="2"/>
        <v>-7.3510773130544993E-2</v>
      </c>
    </row>
    <row r="11" spans="1:15" x14ac:dyDescent="0.2">
      <c r="A11" s="4" t="s">
        <v>112</v>
      </c>
      <c r="B11" s="121">
        <v>899</v>
      </c>
      <c r="C11" s="121">
        <v>852</v>
      </c>
      <c r="D11" s="121">
        <v>986</v>
      </c>
      <c r="E11" s="121">
        <v>884</v>
      </c>
      <c r="F11" s="121">
        <v>722</v>
      </c>
      <c r="G11" s="121">
        <v>560</v>
      </c>
      <c r="H11" s="121">
        <v>495</v>
      </c>
      <c r="I11" s="121">
        <v>662</v>
      </c>
      <c r="J11" s="121">
        <v>566</v>
      </c>
      <c r="K11" s="121">
        <v>726</v>
      </c>
      <c r="L11" s="121">
        <v>673</v>
      </c>
      <c r="M11" s="177">
        <f t="shared" si="0"/>
        <v>-0.25139043381535042</v>
      </c>
      <c r="N11" s="177">
        <f t="shared" si="1"/>
        <v>0.20178571428571423</v>
      </c>
      <c r="O11" s="177">
        <f t="shared" si="2"/>
        <v>-7.3002754820936655E-2</v>
      </c>
    </row>
    <row r="12" spans="1:15" x14ac:dyDescent="0.2">
      <c r="A12" s="4" t="s">
        <v>113</v>
      </c>
      <c r="B12" s="121">
        <v>3564</v>
      </c>
      <c r="C12" s="121">
        <v>3052</v>
      </c>
      <c r="D12" s="121">
        <v>2124</v>
      </c>
      <c r="E12" s="121">
        <v>1816</v>
      </c>
      <c r="F12" s="121">
        <v>1350</v>
      </c>
      <c r="G12" s="121">
        <v>1435</v>
      </c>
      <c r="H12" s="121">
        <v>1677</v>
      </c>
      <c r="I12" s="121">
        <v>1384</v>
      </c>
      <c r="J12" s="121">
        <v>1458</v>
      </c>
      <c r="K12" s="121">
        <v>1782</v>
      </c>
      <c r="L12" s="121">
        <v>1632</v>
      </c>
      <c r="M12" s="177">
        <f t="shared" si="0"/>
        <v>-0.54208754208754206</v>
      </c>
      <c r="N12" s="177">
        <f t="shared" si="1"/>
        <v>0.13728222996515682</v>
      </c>
      <c r="O12" s="177">
        <f t="shared" si="2"/>
        <v>-8.4175084175084125E-2</v>
      </c>
    </row>
    <row r="13" spans="1:15" x14ac:dyDescent="0.2">
      <c r="A13" s="4" t="s">
        <v>114</v>
      </c>
      <c r="B13" s="121">
        <v>1334</v>
      </c>
      <c r="C13" s="121">
        <v>1310</v>
      </c>
      <c r="D13" s="121">
        <v>1276</v>
      </c>
      <c r="E13" s="121">
        <v>1317</v>
      </c>
      <c r="F13" s="121">
        <v>1121</v>
      </c>
      <c r="G13" s="121">
        <v>989</v>
      </c>
      <c r="H13" s="121">
        <v>1535</v>
      </c>
      <c r="I13" s="121">
        <v>1190</v>
      </c>
      <c r="J13" s="121">
        <v>1103</v>
      </c>
      <c r="K13" s="121">
        <v>1090</v>
      </c>
      <c r="L13" s="121">
        <v>1179</v>
      </c>
      <c r="M13" s="177">
        <f t="shared" si="0"/>
        <v>-0.11619190404797597</v>
      </c>
      <c r="N13" s="177">
        <f t="shared" si="1"/>
        <v>0.19211324570273014</v>
      </c>
      <c r="O13" s="177">
        <f t="shared" si="2"/>
        <v>8.1651376146788968E-2</v>
      </c>
    </row>
    <row r="14" spans="1:15" x14ac:dyDescent="0.2">
      <c r="A14" s="4" t="s">
        <v>115</v>
      </c>
      <c r="B14" s="121">
        <v>1302</v>
      </c>
      <c r="C14" s="121">
        <v>1123</v>
      </c>
      <c r="D14" s="121">
        <v>1196</v>
      </c>
      <c r="E14" s="121">
        <v>996</v>
      </c>
      <c r="F14" s="121">
        <v>839</v>
      </c>
      <c r="G14" s="121">
        <v>846</v>
      </c>
      <c r="H14" s="121">
        <v>912</v>
      </c>
      <c r="I14" s="121">
        <v>475</v>
      </c>
      <c r="J14" s="121">
        <v>967</v>
      </c>
      <c r="K14" s="121">
        <v>1350</v>
      </c>
      <c r="L14" s="121">
        <v>1066</v>
      </c>
      <c r="M14" s="177">
        <f t="shared" si="0"/>
        <v>-0.18125960061443935</v>
      </c>
      <c r="N14" s="177">
        <f t="shared" si="1"/>
        <v>0.260047281323877</v>
      </c>
      <c r="O14" s="177">
        <f t="shared" si="2"/>
        <v>-0.21037037037037032</v>
      </c>
    </row>
    <row r="15" spans="1:15" x14ac:dyDescent="0.2">
      <c r="A15" s="270" t="s">
        <v>116</v>
      </c>
      <c r="B15" s="264">
        <v>1044</v>
      </c>
      <c r="C15" s="264">
        <v>919</v>
      </c>
      <c r="D15" s="264">
        <v>904</v>
      </c>
      <c r="E15" s="264">
        <v>690</v>
      </c>
      <c r="F15" s="264">
        <v>722</v>
      </c>
      <c r="G15" s="264">
        <v>729</v>
      </c>
      <c r="H15" s="264">
        <v>791</v>
      </c>
      <c r="I15" s="264">
        <v>503</v>
      </c>
      <c r="J15" s="264">
        <v>819</v>
      </c>
      <c r="K15" s="264">
        <v>932</v>
      </c>
      <c r="L15" s="264">
        <v>761</v>
      </c>
      <c r="M15" s="272">
        <f t="shared" si="0"/>
        <v>-0.27107279693486586</v>
      </c>
      <c r="N15" s="272">
        <f t="shared" si="1"/>
        <v>4.3895747599451251E-2</v>
      </c>
      <c r="O15" s="272">
        <f t="shared" si="2"/>
        <v>-0.1834763948497854</v>
      </c>
    </row>
    <row r="16" spans="1:15" x14ac:dyDescent="0.2">
      <c r="A16" s="271" t="s">
        <v>117</v>
      </c>
      <c r="B16" s="267">
        <v>9364</v>
      </c>
      <c r="C16" s="267">
        <v>8311</v>
      </c>
      <c r="D16" s="267">
        <v>7524</v>
      </c>
      <c r="E16" s="267">
        <v>6646</v>
      </c>
      <c r="F16" s="267">
        <v>5532</v>
      </c>
      <c r="G16" s="267">
        <v>5153</v>
      </c>
      <c r="H16" s="267">
        <v>6189</v>
      </c>
      <c r="I16" s="267">
        <v>4837</v>
      </c>
      <c r="J16" s="267">
        <v>5663</v>
      </c>
      <c r="K16" s="267">
        <v>6669</v>
      </c>
      <c r="L16" s="267">
        <v>6042</v>
      </c>
      <c r="M16" s="273">
        <f t="shared" si="0"/>
        <v>-0.35476292182827851</v>
      </c>
      <c r="N16" s="273">
        <f t="shared" si="1"/>
        <v>0.17252086163399971</v>
      </c>
      <c r="O16" s="273">
        <f t="shared" si="2"/>
        <v>-9.4017094017094016E-2</v>
      </c>
    </row>
    <row r="17" spans="1:15" x14ac:dyDescent="0.2">
      <c r="A17" s="151" t="s">
        <v>118</v>
      </c>
      <c r="B17" s="184">
        <v>90</v>
      </c>
      <c r="C17" s="184">
        <v>70</v>
      </c>
      <c r="D17" s="184">
        <v>72</v>
      </c>
      <c r="E17" s="184">
        <v>35</v>
      </c>
      <c r="F17" s="184">
        <v>57</v>
      </c>
      <c r="G17" s="184">
        <v>56</v>
      </c>
      <c r="H17" s="184">
        <v>96</v>
      </c>
      <c r="I17" s="184">
        <v>54</v>
      </c>
      <c r="J17" s="184">
        <v>64</v>
      </c>
      <c r="K17" s="184">
        <v>77</v>
      </c>
      <c r="L17" s="184">
        <v>66</v>
      </c>
      <c r="M17" s="185">
        <f t="shared" si="0"/>
        <v>-0.26666666666666672</v>
      </c>
      <c r="N17" s="185">
        <f t="shared" si="1"/>
        <v>0.1785714285714286</v>
      </c>
      <c r="O17" s="185">
        <f t="shared" si="2"/>
        <v>-0.1428571428571429</v>
      </c>
    </row>
    <row r="18" spans="1:15" x14ac:dyDescent="0.2">
      <c r="A18" s="270" t="s">
        <v>119</v>
      </c>
      <c r="B18" s="264">
        <v>23705</v>
      </c>
      <c r="C18" s="264">
        <v>21442</v>
      </c>
      <c r="D18" s="264">
        <v>21424</v>
      </c>
      <c r="E18" s="264">
        <v>18068</v>
      </c>
      <c r="F18" s="264">
        <v>15406</v>
      </c>
      <c r="G18" s="264">
        <v>12459</v>
      </c>
      <c r="H18" s="264">
        <v>13640</v>
      </c>
      <c r="I18" s="264">
        <v>10702</v>
      </c>
      <c r="J18" s="264">
        <v>9226</v>
      </c>
      <c r="K18" s="264">
        <v>9792</v>
      </c>
      <c r="L18" s="264">
        <v>7598</v>
      </c>
      <c r="M18" s="272">
        <f t="shared" si="0"/>
        <v>-0.67947690360683399</v>
      </c>
      <c r="N18" s="272">
        <f t="shared" si="1"/>
        <v>-0.39015972389437359</v>
      </c>
      <c r="O18" s="272">
        <f t="shared" si="2"/>
        <v>-0.22406045751633985</v>
      </c>
    </row>
    <row r="19" spans="1:15" x14ac:dyDescent="0.2">
      <c r="A19" s="271" t="s">
        <v>120</v>
      </c>
      <c r="B19" s="267">
        <v>23795</v>
      </c>
      <c r="C19" s="267">
        <v>21512</v>
      </c>
      <c r="D19" s="267">
        <v>21496</v>
      </c>
      <c r="E19" s="267">
        <v>18103</v>
      </c>
      <c r="F19" s="267">
        <v>15463</v>
      </c>
      <c r="G19" s="267">
        <v>12515</v>
      </c>
      <c r="H19" s="267">
        <v>13736</v>
      </c>
      <c r="I19" s="267">
        <v>10756</v>
      </c>
      <c r="J19" s="267">
        <v>9290</v>
      </c>
      <c r="K19" s="267">
        <v>9869</v>
      </c>
      <c r="L19" s="267">
        <v>7664</v>
      </c>
      <c r="M19" s="273">
        <f t="shared" si="0"/>
        <v>-0.67791552847236813</v>
      </c>
      <c r="N19" s="273">
        <f t="shared" si="1"/>
        <v>-0.38761486216540153</v>
      </c>
      <c r="O19" s="273">
        <f t="shared" si="2"/>
        <v>-0.22342689228898571</v>
      </c>
    </row>
    <row r="20" spans="1:15" x14ac:dyDescent="0.2">
      <c r="A20" s="151" t="s">
        <v>121</v>
      </c>
      <c r="B20" s="184">
        <v>1448</v>
      </c>
      <c r="C20" s="184">
        <v>1303</v>
      </c>
      <c r="D20" s="184">
        <v>1112</v>
      </c>
      <c r="E20" s="184">
        <v>1009</v>
      </c>
      <c r="F20" s="184">
        <v>793</v>
      </c>
      <c r="G20" s="184">
        <v>653</v>
      </c>
      <c r="H20" s="184">
        <v>767</v>
      </c>
      <c r="I20" s="184">
        <v>756</v>
      </c>
      <c r="J20" s="184">
        <v>989</v>
      </c>
      <c r="K20" s="184">
        <v>1110</v>
      </c>
      <c r="L20" s="184">
        <v>1078</v>
      </c>
      <c r="M20" s="185">
        <f t="shared" si="0"/>
        <v>-0.25552486187845302</v>
      </c>
      <c r="N20" s="185">
        <f t="shared" si="1"/>
        <v>0.65084226646248089</v>
      </c>
      <c r="O20" s="185">
        <f t="shared" si="2"/>
        <v>-2.8828828828828867E-2</v>
      </c>
    </row>
    <row r="21" spans="1:15" x14ac:dyDescent="0.2">
      <c r="A21" s="4" t="s">
        <v>122</v>
      </c>
      <c r="B21" s="121">
        <v>1389</v>
      </c>
      <c r="C21" s="121">
        <v>932</v>
      </c>
      <c r="D21" s="121">
        <v>1045</v>
      </c>
      <c r="E21" s="121">
        <v>944</v>
      </c>
      <c r="F21" s="121">
        <v>823</v>
      </c>
      <c r="G21" s="121">
        <v>693</v>
      </c>
      <c r="H21" s="121">
        <v>529</v>
      </c>
      <c r="I21" s="121">
        <v>490</v>
      </c>
      <c r="J21" s="121">
        <v>650</v>
      </c>
      <c r="K21" s="121">
        <v>701</v>
      </c>
      <c r="L21" s="121">
        <v>855</v>
      </c>
      <c r="M21" s="177">
        <f t="shared" si="0"/>
        <v>-0.3844492440604752</v>
      </c>
      <c r="N21" s="177">
        <f t="shared" si="1"/>
        <v>0.23376623376623384</v>
      </c>
      <c r="O21" s="177">
        <f t="shared" si="2"/>
        <v>0.21968616262482166</v>
      </c>
    </row>
    <row r="22" spans="1:15" x14ac:dyDescent="0.2">
      <c r="A22" s="270" t="s">
        <v>123</v>
      </c>
      <c r="B22" s="264">
        <v>4655</v>
      </c>
      <c r="C22" s="264">
        <v>3660</v>
      </c>
      <c r="D22" s="264">
        <v>2674</v>
      </c>
      <c r="E22" s="264">
        <v>1877</v>
      </c>
      <c r="F22" s="264">
        <v>1692</v>
      </c>
      <c r="G22" s="264">
        <v>1567</v>
      </c>
      <c r="H22" s="264">
        <v>1518</v>
      </c>
      <c r="I22" s="264">
        <v>1360</v>
      </c>
      <c r="J22" s="264">
        <v>1311</v>
      </c>
      <c r="K22" s="264">
        <v>1733</v>
      </c>
      <c r="L22" s="264">
        <v>1950</v>
      </c>
      <c r="M22" s="272">
        <f t="shared" si="0"/>
        <v>-0.58109559613319006</v>
      </c>
      <c r="N22" s="272">
        <f t="shared" si="1"/>
        <v>0.24441608168474782</v>
      </c>
      <c r="O22" s="272">
        <f t="shared" si="2"/>
        <v>0.12521638776687816</v>
      </c>
    </row>
    <row r="23" spans="1:15" x14ac:dyDescent="0.2">
      <c r="A23" s="271" t="s">
        <v>124</v>
      </c>
      <c r="B23" s="267">
        <v>7492</v>
      </c>
      <c r="C23" s="267">
        <v>5895</v>
      </c>
      <c r="D23" s="267">
        <v>4831</v>
      </c>
      <c r="E23" s="267">
        <v>3830</v>
      </c>
      <c r="F23" s="267">
        <v>3308</v>
      </c>
      <c r="G23" s="267">
        <v>2913</v>
      </c>
      <c r="H23" s="267">
        <v>2814</v>
      </c>
      <c r="I23" s="267">
        <v>2606</v>
      </c>
      <c r="J23" s="267">
        <v>2950</v>
      </c>
      <c r="K23" s="267">
        <v>3544</v>
      </c>
      <c r="L23" s="267">
        <v>3883</v>
      </c>
      <c r="M23" s="273">
        <f t="shared" si="0"/>
        <v>-0.48171382808328889</v>
      </c>
      <c r="N23" s="273">
        <f t="shared" si="1"/>
        <v>0.33299004462753179</v>
      </c>
      <c r="O23" s="273">
        <f t="shared" si="2"/>
        <v>9.5654627539503378E-2</v>
      </c>
    </row>
    <row r="24" spans="1:15" x14ac:dyDescent="0.2">
      <c r="A24" s="151" t="s">
        <v>125</v>
      </c>
      <c r="B24" s="184">
        <v>1087</v>
      </c>
      <c r="C24" s="184">
        <v>1076</v>
      </c>
      <c r="D24" s="184">
        <v>1156</v>
      </c>
      <c r="E24" s="184">
        <v>913</v>
      </c>
      <c r="F24" s="184">
        <v>882</v>
      </c>
      <c r="G24" s="184">
        <v>845</v>
      </c>
      <c r="H24" s="184">
        <v>786</v>
      </c>
      <c r="I24" s="184">
        <v>649</v>
      </c>
      <c r="J24" s="184">
        <v>839</v>
      </c>
      <c r="K24" s="184">
        <v>1108</v>
      </c>
      <c r="L24" s="184">
        <v>1057</v>
      </c>
      <c r="M24" s="185">
        <f t="shared" si="0"/>
        <v>-2.7598896044158217E-2</v>
      </c>
      <c r="N24" s="185">
        <f t="shared" si="1"/>
        <v>0.25088757396449712</v>
      </c>
      <c r="O24" s="185">
        <f t="shared" si="2"/>
        <v>-4.6028880866425981E-2</v>
      </c>
    </row>
    <row r="25" spans="1:15" x14ac:dyDescent="0.2">
      <c r="A25" s="4" t="s">
        <v>126</v>
      </c>
      <c r="B25" s="121">
        <v>773</v>
      </c>
      <c r="C25" s="121">
        <v>693</v>
      </c>
      <c r="D25" s="121">
        <v>580</v>
      </c>
      <c r="E25" s="121">
        <v>614</v>
      </c>
      <c r="F25" s="121">
        <v>516</v>
      </c>
      <c r="G25" s="121">
        <v>584</v>
      </c>
      <c r="H25" s="121">
        <v>608</v>
      </c>
      <c r="I25" s="121">
        <v>482</v>
      </c>
      <c r="J25" s="121">
        <v>445</v>
      </c>
      <c r="K25" s="121">
        <v>484</v>
      </c>
      <c r="L25" s="121">
        <v>631</v>
      </c>
      <c r="M25" s="177">
        <f t="shared" si="0"/>
        <v>-0.18369987063389392</v>
      </c>
      <c r="N25" s="177">
        <f t="shared" si="1"/>
        <v>8.0479452054794454E-2</v>
      </c>
      <c r="O25" s="177">
        <f t="shared" si="2"/>
        <v>0.30371900826446274</v>
      </c>
    </row>
    <row r="26" spans="1:15" x14ac:dyDescent="0.2">
      <c r="A26" s="4" t="s">
        <v>127</v>
      </c>
      <c r="B26" s="121">
        <v>5234</v>
      </c>
      <c r="C26" s="121">
        <v>4761</v>
      </c>
      <c r="D26" s="121">
        <v>3661</v>
      </c>
      <c r="E26" s="121">
        <v>3002</v>
      </c>
      <c r="F26" s="121">
        <v>2583</v>
      </c>
      <c r="G26" s="121">
        <v>2736</v>
      </c>
      <c r="H26" s="121">
        <v>2364</v>
      </c>
      <c r="I26" s="121">
        <v>2065</v>
      </c>
      <c r="J26" s="121">
        <v>2856</v>
      </c>
      <c r="K26" s="121">
        <v>4454</v>
      </c>
      <c r="L26" s="121">
        <v>4246</v>
      </c>
      <c r="M26" s="177">
        <f t="shared" si="0"/>
        <v>-0.18876576232327091</v>
      </c>
      <c r="N26" s="177">
        <f t="shared" si="1"/>
        <v>0.55190058479532156</v>
      </c>
      <c r="O26" s="177">
        <f t="shared" si="2"/>
        <v>-4.6699595868881949E-2</v>
      </c>
    </row>
    <row r="27" spans="1:15" x14ac:dyDescent="0.2">
      <c r="A27" s="4" t="s">
        <v>128</v>
      </c>
      <c r="B27" s="121">
        <v>2894</v>
      </c>
      <c r="C27" s="121">
        <v>2363</v>
      </c>
      <c r="D27" s="121">
        <v>3835</v>
      </c>
      <c r="E27" s="121">
        <v>3268</v>
      </c>
      <c r="F27" s="121">
        <v>2977</v>
      </c>
      <c r="G27" s="121">
        <v>2939</v>
      </c>
      <c r="H27" s="121">
        <v>1342</v>
      </c>
      <c r="I27" s="121">
        <v>1273</v>
      </c>
      <c r="J27" s="121">
        <v>1639</v>
      </c>
      <c r="K27" s="121">
        <v>799</v>
      </c>
      <c r="L27" s="121">
        <v>1142</v>
      </c>
      <c r="M27" s="177">
        <f t="shared" si="0"/>
        <v>-0.60539046302695232</v>
      </c>
      <c r="N27" s="177">
        <f t="shared" si="1"/>
        <v>-0.61143246002041507</v>
      </c>
      <c r="O27" s="177">
        <f t="shared" si="2"/>
        <v>0.4292866082603255</v>
      </c>
    </row>
    <row r="28" spans="1:15" x14ac:dyDescent="0.2">
      <c r="A28" s="270" t="s">
        <v>129</v>
      </c>
      <c r="B28" s="264">
        <v>3940</v>
      </c>
      <c r="C28" s="264">
        <v>3552</v>
      </c>
      <c r="D28" s="264">
        <v>2389</v>
      </c>
      <c r="E28" s="264">
        <v>2054</v>
      </c>
      <c r="F28" s="264">
        <v>1888</v>
      </c>
      <c r="G28" s="264">
        <v>1796</v>
      </c>
      <c r="H28" s="264">
        <v>1569</v>
      </c>
      <c r="I28" s="264">
        <v>1224</v>
      </c>
      <c r="J28" s="264">
        <v>1049</v>
      </c>
      <c r="K28" s="264">
        <v>1205</v>
      </c>
      <c r="L28" s="264">
        <v>1318</v>
      </c>
      <c r="M28" s="272">
        <f t="shared" si="0"/>
        <v>-0.6654822335025381</v>
      </c>
      <c r="N28" s="272">
        <f t="shared" si="1"/>
        <v>-0.26614699331848557</v>
      </c>
      <c r="O28" s="272">
        <f t="shared" si="2"/>
        <v>9.3775933609958617E-2</v>
      </c>
    </row>
    <row r="29" spans="1:15" x14ac:dyDescent="0.2">
      <c r="A29" s="271" t="s">
        <v>130</v>
      </c>
      <c r="B29" s="267">
        <v>13928</v>
      </c>
      <c r="C29" s="267">
        <v>12445</v>
      </c>
      <c r="D29" s="267">
        <v>11621</v>
      </c>
      <c r="E29" s="267">
        <v>9851</v>
      </c>
      <c r="F29" s="267">
        <v>8846</v>
      </c>
      <c r="G29" s="267">
        <v>8900</v>
      </c>
      <c r="H29" s="267">
        <v>6669</v>
      </c>
      <c r="I29" s="267">
        <v>5693</v>
      </c>
      <c r="J29" s="267">
        <v>6828</v>
      </c>
      <c r="K29" s="267">
        <v>8050</v>
      </c>
      <c r="L29" s="267">
        <v>8394</v>
      </c>
      <c r="M29" s="273">
        <f t="shared" si="0"/>
        <v>-0.39732912119471564</v>
      </c>
      <c r="N29" s="273">
        <f t="shared" si="1"/>
        <v>-5.6853932584269629E-2</v>
      </c>
      <c r="O29" s="273">
        <f t="shared" si="2"/>
        <v>4.2732919254658386E-2</v>
      </c>
    </row>
    <row r="30" spans="1:15" x14ac:dyDescent="0.2">
      <c r="A30" s="151" t="s">
        <v>131</v>
      </c>
      <c r="B30" s="184">
        <v>5055</v>
      </c>
      <c r="C30" s="184">
        <v>3453</v>
      </c>
      <c r="D30" s="184">
        <v>2416</v>
      </c>
      <c r="E30" s="184">
        <v>1624</v>
      </c>
      <c r="F30" s="184">
        <v>1806</v>
      </c>
      <c r="G30" s="184">
        <v>1740</v>
      </c>
      <c r="H30" s="184">
        <v>1884</v>
      </c>
      <c r="I30" s="184">
        <v>1468</v>
      </c>
      <c r="J30" s="184">
        <v>1500</v>
      </c>
      <c r="K30" s="184">
        <v>1606</v>
      </c>
      <c r="L30" s="184">
        <v>1534</v>
      </c>
      <c r="M30" s="185">
        <f t="shared" si="0"/>
        <v>-0.69653808110781412</v>
      </c>
      <c r="N30" s="185">
        <f t="shared" si="1"/>
        <v>-0.11839080459770113</v>
      </c>
      <c r="O30" s="185">
        <f t="shared" si="2"/>
        <v>-4.4831880448318762E-2</v>
      </c>
    </row>
    <row r="31" spans="1:15" x14ac:dyDescent="0.2">
      <c r="A31" s="4" t="s">
        <v>132</v>
      </c>
      <c r="B31" s="121">
        <v>4086</v>
      </c>
      <c r="C31" s="121">
        <v>2820</v>
      </c>
      <c r="D31" s="121">
        <v>2538</v>
      </c>
      <c r="E31" s="121">
        <v>2669</v>
      </c>
      <c r="F31" s="121">
        <v>2439</v>
      </c>
      <c r="G31" s="121">
        <v>2260</v>
      </c>
      <c r="H31" s="121">
        <v>1792</v>
      </c>
      <c r="I31" s="121">
        <v>1513</v>
      </c>
      <c r="J31" s="121">
        <v>1374</v>
      </c>
      <c r="K31" s="121">
        <v>1568</v>
      </c>
      <c r="L31" s="121">
        <v>1577</v>
      </c>
      <c r="M31" s="177">
        <f t="shared" si="0"/>
        <v>-0.61404796867351941</v>
      </c>
      <c r="N31" s="177">
        <f t="shared" si="1"/>
        <v>-0.30221238938053097</v>
      </c>
      <c r="O31" s="177">
        <f t="shared" si="2"/>
        <v>5.7397959183673741E-3</v>
      </c>
    </row>
    <row r="32" spans="1:15" x14ac:dyDescent="0.2">
      <c r="A32" s="4" t="s">
        <v>133</v>
      </c>
      <c r="B32" s="121">
        <v>1300</v>
      </c>
      <c r="C32" s="121">
        <v>1475</v>
      </c>
      <c r="D32" s="121">
        <v>1047</v>
      </c>
      <c r="E32" s="121">
        <v>816</v>
      </c>
      <c r="F32" s="121">
        <v>705</v>
      </c>
      <c r="G32" s="121">
        <v>673</v>
      </c>
      <c r="H32" s="121">
        <v>713</v>
      </c>
      <c r="I32" s="121">
        <v>738</v>
      </c>
      <c r="J32" s="121">
        <v>612</v>
      </c>
      <c r="K32" s="121">
        <v>786</v>
      </c>
      <c r="L32" s="121">
        <v>913</v>
      </c>
      <c r="M32" s="177">
        <f t="shared" si="0"/>
        <v>-0.2976923076923077</v>
      </c>
      <c r="N32" s="177">
        <f t="shared" si="1"/>
        <v>0.35661218424962859</v>
      </c>
      <c r="O32" s="177">
        <f t="shared" si="2"/>
        <v>0.16157760814249356</v>
      </c>
    </row>
    <row r="33" spans="1:15" x14ac:dyDescent="0.2">
      <c r="A33" s="4" t="s">
        <v>134</v>
      </c>
      <c r="B33" s="121">
        <v>3724</v>
      </c>
      <c r="C33" s="121">
        <v>2634</v>
      </c>
      <c r="D33" s="121">
        <v>2164</v>
      </c>
      <c r="E33" s="121">
        <v>1803</v>
      </c>
      <c r="F33" s="121">
        <v>1675</v>
      </c>
      <c r="G33" s="121">
        <v>1591</v>
      </c>
      <c r="H33" s="121">
        <v>1857</v>
      </c>
      <c r="I33" s="121">
        <v>1629</v>
      </c>
      <c r="J33" s="121">
        <v>2208</v>
      </c>
      <c r="K33" s="121">
        <v>1678</v>
      </c>
      <c r="L33" s="121">
        <v>1865</v>
      </c>
      <c r="M33" s="177">
        <f t="shared" si="0"/>
        <v>-0.49919441460794844</v>
      </c>
      <c r="N33" s="177">
        <f t="shared" si="1"/>
        <v>0.17221873035826518</v>
      </c>
      <c r="O33" s="177">
        <f t="shared" si="2"/>
        <v>0.11144219308700842</v>
      </c>
    </row>
    <row r="34" spans="1:15" x14ac:dyDescent="0.2">
      <c r="A34" s="270" t="s">
        <v>135</v>
      </c>
      <c r="B34" s="264">
        <v>3930</v>
      </c>
      <c r="C34" s="264">
        <v>3475</v>
      </c>
      <c r="D34" s="264">
        <v>3135</v>
      </c>
      <c r="E34" s="264">
        <v>2962</v>
      </c>
      <c r="F34" s="264">
        <v>3155</v>
      </c>
      <c r="G34" s="264">
        <v>3327</v>
      </c>
      <c r="H34" s="264">
        <v>3308</v>
      </c>
      <c r="I34" s="264">
        <v>2793</v>
      </c>
      <c r="J34" s="264">
        <v>2805</v>
      </c>
      <c r="K34" s="264">
        <v>3505</v>
      </c>
      <c r="L34" s="264">
        <v>3766</v>
      </c>
      <c r="M34" s="272">
        <f t="shared" si="0"/>
        <v>-4.1730279898218869E-2</v>
      </c>
      <c r="N34" s="272">
        <f t="shared" si="1"/>
        <v>0.13195070634204997</v>
      </c>
      <c r="O34" s="272">
        <f t="shared" si="2"/>
        <v>7.4465049928673421E-2</v>
      </c>
    </row>
    <row r="35" spans="1:15" x14ac:dyDescent="0.2">
      <c r="A35" s="271" t="s">
        <v>136</v>
      </c>
      <c r="B35" s="267">
        <v>18095</v>
      </c>
      <c r="C35" s="267">
        <v>13857</v>
      </c>
      <c r="D35" s="267">
        <v>11300</v>
      </c>
      <c r="E35" s="267">
        <v>9874</v>
      </c>
      <c r="F35" s="267">
        <v>9780</v>
      </c>
      <c r="G35" s="267">
        <v>9591</v>
      </c>
      <c r="H35" s="267">
        <v>9554</v>
      </c>
      <c r="I35" s="267">
        <v>8141</v>
      </c>
      <c r="J35" s="267">
        <v>8499</v>
      </c>
      <c r="K35" s="267">
        <v>9143</v>
      </c>
      <c r="L35" s="267">
        <v>9655</v>
      </c>
      <c r="M35" s="273">
        <f t="shared" si="0"/>
        <v>-0.46642718983144515</v>
      </c>
      <c r="N35" s="273">
        <f t="shared" si="1"/>
        <v>6.6729225315400598E-3</v>
      </c>
      <c r="O35" s="273">
        <f t="shared" si="2"/>
        <v>5.5999125013671769E-2</v>
      </c>
    </row>
    <row r="36" spans="1:15" x14ac:dyDescent="0.2">
      <c r="A36" s="151" t="s">
        <v>184</v>
      </c>
      <c r="B36" s="184">
        <v>2651</v>
      </c>
      <c r="C36" s="184">
        <v>2636</v>
      </c>
      <c r="D36" s="184">
        <v>2241</v>
      </c>
      <c r="E36" s="184">
        <v>1331</v>
      </c>
      <c r="F36" s="184">
        <v>1279</v>
      </c>
      <c r="G36" s="184">
        <v>1205</v>
      </c>
      <c r="H36" s="184">
        <v>1226</v>
      </c>
      <c r="I36" s="184">
        <v>889</v>
      </c>
      <c r="J36" s="184">
        <v>901</v>
      </c>
      <c r="K36" s="184">
        <v>859</v>
      </c>
      <c r="L36" s="184">
        <v>1113</v>
      </c>
      <c r="M36" s="185">
        <f t="shared" ref="M36:M56" si="3">L36/B36-1</f>
        <v>-0.5801584307808374</v>
      </c>
      <c r="N36" s="185">
        <f t="shared" ref="N36:N56" si="4">L36/G36-1</f>
        <v>-7.6348547717842274E-2</v>
      </c>
      <c r="O36" s="185">
        <f t="shared" ref="O36:O56" si="5">L36/K36-1</f>
        <v>0.29569266589057053</v>
      </c>
    </row>
    <row r="37" spans="1:15" x14ac:dyDescent="0.2">
      <c r="A37" s="4" t="s">
        <v>185</v>
      </c>
      <c r="B37" s="121">
        <v>1175</v>
      </c>
      <c r="C37" s="121">
        <v>1183</v>
      </c>
      <c r="D37" s="121">
        <v>1025</v>
      </c>
      <c r="E37" s="121">
        <v>744</v>
      </c>
      <c r="F37" s="121">
        <v>795</v>
      </c>
      <c r="G37" s="121">
        <v>788</v>
      </c>
      <c r="H37" s="121">
        <v>900</v>
      </c>
      <c r="I37" s="121">
        <v>916</v>
      </c>
      <c r="J37" s="121">
        <v>906</v>
      </c>
      <c r="K37" s="121">
        <v>955</v>
      </c>
      <c r="L37" s="121">
        <v>1014</v>
      </c>
      <c r="M37" s="177">
        <f t="shared" si="3"/>
        <v>-0.1370212765957447</v>
      </c>
      <c r="N37" s="177">
        <f t="shared" si="4"/>
        <v>0.28680203045685282</v>
      </c>
      <c r="O37" s="177">
        <f t="shared" si="5"/>
        <v>6.1780104712041872E-2</v>
      </c>
    </row>
    <row r="38" spans="1:15" x14ac:dyDescent="0.2">
      <c r="A38" s="4" t="s">
        <v>139</v>
      </c>
      <c r="B38" s="121">
        <v>667</v>
      </c>
      <c r="C38" s="121">
        <v>640</v>
      </c>
      <c r="D38" s="121">
        <v>598</v>
      </c>
      <c r="E38" s="121">
        <v>319</v>
      </c>
      <c r="F38" s="121">
        <v>393</v>
      </c>
      <c r="G38" s="121">
        <v>420</v>
      </c>
      <c r="H38" s="121">
        <v>412</v>
      </c>
      <c r="I38" s="121">
        <v>335</v>
      </c>
      <c r="J38" s="121">
        <v>396</v>
      </c>
      <c r="K38" s="121">
        <v>368</v>
      </c>
      <c r="L38" s="121">
        <v>315</v>
      </c>
      <c r="M38" s="177">
        <f t="shared" si="3"/>
        <v>-0.52773613193403301</v>
      </c>
      <c r="N38" s="177">
        <f t="shared" si="4"/>
        <v>-0.25</v>
      </c>
      <c r="O38" s="177">
        <f t="shared" si="5"/>
        <v>-0.14402173913043481</v>
      </c>
    </row>
    <row r="39" spans="1:15" x14ac:dyDescent="0.2">
      <c r="A39" s="4" t="s">
        <v>140</v>
      </c>
      <c r="B39" s="121">
        <v>599</v>
      </c>
      <c r="C39" s="121">
        <v>485</v>
      </c>
      <c r="D39" s="121">
        <v>533</v>
      </c>
      <c r="E39" s="121">
        <v>621</v>
      </c>
      <c r="F39" s="121">
        <v>564</v>
      </c>
      <c r="G39" s="121">
        <v>444</v>
      </c>
      <c r="H39" s="121">
        <v>508</v>
      </c>
      <c r="I39" s="121">
        <v>470</v>
      </c>
      <c r="J39" s="121">
        <v>367</v>
      </c>
      <c r="K39" s="121">
        <v>479</v>
      </c>
      <c r="L39" s="121">
        <v>499</v>
      </c>
      <c r="M39" s="177">
        <f t="shared" si="3"/>
        <v>-0.1669449081803005</v>
      </c>
      <c r="N39" s="177">
        <f t="shared" si="4"/>
        <v>0.12387387387387383</v>
      </c>
      <c r="O39" s="177">
        <f t="shared" si="5"/>
        <v>4.175365344467652E-2</v>
      </c>
    </row>
    <row r="40" spans="1:15" x14ac:dyDescent="0.2">
      <c r="A40" s="270" t="s">
        <v>141</v>
      </c>
      <c r="B40" s="264">
        <v>652</v>
      </c>
      <c r="C40" s="264">
        <v>542</v>
      </c>
      <c r="D40" s="264">
        <v>763</v>
      </c>
      <c r="E40" s="264">
        <v>685</v>
      </c>
      <c r="F40" s="264">
        <v>493</v>
      </c>
      <c r="G40" s="264">
        <v>802</v>
      </c>
      <c r="H40" s="264">
        <v>638</v>
      </c>
      <c r="I40" s="264">
        <v>506</v>
      </c>
      <c r="J40" s="264">
        <v>523</v>
      </c>
      <c r="K40" s="264">
        <v>658</v>
      </c>
      <c r="L40" s="264">
        <v>592</v>
      </c>
      <c r="M40" s="272">
        <f t="shared" si="3"/>
        <v>-9.2024539877300637E-2</v>
      </c>
      <c r="N40" s="272">
        <f t="shared" si="4"/>
        <v>-0.26184538653366585</v>
      </c>
      <c r="O40" s="272">
        <f t="shared" si="5"/>
        <v>-0.10030395136778114</v>
      </c>
    </row>
    <row r="41" spans="1:15" x14ac:dyDescent="0.2">
      <c r="A41" s="271" t="s">
        <v>142</v>
      </c>
      <c r="B41" s="267">
        <v>5744</v>
      </c>
      <c r="C41" s="267">
        <v>5486</v>
      </c>
      <c r="D41" s="267">
        <v>5160</v>
      </c>
      <c r="E41" s="267">
        <v>3700</v>
      </c>
      <c r="F41" s="267">
        <v>3524</v>
      </c>
      <c r="G41" s="267">
        <v>3659</v>
      </c>
      <c r="H41" s="267">
        <v>3684</v>
      </c>
      <c r="I41" s="267">
        <v>3116</v>
      </c>
      <c r="J41" s="267">
        <v>3093</v>
      </c>
      <c r="K41" s="267">
        <v>3319</v>
      </c>
      <c r="L41" s="267">
        <v>3533</v>
      </c>
      <c r="M41" s="273">
        <f t="shared" si="3"/>
        <v>-0.38492339832869082</v>
      </c>
      <c r="N41" s="273">
        <f t="shared" si="4"/>
        <v>-3.4435638152500725E-2</v>
      </c>
      <c r="O41" s="273">
        <f t="shared" si="5"/>
        <v>6.4477252184392819E-2</v>
      </c>
    </row>
    <row r="42" spans="1:15" x14ac:dyDescent="0.2">
      <c r="A42" s="151" t="s">
        <v>143</v>
      </c>
      <c r="B42" s="184">
        <v>837</v>
      </c>
      <c r="C42" s="184">
        <v>564</v>
      </c>
      <c r="D42" s="184">
        <v>478</v>
      </c>
      <c r="E42" s="184">
        <v>325</v>
      </c>
      <c r="F42" s="184">
        <v>248</v>
      </c>
      <c r="G42" s="184">
        <v>367</v>
      </c>
      <c r="H42" s="184">
        <v>325</v>
      </c>
      <c r="I42" s="184">
        <v>242</v>
      </c>
      <c r="J42" s="184">
        <v>216</v>
      </c>
      <c r="K42" s="184">
        <v>310</v>
      </c>
      <c r="L42" s="184">
        <v>369</v>
      </c>
      <c r="M42" s="185">
        <f t="shared" si="3"/>
        <v>-0.55913978494623651</v>
      </c>
      <c r="N42" s="185">
        <f t="shared" si="4"/>
        <v>5.4495912806540314E-3</v>
      </c>
      <c r="O42" s="185">
        <f t="shared" si="5"/>
        <v>0.19032258064516139</v>
      </c>
    </row>
    <row r="43" spans="1:15" x14ac:dyDescent="0.2">
      <c r="A43" s="4" t="s">
        <v>144</v>
      </c>
      <c r="B43" s="121">
        <v>1304</v>
      </c>
      <c r="C43" s="121">
        <v>932</v>
      </c>
      <c r="D43" s="121">
        <v>667</v>
      </c>
      <c r="E43" s="121">
        <v>525</v>
      </c>
      <c r="F43" s="121">
        <v>521</v>
      </c>
      <c r="G43" s="121">
        <v>479</v>
      </c>
      <c r="H43" s="121">
        <v>409</v>
      </c>
      <c r="I43" s="121">
        <v>516</v>
      </c>
      <c r="J43" s="121">
        <v>404</v>
      </c>
      <c r="K43" s="121">
        <v>449</v>
      </c>
      <c r="L43" s="121">
        <v>485</v>
      </c>
      <c r="M43" s="177">
        <f t="shared" si="3"/>
        <v>-0.62806748466257667</v>
      </c>
      <c r="N43" s="177">
        <f t="shared" si="4"/>
        <v>1.2526096033402823E-2</v>
      </c>
      <c r="O43" s="177">
        <f t="shared" si="5"/>
        <v>8.01781737193763E-2</v>
      </c>
    </row>
    <row r="44" spans="1:15" x14ac:dyDescent="0.2">
      <c r="A44" s="4" t="s">
        <v>145</v>
      </c>
      <c r="B44" s="121">
        <v>1626</v>
      </c>
      <c r="C44" s="121">
        <v>1326</v>
      </c>
      <c r="D44" s="121">
        <v>1448</v>
      </c>
      <c r="E44" s="121">
        <v>1113</v>
      </c>
      <c r="F44" s="121">
        <v>776</v>
      </c>
      <c r="G44" s="121">
        <v>608</v>
      </c>
      <c r="H44" s="121">
        <v>912</v>
      </c>
      <c r="I44" s="121">
        <v>697</v>
      </c>
      <c r="J44" s="121">
        <v>560</v>
      </c>
      <c r="K44" s="121">
        <v>545</v>
      </c>
      <c r="L44" s="121">
        <v>597</v>
      </c>
      <c r="M44" s="177">
        <f t="shared" si="3"/>
        <v>-0.63284132841328411</v>
      </c>
      <c r="N44" s="177">
        <f t="shared" si="4"/>
        <v>-1.8092105263157854E-2</v>
      </c>
      <c r="O44" s="177">
        <f t="shared" si="5"/>
        <v>9.5412844036697253E-2</v>
      </c>
    </row>
    <row r="45" spans="1:15" x14ac:dyDescent="0.2">
      <c r="A45" s="270" t="s">
        <v>146</v>
      </c>
      <c r="B45" s="264">
        <v>2911</v>
      </c>
      <c r="C45" s="264">
        <v>2487</v>
      </c>
      <c r="D45" s="264">
        <v>2530</v>
      </c>
      <c r="E45" s="264">
        <v>2122</v>
      </c>
      <c r="F45" s="264">
        <v>1458</v>
      </c>
      <c r="G45" s="264">
        <v>1625</v>
      </c>
      <c r="H45" s="264">
        <v>1527</v>
      </c>
      <c r="I45" s="264">
        <v>1157</v>
      </c>
      <c r="J45" s="264">
        <v>1072</v>
      </c>
      <c r="K45" s="264">
        <v>1184</v>
      </c>
      <c r="L45" s="264">
        <v>1315</v>
      </c>
      <c r="M45" s="272">
        <f t="shared" si="3"/>
        <v>-0.5482652009618687</v>
      </c>
      <c r="N45" s="272">
        <f t="shared" si="4"/>
        <v>-0.1907692307692308</v>
      </c>
      <c r="O45" s="272">
        <f t="shared" si="5"/>
        <v>0.11064189189189189</v>
      </c>
    </row>
    <row r="46" spans="1:15" x14ac:dyDescent="0.2">
      <c r="A46" s="271" t="s">
        <v>99</v>
      </c>
      <c r="B46" s="267">
        <v>6678</v>
      </c>
      <c r="C46" s="267">
        <v>5309</v>
      </c>
      <c r="D46" s="267">
        <v>5123</v>
      </c>
      <c r="E46" s="267">
        <v>4085</v>
      </c>
      <c r="F46" s="267">
        <v>3003</v>
      </c>
      <c r="G46" s="267">
        <v>3079</v>
      </c>
      <c r="H46" s="267">
        <v>3173</v>
      </c>
      <c r="I46" s="267">
        <v>2612</v>
      </c>
      <c r="J46" s="267">
        <v>2252</v>
      </c>
      <c r="K46" s="267">
        <v>2488</v>
      </c>
      <c r="L46" s="267">
        <v>2766</v>
      </c>
      <c r="M46" s="273">
        <f t="shared" si="3"/>
        <v>-0.58580413297394429</v>
      </c>
      <c r="N46" s="273">
        <f t="shared" si="4"/>
        <v>-0.10165638194218907</v>
      </c>
      <c r="O46" s="273">
        <f t="shared" si="5"/>
        <v>0.11173633440514474</v>
      </c>
    </row>
    <row r="47" spans="1:15" x14ac:dyDescent="0.2">
      <c r="A47" s="151" t="s">
        <v>147</v>
      </c>
      <c r="B47" s="184">
        <v>1413</v>
      </c>
      <c r="C47" s="184">
        <v>1220</v>
      </c>
      <c r="D47" s="184">
        <v>1273</v>
      </c>
      <c r="E47" s="184">
        <v>1137</v>
      </c>
      <c r="F47" s="184">
        <v>945</v>
      </c>
      <c r="G47" s="184">
        <v>1008</v>
      </c>
      <c r="H47" s="184">
        <v>867</v>
      </c>
      <c r="I47" s="184">
        <v>373</v>
      </c>
      <c r="J47" s="184">
        <v>458</v>
      </c>
      <c r="K47" s="184">
        <v>534</v>
      </c>
      <c r="L47" s="184">
        <v>719</v>
      </c>
      <c r="M47" s="185">
        <f t="shared" si="3"/>
        <v>-0.49115357395612169</v>
      </c>
      <c r="N47" s="185">
        <f t="shared" si="4"/>
        <v>-0.28670634920634919</v>
      </c>
      <c r="O47" s="185">
        <f t="shared" si="5"/>
        <v>0.34644194756554314</v>
      </c>
    </row>
    <row r="48" spans="1:15" x14ac:dyDescent="0.2">
      <c r="A48" s="4" t="s">
        <v>148</v>
      </c>
      <c r="B48" s="121">
        <v>462</v>
      </c>
      <c r="C48" s="121">
        <v>461</v>
      </c>
      <c r="D48" s="121">
        <v>386</v>
      </c>
      <c r="E48" s="121">
        <v>456</v>
      </c>
      <c r="F48" s="121">
        <v>415</v>
      </c>
      <c r="G48" s="121">
        <v>380</v>
      </c>
      <c r="H48" s="121">
        <v>379</v>
      </c>
      <c r="I48" s="121">
        <v>424</v>
      </c>
      <c r="J48" s="121">
        <v>396</v>
      </c>
      <c r="K48" s="121">
        <v>375</v>
      </c>
      <c r="L48" s="121">
        <v>302</v>
      </c>
      <c r="M48" s="177">
        <f t="shared" si="3"/>
        <v>-0.34632034632034636</v>
      </c>
      <c r="N48" s="177">
        <f t="shared" si="4"/>
        <v>-0.20526315789473681</v>
      </c>
      <c r="O48" s="177">
        <f t="shared" si="5"/>
        <v>-0.19466666666666665</v>
      </c>
    </row>
    <row r="49" spans="1:15" x14ac:dyDescent="0.2">
      <c r="A49" s="4" t="s">
        <v>149</v>
      </c>
      <c r="B49" s="121">
        <v>1329</v>
      </c>
      <c r="C49" s="121">
        <v>1159</v>
      </c>
      <c r="D49" s="121">
        <v>1101</v>
      </c>
      <c r="E49" s="121">
        <v>1002</v>
      </c>
      <c r="F49" s="121">
        <v>713</v>
      </c>
      <c r="G49" s="121">
        <v>733</v>
      </c>
      <c r="H49" s="121">
        <v>817</v>
      </c>
      <c r="I49" s="121">
        <v>589</v>
      </c>
      <c r="J49" s="121">
        <v>704</v>
      </c>
      <c r="K49" s="121">
        <v>787</v>
      </c>
      <c r="L49" s="121">
        <v>846</v>
      </c>
      <c r="M49" s="177">
        <f t="shared" si="3"/>
        <v>-0.36343115124153502</v>
      </c>
      <c r="N49" s="177">
        <f t="shared" si="4"/>
        <v>0.15416098226466568</v>
      </c>
      <c r="O49" s="177">
        <f t="shared" si="5"/>
        <v>7.4968233799237671E-2</v>
      </c>
    </row>
    <row r="50" spans="1:15" x14ac:dyDescent="0.2">
      <c r="A50" s="270" t="s">
        <v>100</v>
      </c>
      <c r="B50" s="264">
        <v>3281</v>
      </c>
      <c r="C50" s="264">
        <v>2947</v>
      </c>
      <c r="D50" s="264">
        <v>2974</v>
      </c>
      <c r="E50" s="264">
        <v>2698</v>
      </c>
      <c r="F50" s="264">
        <v>3928</v>
      </c>
      <c r="G50" s="264">
        <v>3220</v>
      </c>
      <c r="H50" s="264">
        <v>3099</v>
      </c>
      <c r="I50" s="264">
        <v>2061</v>
      </c>
      <c r="J50" s="264">
        <v>3486</v>
      </c>
      <c r="K50" s="264">
        <v>3150</v>
      </c>
      <c r="L50" s="264">
        <v>3894</v>
      </c>
      <c r="M50" s="272">
        <f t="shared" si="3"/>
        <v>0.18683328253581233</v>
      </c>
      <c r="N50" s="272">
        <f t="shared" si="4"/>
        <v>0.20931677018633543</v>
      </c>
      <c r="O50" s="272">
        <f t="shared" si="5"/>
        <v>0.23619047619047628</v>
      </c>
    </row>
    <row r="51" spans="1:15" x14ac:dyDescent="0.2">
      <c r="A51" s="271" t="s">
        <v>150</v>
      </c>
      <c r="B51" s="267">
        <v>6485</v>
      </c>
      <c r="C51" s="267">
        <v>5787</v>
      </c>
      <c r="D51" s="267">
        <v>5734</v>
      </c>
      <c r="E51" s="267">
        <v>5293</v>
      </c>
      <c r="F51" s="267">
        <v>6001</v>
      </c>
      <c r="G51" s="267">
        <v>5341</v>
      </c>
      <c r="H51" s="267">
        <v>5162</v>
      </c>
      <c r="I51" s="267">
        <v>3447</v>
      </c>
      <c r="J51" s="267">
        <v>5044</v>
      </c>
      <c r="K51" s="267">
        <v>4846</v>
      </c>
      <c r="L51" s="267">
        <v>5761</v>
      </c>
      <c r="M51" s="273">
        <f t="shared" si="3"/>
        <v>-0.11164225134926753</v>
      </c>
      <c r="N51" s="273">
        <f t="shared" si="4"/>
        <v>7.8636959370904425E-2</v>
      </c>
      <c r="O51" s="273">
        <f t="shared" si="5"/>
        <v>0.18881551795295093</v>
      </c>
    </row>
    <row r="52" spans="1:15" x14ac:dyDescent="0.2">
      <c r="A52" s="4" t="s">
        <v>151</v>
      </c>
      <c r="B52" s="121">
        <v>1682</v>
      </c>
      <c r="C52" s="121">
        <v>1138</v>
      </c>
      <c r="D52" s="121">
        <v>896</v>
      </c>
      <c r="E52" s="121">
        <v>1060</v>
      </c>
      <c r="F52" s="121">
        <v>906</v>
      </c>
      <c r="G52" s="121">
        <v>1788</v>
      </c>
      <c r="H52" s="121">
        <v>1927</v>
      </c>
      <c r="I52" s="121">
        <v>1511</v>
      </c>
      <c r="J52" s="121">
        <v>1871</v>
      </c>
      <c r="K52" s="121">
        <v>1279</v>
      </c>
      <c r="L52" s="121">
        <v>1278</v>
      </c>
      <c r="M52" s="177">
        <f t="shared" si="3"/>
        <v>-0.24019024970273484</v>
      </c>
      <c r="N52" s="177">
        <f t="shared" si="4"/>
        <v>-0.28523489932885904</v>
      </c>
      <c r="O52" s="177">
        <f t="shared" si="5"/>
        <v>-7.8186082877251817E-4</v>
      </c>
    </row>
    <row r="53" spans="1:15" x14ac:dyDescent="0.2">
      <c r="A53" s="4" t="s">
        <v>152</v>
      </c>
      <c r="B53" s="121">
        <v>1433</v>
      </c>
      <c r="C53" s="121">
        <v>1366</v>
      </c>
      <c r="D53" s="121">
        <v>1368</v>
      </c>
      <c r="E53" s="121">
        <v>1211</v>
      </c>
      <c r="F53" s="121">
        <v>1054</v>
      </c>
      <c r="G53" s="121">
        <v>961</v>
      </c>
      <c r="H53" s="121">
        <v>970</v>
      </c>
      <c r="I53" s="121">
        <v>819</v>
      </c>
      <c r="J53" s="121">
        <v>747</v>
      </c>
      <c r="K53" s="121">
        <v>690</v>
      </c>
      <c r="L53" s="121">
        <v>754</v>
      </c>
      <c r="M53" s="177">
        <f t="shared" si="3"/>
        <v>-0.473831123517097</v>
      </c>
      <c r="N53" s="177">
        <f t="shared" si="4"/>
        <v>-0.21540062434963581</v>
      </c>
      <c r="O53" s="177">
        <f t="shared" si="5"/>
        <v>9.2753623188405854E-2</v>
      </c>
    </row>
    <row r="54" spans="1:15" x14ac:dyDescent="0.2">
      <c r="A54" s="4" t="s">
        <v>153</v>
      </c>
      <c r="B54" s="121">
        <v>2062</v>
      </c>
      <c r="C54" s="121">
        <v>1790</v>
      </c>
      <c r="D54" s="121">
        <v>1403</v>
      </c>
      <c r="E54" s="121">
        <v>1118</v>
      </c>
      <c r="F54" s="121">
        <v>1055</v>
      </c>
      <c r="G54" s="121">
        <v>1143</v>
      </c>
      <c r="H54" s="121">
        <v>1305</v>
      </c>
      <c r="I54" s="121">
        <v>1113</v>
      </c>
      <c r="J54" s="121">
        <v>1140</v>
      </c>
      <c r="K54" s="121">
        <v>1220</v>
      </c>
      <c r="L54" s="121">
        <v>1091</v>
      </c>
      <c r="M54" s="177">
        <f t="shared" si="3"/>
        <v>-0.47090203685741994</v>
      </c>
      <c r="N54" s="177">
        <f t="shared" si="4"/>
        <v>-4.5494313210848625E-2</v>
      </c>
      <c r="O54" s="177">
        <f t="shared" si="5"/>
        <v>-0.1057377049180328</v>
      </c>
    </row>
    <row r="55" spans="1:15" x14ac:dyDescent="0.2">
      <c r="A55" s="270" t="s">
        <v>154</v>
      </c>
      <c r="B55" s="264">
        <v>4519</v>
      </c>
      <c r="C55" s="264">
        <v>4260</v>
      </c>
      <c r="D55" s="264">
        <v>3917</v>
      </c>
      <c r="E55" s="264">
        <v>3704</v>
      </c>
      <c r="F55" s="264">
        <v>3424</v>
      </c>
      <c r="G55" s="264">
        <v>3184</v>
      </c>
      <c r="H55" s="264">
        <v>3152</v>
      </c>
      <c r="I55" s="264">
        <v>2770</v>
      </c>
      <c r="J55" s="264">
        <v>2881</v>
      </c>
      <c r="K55" s="264">
        <v>3363</v>
      </c>
      <c r="L55" s="264">
        <v>3484</v>
      </c>
      <c r="M55" s="272">
        <f t="shared" si="3"/>
        <v>-0.22903297189643723</v>
      </c>
      <c r="N55" s="272">
        <f t="shared" si="4"/>
        <v>9.4221105527638294E-2</v>
      </c>
      <c r="O55" s="272">
        <f t="shared" si="5"/>
        <v>3.5979779958370539E-2</v>
      </c>
    </row>
    <row r="56" spans="1:15" x14ac:dyDescent="0.2">
      <c r="A56" s="271" t="s">
        <v>155</v>
      </c>
      <c r="B56" s="267">
        <v>9696</v>
      </c>
      <c r="C56" s="267">
        <v>8554</v>
      </c>
      <c r="D56" s="267">
        <v>7584</v>
      </c>
      <c r="E56" s="267">
        <v>7093</v>
      </c>
      <c r="F56" s="267">
        <v>6439</v>
      </c>
      <c r="G56" s="267">
        <v>7076</v>
      </c>
      <c r="H56" s="267">
        <v>7354</v>
      </c>
      <c r="I56" s="267">
        <v>6213</v>
      </c>
      <c r="J56" s="267">
        <v>6639</v>
      </c>
      <c r="K56" s="267">
        <v>6552</v>
      </c>
      <c r="L56" s="267">
        <v>6607</v>
      </c>
      <c r="M56" s="273">
        <f t="shared" si="3"/>
        <v>-0.31858498349834985</v>
      </c>
      <c r="N56" s="273">
        <f t="shared" si="4"/>
        <v>-6.6280384397964909E-2</v>
      </c>
      <c r="O56" s="273">
        <f t="shared" si="5"/>
        <v>8.3943833943833646E-3</v>
      </c>
    </row>
    <row r="57" spans="1:15" x14ac:dyDescent="0.2">
      <c r="A57" s="179" t="s">
        <v>102</v>
      </c>
      <c r="B57" s="175">
        <v>108919</v>
      </c>
      <c r="C57" s="175">
        <v>94077</v>
      </c>
      <c r="D57" s="175">
        <v>85872</v>
      </c>
      <c r="E57" s="175">
        <v>73043</v>
      </c>
      <c r="F57" s="175">
        <v>66460</v>
      </c>
      <c r="G57" s="175">
        <v>62706</v>
      </c>
      <c r="H57" s="175">
        <v>62443</v>
      </c>
      <c r="I57" s="175">
        <v>50505</v>
      </c>
      <c r="J57" s="175">
        <v>53818</v>
      </c>
      <c r="K57" s="175">
        <v>58844</v>
      </c>
      <c r="L57" s="175">
        <v>58899</v>
      </c>
      <c r="M57" s="178">
        <f t="shared" ref="M57" si="6">L57/B57-1</f>
        <v>-0.45924035292281418</v>
      </c>
      <c r="N57" s="178">
        <f t="shared" ref="N57" si="7">L57/G57-1</f>
        <v>-6.0711893598698663E-2</v>
      </c>
      <c r="O57" s="178">
        <f t="shared" ref="O57" si="8">L57/K57-1</f>
        <v>9.3467473319286398E-4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21"/>
  <sheetViews>
    <sheetView workbookViewId="0">
      <selection activeCell="L14" sqref="L14"/>
    </sheetView>
  </sheetViews>
  <sheetFormatPr defaultColWidth="9.33203125" defaultRowHeight="15" x14ac:dyDescent="0.2"/>
  <cols>
    <col min="1" max="1" width="23.33203125" style="10" customWidth="1"/>
    <col min="2" max="10" width="6.6640625" style="10" customWidth="1"/>
    <col min="11" max="12" width="11.6640625" style="10" customWidth="1"/>
    <col min="13" max="16384" width="9.33203125" style="10"/>
  </cols>
  <sheetData>
    <row r="1" spans="1:12" ht="15.75" x14ac:dyDescent="0.2">
      <c r="A1" s="29" t="s">
        <v>278</v>
      </c>
    </row>
    <row r="2" spans="1:12" x14ac:dyDescent="0.2">
      <c r="A2" s="10" t="s">
        <v>56</v>
      </c>
    </row>
    <row r="3" spans="1:12" ht="51" x14ac:dyDescent="0.2">
      <c r="A3" s="37" t="s">
        <v>186</v>
      </c>
      <c r="B3" s="197" t="s">
        <v>162</v>
      </c>
      <c r="C3" s="197" t="s">
        <v>163</v>
      </c>
      <c r="D3" s="34" t="s">
        <v>164</v>
      </c>
      <c r="E3" s="34" t="s">
        <v>165</v>
      </c>
      <c r="F3" s="34" t="s">
        <v>166</v>
      </c>
      <c r="G3" s="34" t="s">
        <v>167</v>
      </c>
      <c r="H3" s="34" t="s">
        <v>168</v>
      </c>
      <c r="I3" s="34" t="s">
        <v>169</v>
      </c>
      <c r="J3" s="34" t="s">
        <v>248</v>
      </c>
      <c r="K3" s="19" t="s">
        <v>261</v>
      </c>
      <c r="L3" s="19" t="s">
        <v>259</v>
      </c>
    </row>
    <row r="4" spans="1:12" x14ac:dyDescent="0.2">
      <c r="A4" s="38" t="s">
        <v>187</v>
      </c>
      <c r="B4" s="198">
        <v>10612</v>
      </c>
      <c r="C4" s="198">
        <v>8508</v>
      </c>
      <c r="D4" s="35">
        <v>7624</v>
      </c>
      <c r="E4" s="35">
        <v>7132</v>
      </c>
      <c r="F4" s="35">
        <v>6394</v>
      </c>
      <c r="G4" s="35">
        <v>5149</v>
      </c>
      <c r="H4" s="35">
        <v>5221</v>
      </c>
      <c r="I4" s="35">
        <v>5342</v>
      </c>
      <c r="J4" s="35">
        <v>5479</v>
      </c>
      <c r="K4" s="36">
        <f t="shared" ref="K4:K14" si="0">J4/E4-1</f>
        <v>-0.23177229388670784</v>
      </c>
      <c r="L4" s="36">
        <f t="shared" ref="L4:L14" si="1">J4/I4-1</f>
        <v>2.5645825533508138E-2</v>
      </c>
    </row>
    <row r="5" spans="1:12" x14ac:dyDescent="0.2">
      <c r="A5" s="38" t="s">
        <v>188</v>
      </c>
      <c r="B5" s="198">
        <v>7513</v>
      </c>
      <c r="C5" s="198">
        <v>6841</v>
      </c>
      <c r="D5" s="35">
        <v>6522</v>
      </c>
      <c r="E5" s="35">
        <v>6659</v>
      </c>
      <c r="F5" s="35">
        <v>7297</v>
      </c>
      <c r="G5" s="35">
        <v>6132</v>
      </c>
      <c r="H5" s="35">
        <v>4845</v>
      </c>
      <c r="I5" s="35">
        <v>5244</v>
      </c>
      <c r="J5" s="35">
        <v>4403</v>
      </c>
      <c r="K5" s="36">
        <f t="shared" si="0"/>
        <v>-0.33878960804925662</v>
      </c>
      <c r="L5" s="36">
        <f t="shared" si="1"/>
        <v>-0.16037376048817698</v>
      </c>
    </row>
    <row r="6" spans="1:12" x14ac:dyDescent="0.2">
      <c r="A6" s="38" t="s">
        <v>189</v>
      </c>
      <c r="B6" s="198">
        <v>496</v>
      </c>
      <c r="C6" s="198">
        <v>405</v>
      </c>
      <c r="D6" s="35">
        <v>320</v>
      </c>
      <c r="E6" s="35">
        <v>281</v>
      </c>
      <c r="F6" s="35">
        <v>274</v>
      </c>
      <c r="G6" s="35">
        <v>211</v>
      </c>
      <c r="H6" s="35">
        <v>168</v>
      </c>
      <c r="I6" s="35">
        <v>165</v>
      </c>
      <c r="J6" s="35">
        <v>124</v>
      </c>
      <c r="K6" s="36">
        <f t="shared" si="0"/>
        <v>-0.55871886120996439</v>
      </c>
      <c r="L6" s="36">
        <f t="shared" si="1"/>
        <v>-0.24848484848484853</v>
      </c>
    </row>
    <row r="7" spans="1:12" x14ac:dyDescent="0.2">
      <c r="A7" s="38" t="s">
        <v>190</v>
      </c>
      <c r="B7" s="198">
        <v>6411</v>
      </c>
      <c r="C7" s="198">
        <v>3496</v>
      </c>
      <c r="D7" s="35">
        <v>2946</v>
      </c>
      <c r="E7" s="35">
        <v>2747</v>
      </c>
      <c r="F7" s="35">
        <v>2514</v>
      </c>
      <c r="G7" s="35">
        <v>2170</v>
      </c>
      <c r="H7" s="35">
        <v>1883</v>
      </c>
      <c r="I7" s="35">
        <v>2377</v>
      </c>
      <c r="J7" s="35">
        <v>2343</v>
      </c>
      <c r="K7" s="36">
        <f t="shared" si="0"/>
        <v>-0.14706953039679649</v>
      </c>
      <c r="L7" s="36">
        <f t="shared" si="1"/>
        <v>-1.4303744215397596E-2</v>
      </c>
    </row>
    <row r="8" spans="1:12" x14ac:dyDescent="0.2">
      <c r="A8" s="38" t="s">
        <v>191</v>
      </c>
      <c r="B8" s="198">
        <v>3054</v>
      </c>
      <c r="C8" s="198">
        <v>3068</v>
      </c>
      <c r="D8" s="35">
        <v>3705</v>
      </c>
      <c r="E8" s="35">
        <v>3923</v>
      </c>
      <c r="F8" s="35">
        <v>3988</v>
      </c>
      <c r="G8" s="35">
        <v>3464</v>
      </c>
      <c r="H8" s="35">
        <v>3986</v>
      </c>
      <c r="I8" s="35">
        <v>4237</v>
      </c>
      <c r="J8" s="35">
        <v>3950</v>
      </c>
      <c r="K8" s="36">
        <f t="shared" si="0"/>
        <v>6.8824878919193644E-3</v>
      </c>
      <c r="L8" s="36">
        <f t="shared" si="1"/>
        <v>-6.7736606089214058E-2</v>
      </c>
    </row>
    <row r="9" spans="1:12" x14ac:dyDescent="0.2">
      <c r="A9" s="38" t="s">
        <v>192</v>
      </c>
      <c r="B9" s="198">
        <v>6066</v>
      </c>
      <c r="C9" s="198">
        <v>5007</v>
      </c>
      <c r="D9" s="35">
        <v>4815</v>
      </c>
      <c r="E9" s="35">
        <v>4654</v>
      </c>
      <c r="F9" s="35">
        <v>4347</v>
      </c>
      <c r="G9" s="35">
        <v>3895</v>
      </c>
      <c r="H9" s="35">
        <v>4244</v>
      </c>
      <c r="I9" s="35">
        <v>4128</v>
      </c>
      <c r="J9" s="35">
        <v>3882</v>
      </c>
      <c r="K9" s="36">
        <f t="shared" si="0"/>
        <v>-0.16587881392350667</v>
      </c>
      <c r="L9" s="36">
        <f t="shared" si="1"/>
        <v>-5.9593023255813948E-2</v>
      </c>
    </row>
    <row r="10" spans="1:12" x14ac:dyDescent="0.2">
      <c r="A10" s="38" t="s">
        <v>193</v>
      </c>
      <c r="B10" s="198">
        <v>4273</v>
      </c>
      <c r="C10" s="198">
        <v>4501</v>
      </c>
      <c r="D10" s="35">
        <v>4741</v>
      </c>
      <c r="E10" s="35">
        <v>5158</v>
      </c>
      <c r="F10" s="35">
        <v>6621</v>
      </c>
      <c r="G10" s="35">
        <v>4685</v>
      </c>
      <c r="H10" s="35">
        <v>4566</v>
      </c>
      <c r="I10" s="35">
        <v>6096</v>
      </c>
      <c r="J10" s="35">
        <v>6297</v>
      </c>
      <c r="K10" s="36">
        <f t="shared" si="0"/>
        <v>0.2208220240403258</v>
      </c>
      <c r="L10" s="36">
        <f t="shared" si="1"/>
        <v>3.2972440944881942E-2</v>
      </c>
    </row>
    <row r="11" spans="1:12" x14ac:dyDescent="0.2">
      <c r="A11" s="38" t="s">
        <v>194</v>
      </c>
      <c r="B11" s="198">
        <v>3633</v>
      </c>
      <c r="C11" s="198">
        <v>2813</v>
      </c>
      <c r="D11" s="35">
        <v>2454</v>
      </c>
      <c r="E11" s="35">
        <v>2129</v>
      </c>
      <c r="F11" s="35">
        <v>2187</v>
      </c>
      <c r="G11" s="35">
        <v>1787</v>
      </c>
      <c r="H11" s="35">
        <v>2971</v>
      </c>
      <c r="I11" s="35">
        <v>2882</v>
      </c>
      <c r="J11" s="35">
        <v>3201</v>
      </c>
      <c r="K11" s="36">
        <f t="shared" si="0"/>
        <v>0.50352278064819167</v>
      </c>
      <c r="L11" s="36">
        <f t="shared" si="1"/>
        <v>0.11068702290076327</v>
      </c>
    </row>
    <row r="12" spans="1:12" x14ac:dyDescent="0.2">
      <c r="A12" s="38" t="s">
        <v>195</v>
      </c>
      <c r="B12" s="198">
        <v>21969</v>
      </c>
      <c r="C12" s="198">
        <v>18926</v>
      </c>
      <c r="D12" s="35">
        <v>15650</v>
      </c>
      <c r="E12" s="35">
        <v>13197</v>
      </c>
      <c r="F12" s="35">
        <v>12247</v>
      </c>
      <c r="G12" s="35">
        <v>8073</v>
      </c>
      <c r="H12" s="35">
        <v>8415</v>
      </c>
      <c r="I12" s="35">
        <v>10347</v>
      </c>
      <c r="J12" s="35">
        <v>10435</v>
      </c>
      <c r="K12" s="36">
        <f t="shared" si="0"/>
        <v>-0.20928999014927641</v>
      </c>
      <c r="L12" s="36">
        <f t="shared" si="1"/>
        <v>8.5048806417318268E-3</v>
      </c>
    </row>
    <row r="13" spans="1:12" x14ac:dyDescent="0.2">
      <c r="A13" s="238" t="s">
        <v>196</v>
      </c>
      <c r="B13" s="294">
        <v>21845</v>
      </c>
      <c r="C13" s="294">
        <v>19478</v>
      </c>
      <c r="D13" s="248">
        <v>17683</v>
      </c>
      <c r="E13" s="248">
        <v>16826</v>
      </c>
      <c r="F13" s="248">
        <v>16574</v>
      </c>
      <c r="G13" s="248">
        <v>14939</v>
      </c>
      <c r="H13" s="248">
        <v>17519</v>
      </c>
      <c r="I13" s="248">
        <v>18026</v>
      </c>
      <c r="J13" s="248">
        <v>18785</v>
      </c>
      <c r="K13" s="254">
        <f t="shared" si="0"/>
        <v>0.11642695827885419</v>
      </c>
      <c r="L13" s="254">
        <f t="shared" si="1"/>
        <v>4.2105847109730421E-2</v>
      </c>
    </row>
    <row r="14" spans="1:12" x14ac:dyDescent="0.2">
      <c r="A14" s="295" t="s">
        <v>74</v>
      </c>
      <c r="B14" s="296">
        <f t="shared" ref="B14:I14" si="2">SUM(B4:B13)</f>
        <v>85872</v>
      </c>
      <c r="C14" s="296">
        <f t="shared" si="2"/>
        <v>73043</v>
      </c>
      <c r="D14" s="253">
        <f t="shared" si="2"/>
        <v>66460</v>
      </c>
      <c r="E14" s="253">
        <f t="shared" si="2"/>
        <v>62706</v>
      </c>
      <c r="F14" s="253">
        <f t="shared" si="2"/>
        <v>62443</v>
      </c>
      <c r="G14" s="253">
        <f t="shared" si="2"/>
        <v>50505</v>
      </c>
      <c r="H14" s="253">
        <f t="shared" si="2"/>
        <v>53818</v>
      </c>
      <c r="I14" s="253">
        <f t="shared" si="2"/>
        <v>58844</v>
      </c>
      <c r="J14" s="253">
        <v>58899</v>
      </c>
      <c r="K14" s="256">
        <f t="shared" si="0"/>
        <v>-6.0711893598698663E-2</v>
      </c>
      <c r="L14" s="256">
        <f t="shared" si="1"/>
        <v>9.3467473319286398E-4</v>
      </c>
    </row>
    <row r="21" spans="11:11" x14ac:dyDescent="0.2">
      <c r="K21" s="340"/>
    </row>
  </sheetData>
  <phoneticPr fontId="2" type="noConversion"/>
  <pageMargins left="0.7" right="0.7" top="0.75" bottom="0.75" header="0.3" footer="0.3"/>
  <pageSetup paperSize="9"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43BD4-627D-485B-9FA5-91EA8DD36517}">
  <dimension ref="A1:G25"/>
  <sheetViews>
    <sheetView workbookViewId="0"/>
  </sheetViews>
  <sheetFormatPr defaultColWidth="8.6640625" defaultRowHeight="15" x14ac:dyDescent="0.2"/>
  <cols>
    <col min="1" max="1" width="12.33203125" customWidth="1"/>
    <col min="2" max="2" width="32.33203125" customWidth="1"/>
  </cols>
  <sheetData>
    <row r="1" spans="1:7" ht="15.75" x14ac:dyDescent="0.2">
      <c r="A1" s="29" t="s">
        <v>279</v>
      </c>
      <c r="B1" s="29"/>
      <c r="C1" s="24"/>
      <c r="D1" s="24"/>
      <c r="E1" s="24"/>
      <c r="F1" s="24"/>
      <c r="G1" s="24"/>
    </row>
    <row r="2" spans="1:7" x14ac:dyDescent="0.2">
      <c r="A2" s="39" t="s">
        <v>56</v>
      </c>
      <c r="B2" s="39"/>
      <c r="C2" s="24"/>
      <c r="D2" s="24"/>
      <c r="E2" s="24"/>
      <c r="F2" s="24"/>
      <c r="G2" s="24"/>
    </row>
    <row r="3" spans="1:7" ht="25.5" x14ac:dyDescent="0.2">
      <c r="A3" s="172" t="s">
        <v>57</v>
      </c>
      <c r="B3" s="33" t="s">
        <v>186</v>
      </c>
      <c r="C3" s="79" t="s">
        <v>171</v>
      </c>
      <c r="D3" s="80" t="s">
        <v>172</v>
      </c>
      <c r="E3" s="80" t="s">
        <v>71</v>
      </c>
      <c r="F3" s="80" t="s">
        <v>173</v>
      </c>
      <c r="G3" s="79" t="s">
        <v>74</v>
      </c>
    </row>
    <row r="4" spans="1:7" x14ac:dyDescent="0.2">
      <c r="A4" s="32" t="s">
        <v>59</v>
      </c>
      <c r="B4" s="32" t="s">
        <v>187</v>
      </c>
      <c r="C4" s="78">
        <v>4048</v>
      </c>
      <c r="D4" s="78">
        <v>1403</v>
      </c>
      <c r="E4" s="78">
        <v>3</v>
      </c>
      <c r="F4" s="78">
        <v>25</v>
      </c>
      <c r="G4" s="78">
        <v>5479</v>
      </c>
    </row>
    <row r="5" spans="1:7" x14ac:dyDescent="0.2">
      <c r="A5" s="32" t="s">
        <v>59</v>
      </c>
      <c r="B5" s="32" t="s">
        <v>188</v>
      </c>
      <c r="C5" s="78">
        <v>4121</v>
      </c>
      <c r="D5" s="78">
        <v>262</v>
      </c>
      <c r="E5" s="78">
        <v>2</v>
      </c>
      <c r="F5" s="78">
        <v>18</v>
      </c>
      <c r="G5" s="78">
        <v>4403</v>
      </c>
    </row>
    <row r="6" spans="1:7" x14ac:dyDescent="0.2">
      <c r="A6" s="32" t="s">
        <v>59</v>
      </c>
      <c r="B6" s="32" t="s">
        <v>189</v>
      </c>
      <c r="C6" s="78">
        <v>105</v>
      </c>
      <c r="D6" s="78">
        <v>19</v>
      </c>
      <c r="E6" s="78">
        <v>0</v>
      </c>
      <c r="F6" s="78">
        <v>0</v>
      </c>
      <c r="G6" s="78">
        <v>124</v>
      </c>
    </row>
    <row r="7" spans="1:7" x14ac:dyDescent="0.2">
      <c r="A7" s="32" t="s">
        <v>59</v>
      </c>
      <c r="B7" s="32" t="s">
        <v>197</v>
      </c>
      <c r="C7" s="78">
        <v>2028</v>
      </c>
      <c r="D7" s="78">
        <v>290</v>
      </c>
      <c r="E7" s="78">
        <v>2</v>
      </c>
      <c r="F7" s="78">
        <v>23</v>
      </c>
      <c r="G7" s="78">
        <v>2343</v>
      </c>
    </row>
    <row r="8" spans="1:7" x14ac:dyDescent="0.2">
      <c r="A8" s="32" t="s">
        <v>59</v>
      </c>
      <c r="B8" s="32" t="s">
        <v>191</v>
      </c>
      <c r="C8" s="78">
        <v>3678</v>
      </c>
      <c r="D8" s="78">
        <v>251</v>
      </c>
      <c r="E8" s="78">
        <v>1</v>
      </c>
      <c r="F8" s="78">
        <v>20</v>
      </c>
      <c r="G8" s="78">
        <v>3950</v>
      </c>
    </row>
    <row r="9" spans="1:7" x14ac:dyDescent="0.2">
      <c r="A9" s="32" t="s">
        <v>59</v>
      </c>
      <c r="B9" s="32" t="s">
        <v>192</v>
      </c>
      <c r="C9" s="78">
        <v>3222</v>
      </c>
      <c r="D9" s="78">
        <v>647</v>
      </c>
      <c r="E9" s="78">
        <v>1</v>
      </c>
      <c r="F9" s="78">
        <v>12</v>
      </c>
      <c r="G9" s="78">
        <v>3882</v>
      </c>
    </row>
    <row r="10" spans="1:7" x14ac:dyDescent="0.2">
      <c r="A10" s="32" t="s">
        <v>59</v>
      </c>
      <c r="B10" s="32" t="s">
        <v>193</v>
      </c>
      <c r="C10" s="78">
        <v>5840</v>
      </c>
      <c r="D10" s="78">
        <v>418</v>
      </c>
      <c r="E10" s="78">
        <v>0</v>
      </c>
      <c r="F10" s="78">
        <v>39</v>
      </c>
      <c r="G10" s="78">
        <v>6297</v>
      </c>
    </row>
    <row r="11" spans="1:7" x14ac:dyDescent="0.2">
      <c r="A11" s="32" t="s">
        <v>59</v>
      </c>
      <c r="B11" s="32" t="s">
        <v>194</v>
      </c>
      <c r="C11" s="78">
        <v>3121</v>
      </c>
      <c r="D11" s="78">
        <v>63</v>
      </c>
      <c r="E11" s="78">
        <v>4</v>
      </c>
      <c r="F11" s="78">
        <v>13</v>
      </c>
      <c r="G11" s="78">
        <v>3201</v>
      </c>
    </row>
    <row r="12" spans="1:7" x14ac:dyDescent="0.2">
      <c r="A12" s="32" t="s">
        <v>59</v>
      </c>
      <c r="B12" s="32" t="s">
        <v>195</v>
      </c>
      <c r="C12" s="78">
        <v>9264</v>
      </c>
      <c r="D12" s="78">
        <v>1126</v>
      </c>
      <c r="E12" s="78">
        <v>0</v>
      </c>
      <c r="F12" s="78">
        <v>45</v>
      </c>
      <c r="G12" s="78">
        <v>10435</v>
      </c>
    </row>
    <row r="13" spans="1:7" x14ac:dyDescent="0.2">
      <c r="A13" s="263" t="s">
        <v>59</v>
      </c>
      <c r="B13" s="263" t="s">
        <v>196</v>
      </c>
      <c r="C13" s="297">
        <v>13278</v>
      </c>
      <c r="D13" s="297">
        <v>5387</v>
      </c>
      <c r="E13" s="297">
        <v>13</v>
      </c>
      <c r="F13" s="297">
        <v>107</v>
      </c>
      <c r="G13" s="297">
        <v>18785</v>
      </c>
    </row>
    <row r="14" spans="1:7" x14ac:dyDescent="0.2">
      <c r="A14" s="266" t="s">
        <v>74</v>
      </c>
      <c r="B14" s="266" t="s">
        <v>175</v>
      </c>
      <c r="C14" s="298">
        <v>48705</v>
      </c>
      <c r="D14" s="298">
        <v>9866</v>
      </c>
      <c r="E14" s="298">
        <v>26</v>
      </c>
      <c r="F14" s="298">
        <v>302</v>
      </c>
      <c r="G14" s="298">
        <v>58899</v>
      </c>
    </row>
    <row r="15" spans="1:7" x14ac:dyDescent="0.2">
      <c r="A15" s="32" t="s">
        <v>63</v>
      </c>
      <c r="B15" s="32" t="s">
        <v>187</v>
      </c>
      <c r="C15" s="81">
        <f>C4/C$14</f>
        <v>8.311261677445847E-2</v>
      </c>
      <c r="D15" s="81">
        <f t="shared" ref="D15:G15" si="0">D4/D$14</f>
        <v>0.14220555442935334</v>
      </c>
      <c r="E15" s="81">
        <f t="shared" si="0"/>
        <v>0.11538461538461539</v>
      </c>
      <c r="F15" s="81">
        <f t="shared" si="0"/>
        <v>8.2781456953642391E-2</v>
      </c>
      <c r="G15" s="81">
        <f t="shared" si="0"/>
        <v>9.3023650656208087E-2</v>
      </c>
    </row>
    <row r="16" spans="1:7" x14ac:dyDescent="0.2">
      <c r="A16" s="32" t="s">
        <v>63</v>
      </c>
      <c r="B16" s="32" t="s">
        <v>188</v>
      </c>
      <c r="C16" s="81">
        <f t="shared" ref="C16:G25" si="1">C5/C$14</f>
        <v>8.4611436197515655E-2</v>
      </c>
      <c r="D16" s="81">
        <f t="shared" si="1"/>
        <v>2.6555848368132982E-2</v>
      </c>
      <c r="E16" s="81">
        <f t="shared" si="1"/>
        <v>7.6923076923076927E-2</v>
      </c>
      <c r="F16" s="81">
        <f t="shared" si="1"/>
        <v>5.9602649006622516E-2</v>
      </c>
      <c r="G16" s="81">
        <f t="shared" si="1"/>
        <v>7.4755089220530063E-2</v>
      </c>
    </row>
    <row r="17" spans="1:7" x14ac:dyDescent="0.2">
      <c r="A17" s="32" t="s">
        <v>63</v>
      </c>
      <c r="B17" s="32" t="s">
        <v>189</v>
      </c>
      <c r="C17" s="81">
        <f t="shared" si="1"/>
        <v>2.1558361564521095E-3</v>
      </c>
      <c r="D17" s="81">
        <f t="shared" si="1"/>
        <v>1.9258057976890329E-3</v>
      </c>
      <c r="E17" s="81">
        <f t="shared" si="1"/>
        <v>0</v>
      </c>
      <c r="F17" s="81">
        <f t="shared" si="1"/>
        <v>0</v>
      </c>
      <c r="G17" s="81">
        <f t="shared" si="1"/>
        <v>2.1052989015093635E-3</v>
      </c>
    </row>
    <row r="18" spans="1:7" x14ac:dyDescent="0.2">
      <c r="A18" s="32" t="s">
        <v>63</v>
      </c>
      <c r="B18" s="32" t="s">
        <v>197</v>
      </c>
      <c r="C18" s="81">
        <f t="shared" si="1"/>
        <v>4.1638435478903606E-2</v>
      </c>
      <c r="D18" s="81">
        <f t="shared" si="1"/>
        <v>2.9393877964727345E-2</v>
      </c>
      <c r="E18" s="81">
        <f t="shared" si="1"/>
        <v>7.6923076923076927E-2</v>
      </c>
      <c r="F18" s="81">
        <f t="shared" si="1"/>
        <v>7.6158940397350994E-2</v>
      </c>
      <c r="G18" s="81">
        <f t="shared" si="1"/>
        <v>3.9779962308358376E-2</v>
      </c>
    </row>
    <row r="19" spans="1:7" x14ac:dyDescent="0.2">
      <c r="A19" s="32" t="s">
        <v>63</v>
      </c>
      <c r="B19" s="32" t="s">
        <v>191</v>
      </c>
      <c r="C19" s="81">
        <f t="shared" si="1"/>
        <v>7.5515860794579615E-2</v>
      </c>
      <c r="D19" s="81">
        <f t="shared" si="1"/>
        <v>2.5440908169470911E-2</v>
      </c>
      <c r="E19" s="81">
        <f t="shared" si="1"/>
        <v>3.8461538461538464E-2</v>
      </c>
      <c r="F19" s="81">
        <f t="shared" si="1"/>
        <v>6.6225165562913912E-2</v>
      </c>
      <c r="G19" s="81">
        <f t="shared" si="1"/>
        <v>6.7063956943241826E-2</v>
      </c>
    </row>
    <row r="20" spans="1:7" x14ac:dyDescent="0.2">
      <c r="A20" s="32" t="s">
        <v>63</v>
      </c>
      <c r="B20" s="32" t="s">
        <v>192</v>
      </c>
      <c r="C20" s="81">
        <f t="shared" si="1"/>
        <v>6.6153372343701874E-2</v>
      </c>
      <c r="D20" s="81">
        <f t="shared" si="1"/>
        <v>6.5578755321305499E-2</v>
      </c>
      <c r="E20" s="81">
        <f t="shared" si="1"/>
        <v>3.8461538461538464E-2</v>
      </c>
      <c r="F20" s="81">
        <f t="shared" si="1"/>
        <v>3.9735099337748346E-2</v>
      </c>
      <c r="G20" s="81">
        <f t="shared" si="1"/>
        <v>6.5909438190801209E-2</v>
      </c>
    </row>
    <row r="21" spans="1:7" x14ac:dyDescent="0.2">
      <c r="A21" s="32" t="s">
        <v>63</v>
      </c>
      <c r="B21" s="32" t="s">
        <v>193</v>
      </c>
      <c r="C21" s="81">
        <f t="shared" si="1"/>
        <v>0.11990555384457448</v>
      </c>
      <c r="D21" s="81">
        <f t="shared" si="1"/>
        <v>4.2367727549158726E-2</v>
      </c>
      <c r="E21" s="81">
        <f t="shared" si="1"/>
        <v>0</v>
      </c>
      <c r="F21" s="81">
        <f t="shared" si="1"/>
        <v>0.12913907284768211</v>
      </c>
      <c r="G21" s="81">
        <f t="shared" si="1"/>
        <v>0.10691183211939081</v>
      </c>
    </row>
    <row r="22" spans="1:7" x14ac:dyDescent="0.2">
      <c r="A22" s="32" t="s">
        <v>63</v>
      </c>
      <c r="B22" s="32" t="s">
        <v>194</v>
      </c>
      <c r="C22" s="81">
        <f t="shared" si="1"/>
        <v>6.4079663278924129E-2</v>
      </c>
      <c r="D22" s="81">
        <f t="shared" si="1"/>
        <v>6.3855665923373203E-3</v>
      </c>
      <c r="E22" s="81">
        <f t="shared" si="1"/>
        <v>0.15384615384615385</v>
      </c>
      <c r="F22" s="81">
        <f t="shared" si="1"/>
        <v>4.3046357615894038E-2</v>
      </c>
      <c r="G22" s="81">
        <f t="shared" si="1"/>
        <v>5.4347272449447356E-2</v>
      </c>
    </row>
    <row r="23" spans="1:7" x14ac:dyDescent="0.2">
      <c r="A23" s="32" t="s">
        <v>63</v>
      </c>
      <c r="B23" s="32" t="s">
        <v>195</v>
      </c>
      <c r="C23" s="81">
        <f t="shared" si="1"/>
        <v>0.19020634431783184</v>
      </c>
      <c r="D23" s="81">
        <f t="shared" si="1"/>
        <v>0.1141293330630448</v>
      </c>
      <c r="E23" s="81">
        <f t="shared" si="1"/>
        <v>0</v>
      </c>
      <c r="F23" s="81">
        <f t="shared" si="1"/>
        <v>0.1490066225165563</v>
      </c>
      <c r="G23" s="81">
        <f t="shared" si="1"/>
        <v>0.177167693848792</v>
      </c>
    </row>
    <row r="24" spans="1:7" x14ac:dyDescent="0.2">
      <c r="A24" s="263" t="s">
        <v>63</v>
      </c>
      <c r="B24" s="263" t="s">
        <v>196</v>
      </c>
      <c r="C24" s="299">
        <f t="shared" si="1"/>
        <v>0.27262088081305819</v>
      </c>
      <c r="D24" s="299">
        <f t="shared" si="1"/>
        <v>0.54601662274478002</v>
      </c>
      <c r="E24" s="299">
        <f t="shared" si="1"/>
        <v>0.5</v>
      </c>
      <c r="F24" s="299">
        <f t="shared" si="1"/>
        <v>0.35430463576158938</v>
      </c>
      <c r="G24" s="299">
        <f t="shared" si="1"/>
        <v>0.31893580536172089</v>
      </c>
    </row>
    <row r="25" spans="1:7" x14ac:dyDescent="0.2">
      <c r="A25" s="266" t="s">
        <v>74</v>
      </c>
      <c r="B25" s="266" t="s">
        <v>175</v>
      </c>
      <c r="C25" s="300">
        <f t="shared" si="1"/>
        <v>1</v>
      </c>
      <c r="D25" s="300">
        <f t="shared" si="1"/>
        <v>1</v>
      </c>
      <c r="E25" s="300">
        <f t="shared" si="1"/>
        <v>1</v>
      </c>
      <c r="F25" s="300">
        <f t="shared" si="1"/>
        <v>1</v>
      </c>
      <c r="G25" s="300">
        <f t="shared" si="1"/>
        <v>1</v>
      </c>
    </row>
  </sheetData>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EC299-4BA5-4B7B-AE04-E81EAB48DD21}">
  <dimension ref="A1:I26"/>
  <sheetViews>
    <sheetView workbookViewId="0"/>
  </sheetViews>
  <sheetFormatPr defaultColWidth="8.6640625" defaultRowHeight="15" x14ac:dyDescent="0.2"/>
  <cols>
    <col min="1" max="1" width="14.33203125" customWidth="1"/>
    <col min="2" max="2" width="32.33203125" customWidth="1"/>
  </cols>
  <sheetData>
    <row r="1" spans="1:9" ht="15.75" x14ac:dyDescent="0.2">
      <c r="A1" s="29" t="s">
        <v>299</v>
      </c>
      <c r="B1" s="29"/>
      <c r="C1" s="61"/>
      <c r="D1" s="61"/>
      <c r="E1" s="61"/>
      <c r="F1" s="61"/>
      <c r="G1" s="61"/>
      <c r="H1" s="61"/>
      <c r="I1" s="61"/>
    </row>
    <row r="2" spans="1:9" x14ac:dyDescent="0.2">
      <c r="A2" s="31" t="s">
        <v>56</v>
      </c>
      <c r="B2" s="31"/>
      <c r="C2" s="61"/>
      <c r="D2" s="61"/>
      <c r="E2" s="61"/>
      <c r="F2" s="61"/>
      <c r="G2" s="61"/>
      <c r="H2" s="61"/>
      <c r="I2" s="61"/>
    </row>
    <row r="3" spans="1:9" x14ac:dyDescent="0.2">
      <c r="A3" s="39" t="s">
        <v>198</v>
      </c>
      <c r="B3" s="31"/>
      <c r="C3" s="61"/>
      <c r="D3" s="61"/>
      <c r="E3" s="61"/>
      <c r="F3" s="61"/>
      <c r="G3" s="61"/>
      <c r="H3" s="61"/>
      <c r="I3" s="61"/>
    </row>
    <row r="4" spans="1:9" ht="40.5" customHeight="1" x14ac:dyDescent="0.2">
      <c r="A4" s="172" t="s">
        <v>57</v>
      </c>
      <c r="B4" s="33" t="s">
        <v>186</v>
      </c>
      <c r="C4" s="142" t="s">
        <v>44</v>
      </c>
      <c r="D4" s="142" t="s">
        <v>176</v>
      </c>
      <c r="E4" s="142" t="s">
        <v>177</v>
      </c>
      <c r="F4" s="142" t="s">
        <v>178</v>
      </c>
      <c r="G4" s="143" t="s">
        <v>43</v>
      </c>
      <c r="H4" s="142" t="s">
        <v>173</v>
      </c>
      <c r="I4" s="142" t="s">
        <v>74</v>
      </c>
    </row>
    <row r="5" spans="1:9" x14ac:dyDescent="0.2">
      <c r="A5" s="32" t="s">
        <v>59</v>
      </c>
      <c r="B5" s="32" t="s">
        <v>187</v>
      </c>
      <c r="C5" s="78">
        <v>4014</v>
      </c>
      <c r="D5" s="78">
        <v>266</v>
      </c>
      <c r="E5" s="78">
        <v>204</v>
      </c>
      <c r="F5" s="78">
        <v>234</v>
      </c>
      <c r="G5" s="144">
        <f t="shared" ref="G5:G15" si="0">SUM(D5:F5)</f>
        <v>704</v>
      </c>
      <c r="H5" s="78">
        <v>761</v>
      </c>
      <c r="I5" s="78">
        <f t="shared" ref="I5:I14" si="1">SUM(C5,G5:H5)</f>
        <v>5479</v>
      </c>
    </row>
    <row r="6" spans="1:9" x14ac:dyDescent="0.2">
      <c r="A6" s="32" t="s">
        <v>59</v>
      </c>
      <c r="B6" s="32" t="s">
        <v>188</v>
      </c>
      <c r="C6" s="78">
        <v>2310</v>
      </c>
      <c r="D6" s="78">
        <v>560</v>
      </c>
      <c r="E6" s="78">
        <v>343</v>
      </c>
      <c r="F6" s="78">
        <v>333</v>
      </c>
      <c r="G6" s="144">
        <f t="shared" si="0"/>
        <v>1236</v>
      </c>
      <c r="H6" s="78">
        <v>857</v>
      </c>
      <c r="I6" s="78">
        <f t="shared" si="1"/>
        <v>4403</v>
      </c>
    </row>
    <row r="7" spans="1:9" x14ac:dyDescent="0.2">
      <c r="A7" s="32" t="s">
        <v>59</v>
      </c>
      <c r="B7" s="32" t="s">
        <v>189</v>
      </c>
      <c r="C7" s="78">
        <v>73</v>
      </c>
      <c r="D7" s="78">
        <v>10</v>
      </c>
      <c r="E7" s="78">
        <v>15</v>
      </c>
      <c r="F7" s="78">
        <v>9</v>
      </c>
      <c r="G7" s="144">
        <f t="shared" si="0"/>
        <v>34</v>
      </c>
      <c r="H7" s="78">
        <v>17</v>
      </c>
      <c r="I7" s="78">
        <f t="shared" si="1"/>
        <v>124</v>
      </c>
    </row>
    <row r="8" spans="1:9" x14ac:dyDescent="0.2">
      <c r="A8" s="32" t="s">
        <v>59</v>
      </c>
      <c r="B8" s="32" t="s">
        <v>197</v>
      </c>
      <c r="C8" s="78">
        <v>1355</v>
      </c>
      <c r="D8" s="78">
        <v>188</v>
      </c>
      <c r="E8" s="78">
        <v>160</v>
      </c>
      <c r="F8" s="78">
        <v>118</v>
      </c>
      <c r="G8" s="144">
        <f t="shared" si="0"/>
        <v>466</v>
      </c>
      <c r="H8" s="78">
        <v>522</v>
      </c>
      <c r="I8" s="78">
        <f t="shared" si="1"/>
        <v>2343</v>
      </c>
    </row>
    <row r="9" spans="1:9" x14ac:dyDescent="0.2">
      <c r="A9" s="32" t="s">
        <v>59</v>
      </c>
      <c r="B9" s="32" t="s">
        <v>191</v>
      </c>
      <c r="C9" s="78">
        <v>2099</v>
      </c>
      <c r="D9" s="78">
        <v>453</v>
      </c>
      <c r="E9" s="78">
        <v>335</v>
      </c>
      <c r="F9" s="78">
        <v>249</v>
      </c>
      <c r="G9" s="144">
        <f t="shared" si="0"/>
        <v>1037</v>
      </c>
      <c r="H9" s="78">
        <v>814</v>
      </c>
      <c r="I9" s="78">
        <f t="shared" si="1"/>
        <v>3950</v>
      </c>
    </row>
    <row r="10" spans="1:9" x14ac:dyDescent="0.2">
      <c r="A10" s="32" t="s">
        <v>59</v>
      </c>
      <c r="B10" s="32" t="s">
        <v>192</v>
      </c>
      <c r="C10" s="78">
        <v>2515</v>
      </c>
      <c r="D10" s="78">
        <v>319</v>
      </c>
      <c r="E10" s="78">
        <v>281</v>
      </c>
      <c r="F10" s="78">
        <v>217</v>
      </c>
      <c r="G10" s="144">
        <f t="shared" si="0"/>
        <v>817</v>
      </c>
      <c r="H10" s="78">
        <v>550</v>
      </c>
      <c r="I10" s="78">
        <f t="shared" si="1"/>
        <v>3882</v>
      </c>
    </row>
    <row r="11" spans="1:9" x14ac:dyDescent="0.2">
      <c r="A11" s="32" t="s">
        <v>59</v>
      </c>
      <c r="B11" s="32" t="s">
        <v>193</v>
      </c>
      <c r="C11" s="78">
        <v>2491</v>
      </c>
      <c r="D11" s="78">
        <v>1174</v>
      </c>
      <c r="E11" s="78">
        <v>593</v>
      </c>
      <c r="F11" s="78">
        <v>570</v>
      </c>
      <c r="G11" s="144">
        <f t="shared" si="0"/>
        <v>2337</v>
      </c>
      <c r="H11" s="78">
        <v>1469</v>
      </c>
      <c r="I11" s="78">
        <f t="shared" si="1"/>
        <v>6297</v>
      </c>
    </row>
    <row r="12" spans="1:9" x14ac:dyDescent="0.2">
      <c r="A12" s="32" t="s">
        <v>59</v>
      </c>
      <c r="B12" s="32" t="s">
        <v>194</v>
      </c>
      <c r="C12" s="78">
        <v>2418</v>
      </c>
      <c r="D12" s="78">
        <v>158</v>
      </c>
      <c r="E12" s="78">
        <v>175</v>
      </c>
      <c r="F12" s="78">
        <v>114</v>
      </c>
      <c r="G12" s="144">
        <f t="shared" si="0"/>
        <v>447</v>
      </c>
      <c r="H12" s="78">
        <v>336</v>
      </c>
      <c r="I12" s="78">
        <f t="shared" si="1"/>
        <v>3201</v>
      </c>
    </row>
    <row r="13" spans="1:9" x14ac:dyDescent="0.2">
      <c r="A13" s="32" t="s">
        <v>59</v>
      </c>
      <c r="B13" s="32" t="s">
        <v>195</v>
      </c>
      <c r="C13" s="78">
        <v>7620</v>
      </c>
      <c r="D13" s="78">
        <v>495</v>
      </c>
      <c r="E13" s="78">
        <v>500</v>
      </c>
      <c r="F13" s="78">
        <v>472</v>
      </c>
      <c r="G13" s="144">
        <f t="shared" si="0"/>
        <v>1467</v>
      </c>
      <c r="H13" s="78">
        <v>1348</v>
      </c>
      <c r="I13" s="78">
        <f t="shared" si="1"/>
        <v>10435</v>
      </c>
    </row>
    <row r="14" spans="1:9" x14ac:dyDescent="0.2">
      <c r="A14" s="263" t="s">
        <v>59</v>
      </c>
      <c r="B14" s="263" t="s">
        <v>196</v>
      </c>
      <c r="C14" s="297">
        <v>12940</v>
      </c>
      <c r="D14" s="297">
        <v>1208</v>
      </c>
      <c r="E14" s="297">
        <v>1048</v>
      </c>
      <c r="F14" s="297">
        <v>1058</v>
      </c>
      <c r="G14" s="301">
        <f t="shared" si="0"/>
        <v>3314</v>
      </c>
      <c r="H14" s="297">
        <v>2531</v>
      </c>
      <c r="I14" s="297">
        <f t="shared" si="1"/>
        <v>18785</v>
      </c>
    </row>
    <row r="15" spans="1:9" x14ac:dyDescent="0.2">
      <c r="A15" s="266" t="s">
        <v>59</v>
      </c>
      <c r="B15" s="266" t="s">
        <v>74</v>
      </c>
      <c r="C15" s="298">
        <v>37835</v>
      </c>
      <c r="D15" s="298">
        <v>4831</v>
      </c>
      <c r="E15" s="298">
        <v>3654</v>
      </c>
      <c r="F15" s="298">
        <v>3374</v>
      </c>
      <c r="G15" s="302">
        <f t="shared" si="0"/>
        <v>11859</v>
      </c>
      <c r="H15" s="298">
        <v>9205</v>
      </c>
      <c r="I15" s="298">
        <f t="shared" ref="I15" si="2">SUM(I5:I14)</f>
        <v>58899</v>
      </c>
    </row>
    <row r="16" spans="1:9" x14ac:dyDescent="0.2">
      <c r="A16" s="32" t="s">
        <v>63</v>
      </c>
      <c r="B16" s="32" t="s">
        <v>187</v>
      </c>
      <c r="C16" s="81">
        <f>C5/C$15</f>
        <v>0.10609224263248315</v>
      </c>
      <c r="D16" s="81">
        <f t="shared" ref="D16:I16" si="3">D5/D$15</f>
        <v>5.5061063961912647E-2</v>
      </c>
      <c r="E16" s="81">
        <f t="shared" si="3"/>
        <v>5.5829228243021348E-2</v>
      </c>
      <c r="F16" s="81">
        <f t="shared" si="3"/>
        <v>6.9353882631890934E-2</v>
      </c>
      <c r="G16" s="145">
        <f t="shared" si="3"/>
        <v>5.9364195969306012E-2</v>
      </c>
      <c r="H16" s="81">
        <f t="shared" si="3"/>
        <v>8.2672460619228685E-2</v>
      </c>
      <c r="I16" s="81">
        <f t="shared" si="3"/>
        <v>9.3023650656208087E-2</v>
      </c>
    </row>
    <row r="17" spans="1:9" x14ac:dyDescent="0.2">
      <c r="A17" s="32" t="s">
        <v>63</v>
      </c>
      <c r="B17" s="32" t="s">
        <v>188</v>
      </c>
      <c r="C17" s="81">
        <f t="shared" ref="C17:I26" si="4">C6/C$15</f>
        <v>6.105457909343201E-2</v>
      </c>
      <c r="D17" s="81">
        <f t="shared" si="4"/>
        <v>0.11591802939350031</v>
      </c>
      <c r="E17" s="81">
        <f t="shared" si="4"/>
        <v>9.3869731800766285E-2</v>
      </c>
      <c r="F17" s="81">
        <f t="shared" si="4"/>
        <v>9.8695909899229398E-2</v>
      </c>
      <c r="G17" s="145">
        <f t="shared" si="4"/>
        <v>0.10422463951429294</v>
      </c>
      <c r="H17" s="81">
        <f t="shared" si="4"/>
        <v>9.3101575230852801E-2</v>
      </c>
      <c r="I17" s="81">
        <f t="shared" si="4"/>
        <v>7.4755089220530063E-2</v>
      </c>
    </row>
    <row r="18" spans="1:9" x14ac:dyDescent="0.2">
      <c r="A18" s="32" t="s">
        <v>63</v>
      </c>
      <c r="B18" s="32" t="s">
        <v>189</v>
      </c>
      <c r="C18" s="81">
        <f t="shared" si="4"/>
        <v>1.9294304215673318E-3</v>
      </c>
      <c r="D18" s="81">
        <f t="shared" si="4"/>
        <v>2.0699648105982197E-3</v>
      </c>
      <c r="E18" s="81">
        <f t="shared" si="4"/>
        <v>4.1050903119868639E-3</v>
      </c>
      <c r="F18" s="81">
        <f t="shared" si="4"/>
        <v>2.6674570243034974E-3</v>
      </c>
      <c r="G18" s="145">
        <f t="shared" si="4"/>
        <v>2.8670208280630743E-3</v>
      </c>
      <c r="H18" s="81">
        <f t="shared" si="4"/>
        <v>1.8468223791417708E-3</v>
      </c>
      <c r="I18" s="81">
        <f t="shared" si="4"/>
        <v>2.1052989015093635E-3</v>
      </c>
    </row>
    <row r="19" spans="1:9" x14ac:dyDescent="0.2">
      <c r="A19" s="32" t="s">
        <v>63</v>
      </c>
      <c r="B19" s="32" t="s">
        <v>197</v>
      </c>
      <c r="C19" s="81">
        <f t="shared" si="4"/>
        <v>3.581340029073609E-2</v>
      </c>
      <c r="D19" s="81">
        <f t="shared" si="4"/>
        <v>3.8915338439246536E-2</v>
      </c>
      <c r="E19" s="81">
        <f t="shared" si="4"/>
        <v>4.3787629994526546E-2</v>
      </c>
      <c r="F19" s="81">
        <f t="shared" si="4"/>
        <v>3.4973325429756966E-2</v>
      </c>
      <c r="G19" s="145">
        <f t="shared" si="4"/>
        <v>3.9295050172864492E-2</v>
      </c>
      <c r="H19" s="81">
        <f t="shared" si="4"/>
        <v>5.6708310700706137E-2</v>
      </c>
      <c r="I19" s="81">
        <f t="shared" si="4"/>
        <v>3.9779962308358376E-2</v>
      </c>
    </row>
    <row r="20" spans="1:9" x14ac:dyDescent="0.2">
      <c r="A20" s="32" t="s">
        <v>63</v>
      </c>
      <c r="B20" s="32" t="s">
        <v>191</v>
      </c>
      <c r="C20" s="81">
        <f t="shared" si="4"/>
        <v>5.5477732258490814E-2</v>
      </c>
      <c r="D20" s="81">
        <f t="shared" si="4"/>
        <v>9.3769405920099358E-2</v>
      </c>
      <c r="E20" s="81">
        <f t="shared" si="4"/>
        <v>9.1680350301039951E-2</v>
      </c>
      <c r="F20" s="81">
        <f t="shared" si="4"/>
        <v>7.3799644339063428E-2</v>
      </c>
      <c r="G20" s="145">
        <f t="shared" si="4"/>
        <v>8.7444135255923774E-2</v>
      </c>
      <c r="H20" s="81">
        <f t="shared" si="4"/>
        <v>8.8430200977729495E-2</v>
      </c>
      <c r="I20" s="81">
        <f t="shared" si="4"/>
        <v>6.7063956943241826E-2</v>
      </c>
    </row>
    <row r="21" spans="1:9" x14ac:dyDescent="0.2">
      <c r="A21" s="32" t="s">
        <v>63</v>
      </c>
      <c r="B21" s="32" t="s">
        <v>192</v>
      </c>
      <c r="C21" s="81">
        <f t="shared" si="4"/>
        <v>6.6472842606052601E-2</v>
      </c>
      <c r="D21" s="81">
        <f t="shared" si="4"/>
        <v>6.6031877458083213E-2</v>
      </c>
      <c r="E21" s="81">
        <f t="shared" si="4"/>
        <v>7.6902025177887245E-2</v>
      </c>
      <c r="F21" s="81">
        <f t="shared" si="4"/>
        <v>6.4315352697095429E-2</v>
      </c>
      <c r="G21" s="145">
        <f t="shared" si="4"/>
        <v>6.8892824015515636E-2</v>
      </c>
      <c r="H21" s="81">
        <f t="shared" si="4"/>
        <v>5.9750135795763173E-2</v>
      </c>
      <c r="I21" s="81">
        <f t="shared" si="4"/>
        <v>6.5909438190801209E-2</v>
      </c>
    </row>
    <row r="22" spans="1:9" x14ac:dyDescent="0.2">
      <c r="A22" s="32" t="s">
        <v>63</v>
      </c>
      <c r="B22" s="32" t="s">
        <v>193</v>
      </c>
      <c r="C22" s="81">
        <f t="shared" si="4"/>
        <v>6.5838509316770183E-2</v>
      </c>
      <c r="D22" s="81">
        <f t="shared" si="4"/>
        <v>0.24301386876423101</v>
      </c>
      <c r="E22" s="81">
        <f t="shared" si="4"/>
        <v>0.16228790366721402</v>
      </c>
      <c r="F22" s="81">
        <f t="shared" si="4"/>
        <v>0.16893894487255484</v>
      </c>
      <c r="G22" s="145">
        <f t="shared" si="4"/>
        <v>0.19706551985833545</v>
      </c>
      <c r="H22" s="81">
        <f t="shared" si="4"/>
        <v>0.15958718087995655</v>
      </c>
      <c r="I22" s="81">
        <f t="shared" si="4"/>
        <v>0.10691183211939081</v>
      </c>
    </row>
    <row r="23" spans="1:9" x14ac:dyDescent="0.2">
      <c r="A23" s="32" t="s">
        <v>63</v>
      </c>
      <c r="B23" s="32" t="s">
        <v>194</v>
      </c>
      <c r="C23" s="81">
        <f t="shared" si="4"/>
        <v>6.390907889520285E-2</v>
      </c>
      <c r="D23" s="81">
        <f t="shared" si="4"/>
        <v>3.2705444007451873E-2</v>
      </c>
      <c r="E23" s="81">
        <f t="shared" si="4"/>
        <v>4.7892720306513412E-2</v>
      </c>
      <c r="F23" s="81">
        <f t="shared" si="4"/>
        <v>3.3787788974510964E-2</v>
      </c>
      <c r="G23" s="145">
        <f t="shared" si="4"/>
        <v>3.7692891474829245E-2</v>
      </c>
      <c r="H23" s="81">
        <f t="shared" si="4"/>
        <v>3.6501901140684412E-2</v>
      </c>
      <c r="I23" s="81">
        <f t="shared" si="4"/>
        <v>5.4347272449447356E-2</v>
      </c>
    </row>
    <row r="24" spans="1:9" x14ac:dyDescent="0.2">
      <c r="A24" s="32" t="s">
        <v>63</v>
      </c>
      <c r="B24" s="32" t="s">
        <v>195</v>
      </c>
      <c r="C24" s="81">
        <f t="shared" si="4"/>
        <v>0.20140081934716533</v>
      </c>
      <c r="D24" s="81">
        <f t="shared" si="4"/>
        <v>0.10246325812461188</v>
      </c>
      <c r="E24" s="81">
        <f t="shared" si="4"/>
        <v>0.13683634373289547</v>
      </c>
      <c r="F24" s="81">
        <f t="shared" si="4"/>
        <v>0.13989330171902786</v>
      </c>
      <c r="G24" s="145">
        <f t="shared" si="4"/>
        <v>0.12370351631672148</v>
      </c>
      <c r="H24" s="81">
        <f t="shared" si="4"/>
        <v>0.14644215100488864</v>
      </c>
      <c r="I24" s="81">
        <f t="shared" si="4"/>
        <v>0.177167693848792</v>
      </c>
    </row>
    <row r="25" spans="1:9" x14ac:dyDescent="0.2">
      <c r="A25" s="263" t="s">
        <v>63</v>
      </c>
      <c r="B25" s="263" t="s">
        <v>196</v>
      </c>
      <c r="C25" s="299">
        <f t="shared" si="4"/>
        <v>0.34201136513809965</v>
      </c>
      <c r="D25" s="299">
        <f t="shared" si="4"/>
        <v>0.25005174912026495</v>
      </c>
      <c r="E25" s="299">
        <f t="shared" si="4"/>
        <v>0.28680897646414888</v>
      </c>
      <c r="F25" s="299">
        <f t="shared" si="4"/>
        <v>0.31357439241256668</v>
      </c>
      <c r="G25" s="303">
        <f t="shared" si="4"/>
        <v>0.27945020659414793</v>
      </c>
      <c r="H25" s="299">
        <f t="shared" si="4"/>
        <v>0.27495926127104836</v>
      </c>
      <c r="I25" s="299">
        <f t="shared" si="4"/>
        <v>0.31893580536172089</v>
      </c>
    </row>
    <row r="26" spans="1:9" x14ac:dyDescent="0.2">
      <c r="A26" s="266" t="s">
        <v>63</v>
      </c>
      <c r="B26" s="266" t="s">
        <v>74</v>
      </c>
      <c r="C26" s="300">
        <f t="shared" si="4"/>
        <v>1</v>
      </c>
      <c r="D26" s="300">
        <f t="shared" si="4"/>
        <v>1</v>
      </c>
      <c r="E26" s="300">
        <f t="shared" si="4"/>
        <v>1</v>
      </c>
      <c r="F26" s="300">
        <f t="shared" si="4"/>
        <v>1</v>
      </c>
      <c r="G26" s="304">
        <f t="shared" si="4"/>
        <v>1</v>
      </c>
      <c r="H26" s="305">
        <f t="shared" si="4"/>
        <v>1</v>
      </c>
      <c r="I26" s="300">
        <f t="shared" si="4"/>
        <v>1</v>
      </c>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29459D-5805-44DA-BF4D-C1CC07C2351B}">
  <dimension ref="A1:N59"/>
  <sheetViews>
    <sheetView workbookViewId="0">
      <pane xSplit="1" ySplit="4" topLeftCell="B5" activePane="bottomRight" state="frozen"/>
      <selection pane="topRight" activeCell="B1" sqref="B1"/>
      <selection pane="bottomLeft" activeCell="A5" sqref="A5"/>
      <selection pane="bottomRight"/>
    </sheetView>
  </sheetViews>
  <sheetFormatPr defaultColWidth="8.6640625" defaultRowHeight="15" x14ac:dyDescent="0.2"/>
  <cols>
    <col min="1" max="1" width="26.88671875" bestFit="1" customWidth="1"/>
    <col min="9" max="9" width="26.88671875" bestFit="1" customWidth="1"/>
  </cols>
  <sheetData>
    <row r="1" spans="1:14" ht="15.75" x14ac:dyDescent="0.2">
      <c r="A1" s="29" t="s">
        <v>300</v>
      </c>
      <c r="B1" s="82"/>
      <c r="C1" s="82"/>
      <c r="D1" s="82"/>
      <c r="E1" s="82"/>
      <c r="F1" s="82"/>
      <c r="G1" s="82"/>
      <c r="H1" s="82"/>
      <c r="I1" s="42"/>
      <c r="J1" s="42"/>
      <c r="K1" s="43"/>
      <c r="L1" s="43"/>
      <c r="M1" s="43"/>
      <c r="N1" s="43"/>
    </row>
    <row r="2" spans="1:14" x14ac:dyDescent="0.2">
      <c r="A2" s="31" t="s">
        <v>56</v>
      </c>
      <c r="B2" s="82"/>
      <c r="C2" s="82"/>
      <c r="D2" s="82"/>
      <c r="E2" s="82"/>
      <c r="F2" s="82"/>
      <c r="G2" s="82"/>
      <c r="H2" s="82"/>
      <c r="I2" s="42"/>
      <c r="J2" s="42"/>
      <c r="K2" s="43"/>
      <c r="L2" s="43"/>
      <c r="M2" s="43"/>
      <c r="N2" s="43"/>
    </row>
    <row r="3" spans="1:14" x14ac:dyDescent="0.2">
      <c r="A3" s="31" t="s">
        <v>199</v>
      </c>
      <c r="B3" s="82"/>
      <c r="C3" s="82"/>
      <c r="D3" s="82"/>
      <c r="E3" s="82"/>
      <c r="F3" s="82"/>
      <c r="G3" s="82"/>
      <c r="H3" s="82"/>
      <c r="I3" s="42"/>
      <c r="J3" s="42"/>
      <c r="K3" s="43"/>
      <c r="L3" s="43"/>
      <c r="M3" s="43"/>
      <c r="N3" s="43"/>
    </row>
    <row r="4" spans="1:14" ht="38.25" x14ac:dyDescent="0.2">
      <c r="A4" s="94" t="s">
        <v>104</v>
      </c>
      <c r="B4" s="95" t="s">
        <v>44</v>
      </c>
      <c r="C4" s="96" t="s">
        <v>176</v>
      </c>
      <c r="D4" s="96" t="s">
        <v>177</v>
      </c>
      <c r="E4" s="96" t="s">
        <v>178</v>
      </c>
      <c r="F4" s="97" t="s">
        <v>43</v>
      </c>
      <c r="G4" s="98" t="s">
        <v>173</v>
      </c>
      <c r="H4" s="96" t="s">
        <v>74</v>
      </c>
      <c r="I4" s="99" t="s">
        <v>266</v>
      </c>
      <c r="J4" s="95" t="s">
        <v>200</v>
      </c>
      <c r="K4" s="96" t="s">
        <v>201</v>
      </c>
      <c r="L4" s="96" t="s">
        <v>202</v>
      </c>
      <c r="M4" s="96" t="s">
        <v>203</v>
      </c>
      <c r="N4" s="98" t="s">
        <v>204</v>
      </c>
    </row>
    <row r="5" spans="1:14" x14ac:dyDescent="0.2">
      <c r="A5" s="86" t="s">
        <v>121</v>
      </c>
      <c r="B5" s="75">
        <v>955</v>
      </c>
      <c r="C5" s="75">
        <v>15</v>
      </c>
      <c r="D5" s="75">
        <v>43</v>
      </c>
      <c r="E5" s="75">
        <v>31</v>
      </c>
      <c r="F5" s="83">
        <f>SUM(Arrests_RecordedCrime_Ethnicity5[[#This Row],[Black]:[Mixed]])</f>
        <v>89</v>
      </c>
      <c r="G5" s="75">
        <v>34</v>
      </c>
      <c r="H5" s="75">
        <f>SUM(Arrests_RecordedCrime_Ethnicity5[[#This Row],[White]:[Mixed]],Arrests_RecordedCrime_Ethnicity5[[#This Row],[Unknown]])</f>
        <v>1078</v>
      </c>
      <c r="I5" s="161" t="s">
        <v>121</v>
      </c>
      <c r="J5" s="69">
        <f t="shared" ref="J5:N20" si="0">IFERROR(B5/SUM($B5:$E5),"n/a")</f>
        <v>0.91475095785440608</v>
      </c>
      <c r="K5" s="69">
        <f t="shared" si="0"/>
        <v>1.4367816091954023E-2</v>
      </c>
      <c r="L5" s="69">
        <f t="shared" si="0"/>
        <v>4.1187739463601533E-2</v>
      </c>
      <c r="M5" s="69">
        <f t="shared" ref="M5:N36" si="1">IFERROR(E5/SUM($B5:$E5),"n/a")</f>
        <v>2.9693486590038315E-2</v>
      </c>
      <c r="N5" s="91">
        <f t="shared" si="0"/>
        <v>8.5249042145593867E-2</v>
      </c>
    </row>
    <row r="6" spans="1:14" x14ac:dyDescent="0.2">
      <c r="A6" s="86" t="s">
        <v>122</v>
      </c>
      <c r="B6" s="75">
        <v>813</v>
      </c>
      <c r="C6" s="75">
        <v>5</v>
      </c>
      <c r="D6" s="75">
        <v>22</v>
      </c>
      <c r="E6" s="75">
        <v>12</v>
      </c>
      <c r="F6" s="84">
        <f>SUM(Arrests_RecordedCrime_Ethnicity5[[#This Row],[Black]:[Mixed]])</f>
        <v>39</v>
      </c>
      <c r="G6" s="75">
        <v>3</v>
      </c>
      <c r="H6" s="75">
        <f>SUM(Arrests_RecordedCrime_Ethnicity5[[#This Row],[White]:[Mixed]],Arrests_RecordedCrime_Ethnicity5[[#This Row],[Unknown]])</f>
        <v>855</v>
      </c>
      <c r="I6" s="161" t="s">
        <v>122</v>
      </c>
      <c r="J6" s="69">
        <f t="shared" si="0"/>
        <v>0.95422535211267601</v>
      </c>
      <c r="K6" s="69">
        <f t="shared" si="0"/>
        <v>5.8685446009389668E-3</v>
      </c>
      <c r="L6" s="69">
        <f t="shared" si="0"/>
        <v>2.5821596244131457E-2</v>
      </c>
      <c r="M6" s="69">
        <f t="shared" si="1"/>
        <v>1.4084507042253521E-2</v>
      </c>
      <c r="N6" s="91">
        <f t="shared" si="0"/>
        <v>4.5774647887323945E-2</v>
      </c>
    </row>
    <row r="7" spans="1:14" x14ac:dyDescent="0.2">
      <c r="A7" s="306" t="s">
        <v>123</v>
      </c>
      <c r="B7" s="307">
        <v>1768</v>
      </c>
      <c r="C7" s="307">
        <v>39</v>
      </c>
      <c r="D7" s="307">
        <v>96</v>
      </c>
      <c r="E7" s="307">
        <v>34</v>
      </c>
      <c r="F7" s="308">
        <f>SUM(Arrests_RecordedCrime_Ethnicity5[[#This Row],[Black]:[Mixed]])</f>
        <v>169</v>
      </c>
      <c r="G7" s="307">
        <v>13</v>
      </c>
      <c r="H7" s="307">
        <f>SUM(Arrests_RecordedCrime_Ethnicity5[[#This Row],[White]:[Mixed]],Arrests_RecordedCrime_Ethnicity5[[#This Row],[Unknown]])</f>
        <v>1950</v>
      </c>
      <c r="I7" s="309" t="s">
        <v>123</v>
      </c>
      <c r="J7" s="281">
        <f t="shared" si="0"/>
        <v>0.91275167785234901</v>
      </c>
      <c r="K7" s="281">
        <f t="shared" si="0"/>
        <v>2.0134228187919462E-2</v>
      </c>
      <c r="L7" s="281">
        <f t="shared" si="0"/>
        <v>4.9561177077955598E-2</v>
      </c>
      <c r="M7" s="281">
        <f t="shared" si="1"/>
        <v>1.7552916881775942E-2</v>
      </c>
      <c r="N7" s="310">
        <f t="shared" si="0"/>
        <v>8.7248322147651006E-2</v>
      </c>
    </row>
    <row r="8" spans="1:14" x14ac:dyDescent="0.2">
      <c r="A8" s="311" t="s">
        <v>124</v>
      </c>
      <c r="B8" s="312">
        <f>SUM(B5:B7)</f>
        <v>3536</v>
      </c>
      <c r="C8" s="312">
        <f t="shared" ref="C8:G8" si="2">SUM(C5:C7)</f>
        <v>59</v>
      </c>
      <c r="D8" s="312">
        <f t="shared" si="2"/>
        <v>161</v>
      </c>
      <c r="E8" s="312">
        <f t="shared" si="2"/>
        <v>77</v>
      </c>
      <c r="F8" s="313">
        <f>SUM(Arrests_RecordedCrime_Ethnicity5[[#This Row],[Black]:[Mixed]])</f>
        <v>297</v>
      </c>
      <c r="G8" s="314">
        <f t="shared" si="2"/>
        <v>50</v>
      </c>
      <c r="H8" s="312">
        <f>SUM(Arrests_RecordedCrime_Ethnicity5[[#This Row],[White]:[Mixed]],Arrests_RecordedCrime_Ethnicity5[[#This Row],[Unknown]])</f>
        <v>3883</v>
      </c>
      <c r="I8" s="315" t="s">
        <v>124</v>
      </c>
      <c r="J8" s="284">
        <f t="shared" si="0"/>
        <v>0.92251500130446129</v>
      </c>
      <c r="K8" s="284">
        <f t="shared" si="0"/>
        <v>1.5392642838507697E-2</v>
      </c>
      <c r="L8" s="284">
        <f t="shared" si="0"/>
        <v>4.2003652491521E-2</v>
      </c>
      <c r="M8" s="284">
        <f t="shared" si="1"/>
        <v>2.0088703365510045E-2</v>
      </c>
      <c r="N8" s="316">
        <f t="shared" si="0"/>
        <v>7.7484998695538737E-2</v>
      </c>
    </row>
    <row r="9" spans="1:14" x14ac:dyDescent="0.2">
      <c r="A9" s="162" t="s">
        <v>125</v>
      </c>
      <c r="B9" s="76">
        <v>958</v>
      </c>
      <c r="C9" s="76">
        <v>28</v>
      </c>
      <c r="D9" s="76">
        <v>22</v>
      </c>
      <c r="E9" s="76">
        <v>31</v>
      </c>
      <c r="F9" s="83">
        <f>SUM(Arrests_RecordedCrime_Ethnicity5[[#This Row],[Black]:[Mixed]])</f>
        <v>81</v>
      </c>
      <c r="G9" s="76">
        <v>18</v>
      </c>
      <c r="H9" s="76">
        <f>SUM(Arrests_RecordedCrime_Ethnicity5[[#This Row],[White]:[Mixed]],Arrests_RecordedCrime_Ethnicity5[[#This Row],[Unknown]])</f>
        <v>1057</v>
      </c>
      <c r="I9" s="163" t="s">
        <v>125</v>
      </c>
      <c r="J9" s="51">
        <f t="shared" si="0"/>
        <v>0.9220404234841193</v>
      </c>
      <c r="K9" s="51">
        <f t="shared" si="0"/>
        <v>2.6948989412897015E-2</v>
      </c>
      <c r="L9" s="51">
        <f t="shared" si="0"/>
        <v>2.1174205967276226E-2</v>
      </c>
      <c r="M9" s="51">
        <f t="shared" si="1"/>
        <v>2.9836381135707413E-2</v>
      </c>
      <c r="N9" s="92">
        <f t="shared" si="0"/>
        <v>7.795957651588066E-2</v>
      </c>
    </row>
    <row r="10" spans="1:14" x14ac:dyDescent="0.2">
      <c r="A10" s="86" t="s">
        <v>126</v>
      </c>
      <c r="B10" s="75">
        <v>599</v>
      </c>
      <c r="C10" s="75">
        <v>11</v>
      </c>
      <c r="D10" s="75">
        <v>0</v>
      </c>
      <c r="E10" s="75">
        <v>9</v>
      </c>
      <c r="F10" s="84">
        <f>SUM(Arrests_RecordedCrime_Ethnicity5[[#This Row],[Black]:[Mixed]])</f>
        <v>20</v>
      </c>
      <c r="G10" s="75">
        <v>12</v>
      </c>
      <c r="H10" s="75">
        <f>SUM(Arrests_RecordedCrime_Ethnicity5[[#This Row],[White]:[Mixed]],Arrests_RecordedCrime_Ethnicity5[[#This Row],[Unknown]])</f>
        <v>631</v>
      </c>
      <c r="I10" s="161" t="s">
        <v>126</v>
      </c>
      <c r="J10" s="69">
        <f t="shared" si="0"/>
        <v>0.96768982229402267</v>
      </c>
      <c r="K10" s="69">
        <f t="shared" si="0"/>
        <v>1.7770597738287562E-2</v>
      </c>
      <c r="L10" s="69">
        <f t="shared" si="0"/>
        <v>0</v>
      </c>
      <c r="M10" s="69">
        <f t="shared" si="1"/>
        <v>1.4539579967689823E-2</v>
      </c>
      <c r="N10" s="91">
        <f t="shared" si="0"/>
        <v>3.2310177705977383E-2</v>
      </c>
    </row>
    <row r="11" spans="1:14" x14ac:dyDescent="0.2">
      <c r="A11" s="86" t="s">
        <v>127</v>
      </c>
      <c r="B11" s="75">
        <v>2606</v>
      </c>
      <c r="C11" s="75">
        <v>515</v>
      </c>
      <c r="D11" s="75">
        <v>403</v>
      </c>
      <c r="E11" s="75">
        <v>194</v>
      </c>
      <c r="F11" s="84">
        <f>SUM(Arrests_RecordedCrime_Ethnicity5[[#This Row],[Black]:[Mixed]])</f>
        <v>1112</v>
      </c>
      <c r="G11" s="75">
        <v>528</v>
      </c>
      <c r="H11" s="75">
        <f>SUM(Arrests_RecordedCrime_Ethnicity5[[#This Row],[White]:[Mixed]],Arrests_RecordedCrime_Ethnicity5[[#This Row],[Unknown]])</f>
        <v>4246</v>
      </c>
      <c r="I11" s="164" t="s">
        <v>205</v>
      </c>
      <c r="J11" s="69">
        <f t="shared" si="0"/>
        <v>0.70091447014523933</v>
      </c>
      <c r="K11" s="69">
        <f t="shared" si="0"/>
        <v>0.13851533082302314</v>
      </c>
      <c r="L11" s="69">
        <f t="shared" ref="L11:L59" si="3">IFERROR(D11/SUM($B11:$E11),"n/a")</f>
        <v>0.10839160839160839</v>
      </c>
      <c r="M11" s="170">
        <f t="shared" si="1"/>
        <v>5.2178590640129099E-2</v>
      </c>
      <c r="N11" s="69">
        <f t="shared" si="1"/>
        <v>0.29908552985476061</v>
      </c>
    </row>
    <row r="12" spans="1:14" x14ac:dyDescent="0.2">
      <c r="A12" s="86" t="s">
        <v>128</v>
      </c>
      <c r="B12" s="75">
        <v>886</v>
      </c>
      <c r="C12" s="75">
        <v>23</v>
      </c>
      <c r="D12" s="75">
        <v>81</v>
      </c>
      <c r="E12" s="75">
        <v>28</v>
      </c>
      <c r="F12" s="84">
        <f>SUM(Arrests_RecordedCrime_Ethnicity5[[#This Row],[Black]:[Mixed]])</f>
        <v>132</v>
      </c>
      <c r="G12" s="75">
        <v>124</v>
      </c>
      <c r="H12" s="75">
        <f>SUM(Arrests_RecordedCrime_Ethnicity5[[#This Row],[White]:[Mixed]],Arrests_RecordedCrime_Ethnicity5[[#This Row],[Unknown]])</f>
        <v>1142</v>
      </c>
      <c r="I12" s="164" t="s">
        <v>206</v>
      </c>
      <c r="J12" s="69">
        <f t="shared" si="0"/>
        <v>0.87033398821218078</v>
      </c>
      <c r="K12" s="69">
        <f t="shared" ref="K12:K59" si="4">IFERROR(C12/SUM($B12:$E12),"n/a")</f>
        <v>2.2593320235756387E-2</v>
      </c>
      <c r="L12" s="69">
        <f t="shared" si="3"/>
        <v>7.9567779960707269E-2</v>
      </c>
      <c r="M12" s="69">
        <f t="shared" si="1"/>
        <v>2.75049115913556E-2</v>
      </c>
      <c r="N12" s="91">
        <f t="shared" si="1"/>
        <v>0.12966601178781925</v>
      </c>
    </row>
    <row r="13" spans="1:14" x14ac:dyDescent="0.2">
      <c r="A13" s="306" t="s">
        <v>129</v>
      </c>
      <c r="B13" s="307">
        <v>1096</v>
      </c>
      <c r="C13" s="307">
        <v>56</v>
      </c>
      <c r="D13" s="307">
        <v>46</v>
      </c>
      <c r="E13" s="307">
        <v>60</v>
      </c>
      <c r="F13" s="308">
        <f>SUM(Arrests_RecordedCrime_Ethnicity5[[#This Row],[Black]:[Mixed]])</f>
        <v>162</v>
      </c>
      <c r="G13" s="307">
        <v>60</v>
      </c>
      <c r="H13" s="307">
        <f>SUM(Arrests_RecordedCrime_Ethnicity5[[#This Row],[White]:[Mixed]],Arrests_RecordedCrime_Ethnicity5[[#This Row],[Unknown]])</f>
        <v>1318</v>
      </c>
      <c r="I13" s="309" t="s">
        <v>129</v>
      </c>
      <c r="J13" s="281">
        <f t="shared" si="0"/>
        <v>0.87122416534181235</v>
      </c>
      <c r="K13" s="281">
        <f t="shared" si="4"/>
        <v>4.4515103338632747E-2</v>
      </c>
      <c r="L13" s="281">
        <f t="shared" si="3"/>
        <v>3.6565977742448331E-2</v>
      </c>
      <c r="M13" s="281">
        <f t="shared" si="1"/>
        <v>4.7694753577106522E-2</v>
      </c>
      <c r="N13" s="310">
        <f t="shared" si="1"/>
        <v>0.12877583465818759</v>
      </c>
    </row>
    <row r="14" spans="1:14" x14ac:dyDescent="0.2">
      <c r="A14" s="311" t="s">
        <v>130</v>
      </c>
      <c r="B14" s="312">
        <f>SUM(B9:B13)</f>
        <v>6145</v>
      </c>
      <c r="C14" s="312">
        <f t="shared" ref="C14:G14" si="5">SUM(C9:C13)</f>
        <v>633</v>
      </c>
      <c r="D14" s="312">
        <f t="shared" si="5"/>
        <v>552</v>
      </c>
      <c r="E14" s="312">
        <f t="shared" si="5"/>
        <v>322</v>
      </c>
      <c r="F14" s="313">
        <f>SUM(Arrests_RecordedCrime_Ethnicity5[[#This Row],[Black]:[Mixed]])</f>
        <v>1507</v>
      </c>
      <c r="G14" s="314">
        <f t="shared" si="5"/>
        <v>742</v>
      </c>
      <c r="H14" s="312">
        <f>SUM(Arrests_RecordedCrime_Ethnicity5[[#This Row],[White]:[Mixed]],Arrests_RecordedCrime_Ethnicity5[[#This Row],[Unknown]])</f>
        <v>8394</v>
      </c>
      <c r="I14" s="315" t="s">
        <v>130</v>
      </c>
      <c r="J14" s="284">
        <f t="shared" si="0"/>
        <v>0.80305802404600102</v>
      </c>
      <c r="K14" s="284">
        <f t="shared" si="4"/>
        <v>8.2723470987976999E-2</v>
      </c>
      <c r="L14" s="284">
        <f t="shared" si="3"/>
        <v>7.2138003136434925E-2</v>
      </c>
      <c r="M14" s="284">
        <f t="shared" si="1"/>
        <v>4.2080501829587037E-2</v>
      </c>
      <c r="N14" s="316">
        <f t="shared" si="1"/>
        <v>0.19694197595399895</v>
      </c>
    </row>
    <row r="15" spans="1:14" x14ac:dyDescent="0.2">
      <c r="A15" s="162" t="s">
        <v>151</v>
      </c>
      <c r="B15" s="76">
        <v>1169</v>
      </c>
      <c r="C15" s="76">
        <v>29</v>
      </c>
      <c r="D15" s="76">
        <v>25</v>
      </c>
      <c r="E15" s="76">
        <v>23</v>
      </c>
      <c r="F15" s="83">
        <f>SUM(Arrests_RecordedCrime_Ethnicity5[[#This Row],[Black]:[Mixed]])</f>
        <v>77</v>
      </c>
      <c r="G15" s="76">
        <v>32</v>
      </c>
      <c r="H15" s="76">
        <f>SUM(Arrests_RecordedCrime_Ethnicity5[[#This Row],[White]:[Mixed]],Arrests_RecordedCrime_Ethnicity5[[#This Row],[Unknown]])</f>
        <v>1278</v>
      </c>
      <c r="I15" s="163" t="s">
        <v>151</v>
      </c>
      <c r="J15" s="51">
        <f t="shared" si="0"/>
        <v>0.9382022471910112</v>
      </c>
      <c r="K15" s="51">
        <f t="shared" si="4"/>
        <v>2.3274478330658106E-2</v>
      </c>
      <c r="L15" s="51">
        <f t="shared" si="3"/>
        <v>2.0064205457463884E-2</v>
      </c>
      <c r="M15" s="51">
        <f t="shared" si="1"/>
        <v>1.8459069020866775E-2</v>
      </c>
      <c r="N15" s="92">
        <f t="shared" si="1"/>
        <v>6.1797752808988762E-2</v>
      </c>
    </row>
    <row r="16" spans="1:14" x14ac:dyDescent="0.2">
      <c r="A16" s="86" t="s">
        <v>152</v>
      </c>
      <c r="B16" s="75">
        <v>651</v>
      </c>
      <c r="C16" s="75">
        <v>11</v>
      </c>
      <c r="D16" s="75">
        <v>18</v>
      </c>
      <c r="E16" s="75">
        <v>24</v>
      </c>
      <c r="F16" s="84">
        <f>SUM(Arrests_RecordedCrime_Ethnicity5[[#This Row],[Black]:[Mixed]])</f>
        <v>53</v>
      </c>
      <c r="G16" s="75">
        <v>50</v>
      </c>
      <c r="H16" s="75">
        <f>SUM(Arrests_RecordedCrime_Ethnicity5[[#This Row],[White]:[Mixed]],Arrests_RecordedCrime_Ethnicity5[[#This Row],[Unknown]])</f>
        <v>754</v>
      </c>
      <c r="I16" s="161" t="s">
        <v>152</v>
      </c>
      <c r="J16" s="69">
        <f t="shared" si="0"/>
        <v>0.92471590909090906</v>
      </c>
      <c r="K16" s="69">
        <f t="shared" si="4"/>
        <v>1.5625E-2</v>
      </c>
      <c r="L16" s="69">
        <f t="shared" si="3"/>
        <v>2.556818181818182E-2</v>
      </c>
      <c r="M16" s="69">
        <f t="shared" si="1"/>
        <v>3.4090909090909088E-2</v>
      </c>
      <c r="N16" s="91">
        <f t="shared" si="1"/>
        <v>7.5284090909090912E-2</v>
      </c>
    </row>
    <row r="17" spans="1:14" x14ac:dyDescent="0.2">
      <c r="A17" s="86" t="s">
        <v>153</v>
      </c>
      <c r="B17" s="75">
        <v>856</v>
      </c>
      <c r="C17" s="75">
        <v>71</v>
      </c>
      <c r="D17" s="75">
        <v>60</v>
      </c>
      <c r="E17" s="75">
        <v>59</v>
      </c>
      <c r="F17" s="84">
        <f>SUM(Arrests_RecordedCrime_Ethnicity5[[#This Row],[Black]:[Mixed]])</f>
        <v>190</v>
      </c>
      <c r="G17" s="75">
        <v>45</v>
      </c>
      <c r="H17" s="75">
        <f>SUM(Arrests_RecordedCrime_Ethnicity5[[#This Row],[White]:[Mixed]],Arrests_RecordedCrime_Ethnicity5[[#This Row],[Unknown]])</f>
        <v>1091</v>
      </c>
      <c r="I17" s="161" t="s">
        <v>153</v>
      </c>
      <c r="J17" s="69">
        <f t="shared" si="0"/>
        <v>0.8183556405353728</v>
      </c>
      <c r="K17" s="69">
        <f t="shared" si="4"/>
        <v>6.7877629063097508E-2</v>
      </c>
      <c r="L17" s="69">
        <f t="shared" si="3"/>
        <v>5.736137667304015E-2</v>
      </c>
      <c r="M17" s="69">
        <f t="shared" si="1"/>
        <v>5.6405353728489482E-2</v>
      </c>
      <c r="N17" s="91">
        <f t="shared" si="1"/>
        <v>0.18164435946462715</v>
      </c>
    </row>
    <row r="18" spans="1:14" x14ac:dyDescent="0.2">
      <c r="A18" s="306" t="s">
        <v>154</v>
      </c>
      <c r="B18" s="307">
        <v>2302</v>
      </c>
      <c r="C18" s="307">
        <v>282</v>
      </c>
      <c r="D18" s="307">
        <v>452</v>
      </c>
      <c r="E18" s="307">
        <v>306</v>
      </c>
      <c r="F18" s="308">
        <f>SUM(Arrests_RecordedCrime_Ethnicity5[[#This Row],[Black]:[Mixed]])</f>
        <v>1040</v>
      </c>
      <c r="G18" s="307">
        <v>142</v>
      </c>
      <c r="H18" s="307">
        <f>SUM(Arrests_RecordedCrime_Ethnicity5[[#This Row],[White]:[Mixed]],Arrests_RecordedCrime_Ethnicity5[[#This Row],[Unknown]])</f>
        <v>3484</v>
      </c>
      <c r="I18" s="309" t="s">
        <v>154</v>
      </c>
      <c r="J18" s="281">
        <f t="shared" si="0"/>
        <v>0.68880909634949128</v>
      </c>
      <c r="K18" s="281">
        <f t="shared" si="4"/>
        <v>8.4380610412926396E-2</v>
      </c>
      <c r="L18" s="281">
        <f t="shared" si="3"/>
        <v>0.13524835427887494</v>
      </c>
      <c r="M18" s="281">
        <f t="shared" si="1"/>
        <v>9.1561938958707359E-2</v>
      </c>
      <c r="N18" s="310">
        <f t="shared" si="1"/>
        <v>0.31119090365050867</v>
      </c>
    </row>
    <row r="19" spans="1:14" x14ac:dyDescent="0.2">
      <c r="A19" s="311" t="s">
        <v>155</v>
      </c>
      <c r="B19" s="312">
        <f>SUM(B15:B18)</f>
        <v>4978</v>
      </c>
      <c r="C19" s="312">
        <f t="shared" ref="C19:G19" si="6">SUM(C15:C18)</f>
        <v>393</v>
      </c>
      <c r="D19" s="312">
        <f t="shared" si="6"/>
        <v>555</v>
      </c>
      <c r="E19" s="312">
        <f t="shared" si="6"/>
        <v>412</v>
      </c>
      <c r="F19" s="313">
        <f>SUM(Arrests_RecordedCrime_Ethnicity5[[#This Row],[Black]:[Mixed]])</f>
        <v>1360</v>
      </c>
      <c r="G19" s="314">
        <f t="shared" si="6"/>
        <v>269</v>
      </c>
      <c r="H19" s="312">
        <f>SUM(Arrests_RecordedCrime_Ethnicity5[[#This Row],[White]:[Mixed]],Arrests_RecordedCrime_Ethnicity5[[#This Row],[Unknown]])</f>
        <v>6607</v>
      </c>
      <c r="I19" s="315" t="s">
        <v>155</v>
      </c>
      <c r="J19" s="284">
        <f t="shared" si="0"/>
        <v>0.78542126853897132</v>
      </c>
      <c r="K19" s="284">
        <f t="shared" si="4"/>
        <v>6.200694225307668E-2</v>
      </c>
      <c r="L19" s="284">
        <f t="shared" si="3"/>
        <v>8.7567055853581571E-2</v>
      </c>
      <c r="M19" s="284">
        <f t="shared" si="1"/>
        <v>6.5004733354370459E-2</v>
      </c>
      <c r="N19" s="316">
        <f t="shared" si="1"/>
        <v>0.21457873146102871</v>
      </c>
    </row>
    <row r="20" spans="1:14" x14ac:dyDescent="0.2">
      <c r="A20" s="162" t="s">
        <v>105</v>
      </c>
      <c r="B20" s="76">
        <v>913</v>
      </c>
      <c r="C20" s="76">
        <v>42</v>
      </c>
      <c r="D20" s="76">
        <v>65</v>
      </c>
      <c r="E20" s="76">
        <v>79</v>
      </c>
      <c r="F20" s="83">
        <f>SUM(Arrests_RecordedCrime_Ethnicity5[[#This Row],[Black]:[Mixed]])</f>
        <v>186</v>
      </c>
      <c r="G20" s="76">
        <v>16</v>
      </c>
      <c r="H20" s="76">
        <f>SUM(Arrests_RecordedCrime_Ethnicity5[[#This Row],[White]:[Mixed]],Arrests_RecordedCrime_Ethnicity5[[#This Row],[Unknown]])</f>
        <v>1115</v>
      </c>
      <c r="I20" s="163" t="s">
        <v>105</v>
      </c>
      <c r="J20" s="51">
        <f t="shared" si="0"/>
        <v>0.83075523202911739</v>
      </c>
      <c r="K20" s="51">
        <f t="shared" si="4"/>
        <v>3.8216560509554139E-2</v>
      </c>
      <c r="L20" s="51">
        <f t="shared" si="3"/>
        <v>5.9144676979071886E-2</v>
      </c>
      <c r="M20" s="51">
        <f t="shared" si="1"/>
        <v>7.1883530482256597E-2</v>
      </c>
      <c r="N20" s="92">
        <f t="shared" si="1"/>
        <v>0.16924476797088261</v>
      </c>
    </row>
    <row r="21" spans="1:14" x14ac:dyDescent="0.2">
      <c r="A21" s="86" t="s">
        <v>106</v>
      </c>
      <c r="B21" s="75">
        <v>774</v>
      </c>
      <c r="C21" s="75">
        <v>136</v>
      </c>
      <c r="D21" s="75">
        <v>111</v>
      </c>
      <c r="E21" s="75">
        <v>84</v>
      </c>
      <c r="F21" s="84">
        <f>SUM(Arrests_RecordedCrime_Ethnicity5[[#This Row],[Black]:[Mixed]])</f>
        <v>331</v>
      </c>
      <c r="G21" s="75">
        <v>72</v>
      </c>
      <c r="H21" s="75">
        <f>SUM(Arrests_RecordedCrime_Ethnicity5[[#This Row],[White]:[Mixed]],Arrests_RecordedCrime_Ethnicity5[[#This Row],[Unknown]])</f>
        <v>1177</v>
      </c>
      <c r="I21" s="161" t="s">
        <v>106</v>
      </c>
      <c r="J21" s="69">
        <f t="shared" ref="J21:J59" si="7">IFERROR(B21/SUM($B21:$E21),"n/a")</f>
        <v>0.70045248868778276</v>
      </c>
      <c r="K21" s="69">
        <f t="shared" si="4"/>
        <v>0.12307692307692308</v>
      </c>
      <c r="L21" s="69">
        <f t="shared" si="3"/>
        <v>0.10045248868778281</v>
      </c>
      <c r="M21" s="69">
        <f t="shared" si="1"/>
        <v>7.6018099547511306E-2</v>
      </c>
      <c r="N21" s="91">
        <f t="shared" si="1"/>
        <v>0.29954751131221719</v>
      </c>
    </row>
    <row r="22" spans="1:14" x14ac:dyDescent="0.2">
      <c r="A22" s="86" t="s">
        <v>107</v>
      </c>
      <c r="B22" s="75">
        <v>533</v>
      </c>
      <c r="C22" s="75">
        <v>11</v>
      </c>
      <c r="D22" s="75">
        <v>13</v>
      </c>
      <c r="E22" s="75">
        <v>12</v>
      </c>
      <c r="F22" s="84">
        <f>SUM(Arrests_RecordedCrime_Ethnicity5[[#This Row],[Black]:[Mixed]])</f>
        <v>36</v>
      </c>
      <c r="G22" s="75">
        <v>14</v>
      </c>
      <c r="H22" s="75">
        <f>SUM(Arrests_RecordedCrime_Ethnicity5[[#This Row],[White]:[Mixed]],Arrests_RecordedCrime_Ethnicity5[[#This Row],[Unknown]])</f>
        <v>583</v>
      </c>
      <c r="I22" s="161" t="s">
        <v>107</v>
      </c>
      <c r="J22" s="69">
        <f t="shared" si="7"/>
        <v>0.93673110720562391</v>
      </c>
      <c r="K22" s="69">
        <f t="shared" si="4"/>
        <v>1.9332161687170474E-2</v>
      </c>
      <c r="L22" s="69">
        <f t="shared" si="3"/>
        <v>2.2847100175746926E-2</v>
      </c>
      <c r="M22" s="69">
        <f t="shared" si="1"/>
        <v>2.10896309314587E-2</v>
      </c>
      <c r="N22" s="91">
        <f t="shared" si="1"/>
        <v>6.32688927943761E-2</v>
      </c>
    </row>
    <row r="23" spans="1:14" x14ac:dyDescent="0.2">
      <c r="A23" s="86" t="s">
        <v>108</v>
      </c>
      <c r="B23" s="75">
        <v>737</v>
      </c>
      <c r="C23" s="75">
        <v>83</v>
      </c>
      <c r="D23" s="75">
        <v>26</v>
      </c>
      <c r="E23" s="75">
        <v>61</v>
      </c>
      <c r="F23" s="84">
        <f>SUM(Arrests_RecordedCrime_Ethnicity5[[#This Row],[Black]:[Mixed]])</f>
        <v>170</v>
      </c>
      <c r="G23" s="75">
        <v>19</v>
      </c>
      <c r="H23" s="75">
        <f>SUM(Arrests_RecordedCrime_Ethnicity5[[#This Row],[White]:[Mixed]],Arrests_RecordedCrime_Ethnicity5[[#This Row],[Unknown]])</f>
        <v>926</v>
      </c>
      <c r="I23" s="161" t="s">
        <v>108</v>
      </c>
      <c r="J23" s="69">
        <f t="shared" si="7"/>
        <v>0.8125689084895259</v>
      </c>
      <c r="K23" s="69">
        <f t="shared" si="4"/>
        <v>9.1510474090407939E-2</v>
      </c>
      <c r="L23" s="69">
        <f t="shared" si="3"/>
        <v>2.8665931642778392E-2</v>
      </c>
      <c r="M23" s="69">
        <f t="shared" si="1"/>
        <v>6.7254685777287757E-2</v>
      </c>
      <c r="N23" s="91">
        <f t="shared" si="1"/>
        <v>0.1874310915104741</v>
      </c>
    </row>
    <row r="24" spans="1:14" x14ac:dyDescent="0.2">
      <c r="A24" s="306" t="s">
        <v>109</v>
      </c>
      <c r="B24" s="307">
        <v>448</v>
      </c>
      <c r="C24" s="307">
        <v>58</v>
      </c>
      <c r="D24" s="307">
        <v>20</v>
      </c>
      <c r="E24" s="307">
        <v>79</v>
      </c>
      <c r="F24" s="308">
        <f>SUM(Arrests_RecordedCrime_Ethnicity5[[#This Row],[Black]:[Mixed]])</f>
        <v>157</v>
      </c>
      <c r="G24" s="307">
        <v>188</v>
      </c>
      <c r="H24" s="307">
        <f>SUM(Arrests_RecordedCrime_Ethnicity5[[#This Row],[White]:[Mixed]],Arrests_RecordedCrime_Ethnicity5[[#This Row],[Unknown]])</f>
        <v>793</v>
      </c>
      <c r="I24" s="309" t="s">
        <v>109</v>
      </c>
      <c r="J24" s="281">
        <f t="shared" si="7"/>
        <v>0.740495867768595</v>
      </c>
      <c r="K24" s="281">
        <f t="shared" si="4"/>
        <v>9.5867768595041328E-2</v>
      </c>
      <c r="L24" s="281">
        <f t="shared" si="3"/>
        <v>3.3057851239669422E-2</v>
      </c>
      <c r="M24" s="281">
        <f t="shared" si="1"/>
        <v>0.13057851239669421</v>
      </c>
      <c r="N24" s="310">
        <f t="shared" si="1"/>
        <v>0.25950413223140495</v>
      </c>
    </row>
    <row r="25" spans="1:14" x14ac:dyDescent="0.2">
      <c r="A25" s="311" t="s">
        <v>110</v>
      </c>
      <c r="B25" s="312">
        <f>SUM(B20:B24)</f>
        <v>3405</v>
      </c>
      <c r="C25" s="312">
        <f t="shared" ref="C25:G25" si="8">SUM(C20:C24)</f>
        <v>330</v>
      </c>
      <c r="D25" s="312">
        <f t="shared" si="8"/>
        <v>235</v>
      </c>
      <c r="E25" s="312">
        <f t="shared" si="8"/>
        <v>315</v>
      </c>
      <c r="F25" s="313">
        <f>SUM(Arrests_RecordedCrime_Ethnicity5[[#This Row],[Black]:[Mixed]])</f>
        <v>880</v>
      </c>
      <c r="G25" s="314">
        <f t="shared" si="8"/>
        <v>309</v>
      </c>
      <c r="H25" s="312">
        <f>SUM(Arrests_RecordedCrime_Ethnicity5[[#This Row],[White]:[Mixed]],Arrests_RecordedCrime_Ethnicity5[[#This Row],[Unknown]])</f>
        <v>4594</v>
      </c>
      <c r="I25" s="315" t="s">
        <v>110</v>
      </c>
      <c r="J25" s="284">
        <f t="shared" si="7"/>
        <v>0.79463243873978995</v>
      </c>
      <c r="K25" s="284">
        <f t="shared" si="4"/>
        <v>7.7012835472578769E-2</v>
      </c>
      <c r="L25" s="284">
        <f t="shared" si="3"/>
        <v>5.4842473745624273E-2</v>
      </c>
      <c r="M25" s="284">
        <f t="shared" si="1"/>
        <v>7.3512252042006995E-2</v>
      </c>
      <c r="N25" s="316">
        <f t="shared" si="1"/>
        <v>0.20536756126021002</v>
      </c>
    </row>
    <row r="26" spans="1:14" x14ac:dyDescent="0.2">
      <c r="A26" s="165" t="s">
        <v>147</v>
      </c>
      <c r="B26" s="76">
        <v>584</v>
      </c>
      <c r="C26" s="76">
        <v>24</v>
      </c>
      <c r="D26" s="76">
        <v>52</v>
      </c>
      <c r="E26" s="76">
        <v>37</v>
      </c>
      <c r="F26" s="83">
        <f>SUM(Arrests_RecordedCrime_Ethnicity5[[#This Row],[Black]:[Mixed]])</f>
        <v>113</v>
      </c>
      <c r="G26" s="76">
        <v>22</v>
      </c>
      <c r="H26" s="76">
        <f>SUM(Arrests_RecordedCrime_Ethnicity5[[#This Row],[White]:[Mixed]],Arrests_RecordedCrime_Ethnicity5[[#This Row],[Unknown]])</f>
        <v>719</v>
      </c>
      <c r="I26" s="166" t="s">
        <v>147</v>
      </c>
      <c r="J26" s="51">
        <f t="shared" si="7"/>
        <v>0.83787661406025826</v>
      </c>
      <c r="K26" s="51">
        <f t="shared" si="4"/>
        <v>3.443328550932568E-2</v>
      </c>
      <c r="L26" s="51">
        <f t="shared" si="3"/>
        <v>7.4605451936872305E-2</v>
      </c>
      <c r="M26" s="51">
        <f t="shared" si="1"/>
        <v>5.308464849354376E-2</v>
      </c>
      <c r="N26" s="92">
        <f t="shared" si="1"/>
        <v>0.16212338593974174</v>
      </c>
    </row>
    <row r="27" spans="1:14" x14ac:dyDescent="0.2">
      <c r="A27" s="86" t="s">
        <v>148</v>
      </c>
      <c r="B27" s="75">
        <v>217</v>
      </c>
      <c r="C27" s="75">
        <v>15</v>
      </c>
      <c r="D27" s="75">
        <v>6</v>
      </c>
      <c r="E27" s="75">
        <v>18</v>
      </c>
      <c r="F27" s="84">
        <f>SUM(Arrests_RecordedCrime_Ethnicity5[[#This Row],[Black]:[Mixed]])</f>
        <v>39</v>
      </c>
      <c r="G27" s="75">
        <v>46</v>
      </c>
      <c r="H27" s="75">
        <f>SUM(Arrests_RecordedCrime_Ethnicity5[[#This Row],[White]:[Mixed]],Arrests_RecordedCrime_Ethnicity5[[#This Row],[Unknown]])</f>
        <v>302</v>
      </c>
      <c r="I27" s="161" t="s">
        <v>148</v>
      </c>
      <c r="J27" s="69">
        <f t="shared" si="7"/>
        <v>0.84765625</v>
      </c>
      <c r="K27" s="69">
        <f t="shared" si="4"/>
        <v>5.859375E-2</v>
      </c>
      <c r="L27" s="69">
        <f t="shared" si="3"/>
        <v>2.34375E-2</v>
      </c>
      <c r="M27" s="69">
        <f t="shared" si="1"/>
        <v>7.03125E-2</v>
      </c>
      <c r="N27" s="91">
        <f t="shared" si="1"/>
        <v>0.15234375</v>
      </c>
    </row>
    <row r="28" spans="1:14" x14ac:dyDescent="0.2">
      <c r="A28" s="86" t="s">
        <v>149</v>
      </c>
      <c r="B28" s="75">
        <v>612</v>
      </c>
      <c r="C28" s="75">
        <v>15</v>
      </c>
      <c r="D28" s="75">
        <v>20</v>
      </c>
      <c r="E28" s="75">
        <v>21</v>
      </c>
      <c r="F28" s="84">
        <f>SUM(Arrests_RecordedCrime_Ethnicity5[[#This Row],[Black]:[Mixed]])</f>
        <v>56</v>
      </c>
      <c r="G28" s="75">
        <v>178</v>
      </c>
      <c r="H28" s="75">
        <f>SUM(Arrests_RecordedCrime_Ethnicity5[[#This Row],[White]:[Mixed]],Arrests_RecordedCrime_Ethnicity5[[#This Row],[Unknown]])</f>
        <v>846</v>
      </c>
      <c r="I28" s="161" t="s">
        <v>149</v>
      </c>
      <c r="J28" s="69">
        <f t="shared" si="7"/>
        <v>0.91616766467065869</v>
      </c>
      <c r="K28" s="69">
        <f t="shared" si="4"/>
        <v>2.2455089820359281E-2</v>
      </c>
      <c r="L28" s="69">
        <f t="shared" si="3"/>
        <v>2.9940119760479042E-2</v>
      </c>
      <c r="M28" s="69">
        <f t="shared" si="1"/>
        <v>3.1437125748502992E-2</v>
      </c>
      <c r="N28" s="91">
        <f t="shared" si="1"/>
        <v>8.3832335329341312E-2</v>
      </c>
    </row>
    <row r="29" spans="1:14" x14ac:dyDescent="0.2">
      <c r="A29" s="306" t="s">
        <v>100</v>
      </c>
      <c r="B29" s="307">
        <v>1798</v>
      </c>
      <c r="C29" s="307">
        <v>708</v>
      </c>
      <c r="D29" s="307">
        <v>710</v>
      </c>
      <c r="E29" s="307">
        <v>527</v>
      </c>
      <c r="F29" s="308">
        <f>SUM(Arrests_RecordedCrime_Ethnicity5[[#This Row],[Black]:[Mixed]])</f>
        <v>1945</v>
      </c>
      <c r="G29" s="307">
        <v>151</v>
      </c>
      <c r="H29" s="307">
        <f>SUM(Arrests_RecordedCrime_Ethnicity5[[#This Row],[White]:[Mixed]],Arrests_RecordedCrime_Ethnicity5[[#This Row],[Unknown]])</f>
        <v>3894</v>
      </c>
      <c r="I29" s="309" t="s">
        <v>100</v>
      </c>
      <c r="J29" s="281">
        <f t="shared" si="7"/>
        <v>0.48036334491049959</v>
      </c>
      <c r="K29" s="281">
        <f t="shared" si="4"/>
        <v>0.18915308576008549</v>
      </c>
      <c r="L29" s="281">
        <f t="shared" si="3"/>
        <v>0.18968741651082019</v>
      </c>
      <c r="M29" s="281">
        <f t="shared" si="1"/>
        <v>0.1407961528185947</v>
      </c>
      <c r="N29" s="310">
        <f t="shared" si="1"/>
        <v>0.51963665508950041</v>
      </c>
    </row>
    <row r="30" spans="1:14" x14ac:dyDescent="0.2">
      <c r="A30" s="311" t="s">
        <v>150</v>
      </c>
      <c r="B30" s="312">
        <f>SUM(B26:B29)</f>
        <v>3211</v>
      </c>
      <c r="C30" s="312">
        <f t="shared" ref="C30:G30" si="9">SUM(C26:C29)</f>
        <v>762</v>
      </c>
      <c r="D30" s="312">
        <f t="shared" si="9"/>
        <v>788</v>
      </c>
      <c r="E30" s="312">
        <f t="shared" si="9"/>
        <v>603</v>
      </c>
      <c r="F30" s="313">
        <f>SUM(Arrests_RecordedCrime_Ethnicity5[[#This Row],[Black]:[Mixed]])</f>
        <v>2153</v>
      </c>
      <c r="G30" s="314">
        <f t="shared" si="9"/>
        <v>397</v>
      </c>
      <c r="H30" s="312">
        <f>SUM(Arrests_RecordedCrime_Ethnicity5[[#This Row],[White]:[Mixed]],Arrests_RecordedCrime_Ethnicity5[[#This Row],[Unknown]])</f>
        <v>5761</v>
      </c>
      <c r="I30" s="315" t="s">
        <v>150</v>
      </c>
      <c r="J30" s="284">
        <f t="shared" si="7"/>
        <v>0.59862043251304997</v>
      </c>
      <c r="K30" s="284">
        <f t="shared" si="4"/>
        <v>0.14205816554809844</v>
      </c>
      <c r="L30" s="284">
        <f t="shared" si="3"/>
        <v>0.14690529455630127</v>
      </c>
      <c r="M30" s="284">
        <f t="shared" si="1"/>
        <v>0.11241610738255034</v>
      </c>
      <c r="N30" s="316">
        <f t="shared" si="1"/>
        <v>0.40137956748695003</v>
      </c>
    </row>
    <row r="31" spans="1:14" x14ac:dyDescent="0.2">
      <c r="A31" s="162" t="s">
        <v>111</v>
      </c>
      <c r="B31" s="76">
        <v>409</v>
      </c>
      <c r="C31" s="76">
        <v>107</v>
      </c>
      <c r="D31" s="76">
        <v>137</v>
      </c>
      <c r="E31" s="76">
        <v>61</v>
      </c>
      <c r="F31" s="83">
        <f>SUM(Arrests_RecordedCrime_Ethnicity5[[#This Row],[Black]:[Mixed]])</f>
        <v>305</v>
      </c>
      <c r="G31" s="76">
        <v>17</v>
      </c>
      <c r="H31" s="76">
        <f>SUM(Arrests_RecordedCrime_Ethnicity5[[#This Row],[White]:[Mixed]],Arrests_RecordedCrime_Ethnicity5[[#This Row],[Unknown]])</f>
        <v>731</v>
      </c>
      <c r="I31" s="163" t="s">
        <v>111</v>
      </c>
      <c r="J31" s="51">
        <f t="shared" si="7"/>
        <v>0.57282913165266103</v>
      </c>
      <c r="K31" s="51">
        <f t="shared" si="4"/>
        <v>0.14985994397759103</v>
      </c>
      <c r="L31" s="51">
        <f t="shared" si="3"/>
        <v>0.19187675070028012</v>
      </c>
      <c r="M31" s="51">
        <f t="shared" si="1"/>
        <v>8.5434173669467789E-2</v>
      </c>
      <c r="N31" s="92">
        <f t="shared" si="1"/>
        <v>0.42717086834733892</v>
      </c>
    </row>
    <row r="32" spans="1:14" x14ac:dyDescent="0.2">
      <c r="A32" s="86" t="s">
        <v>112</v>
      </c>
      <c r="B32" s="75">
        <v>469</v>
      </c>
      <c r="C32" s="75">
        <v>68</v>
      </c>
      <c r="D32" s="75">
        <v>49</v>
      </c>
      <c r="E32" s="75">
        <v>43</v>
      </c>
      <c r="F32" s="84">
        <f>SUM(Arrests_RecordedCrime_Ethnicity5[[#This Row],[Black]:[Mixed]])</f>
        <v>160</v>
      </c>
      <c r="G32" s="75">
        <v>44</v>
      </c>
      <c r="H32" s="75">
        <f>SUM(Arrests_RecordedCrime_Ethnicity5[[#This Row],[White]:[Mixed]],Arrests_RecordedCrime_Ethnicity5[[#This Row],[Unknown]])</f>
        <v>673</v>
      </c>
      <c r="I32" s="161" t="s">
        <v>112</v>
      </c>
      <c r="J32" s="69">
        <f t="shared" si="7"/>
        <v>0.74562798092209859</v>
      </c>
      <c r="K32" s="69">
        <f t="shared" si="4"/>
        <v>0.10810810810810811</v>
      </c>
      <c r="L32" s="69">
        <f t="shared" si="3"/>
        <v>7.7901430842607311E-2</v>
      </c>
      <c r="M32" s="69">
        <f t="shared" si="1"/>
        <v>6.8362480127186015E-2</v>
      </c>
      <c r="N32" s="91">
        <f t="shared" si="1"/>
        <v>0.25437201907790141</v>
      </c>
    </row>
    <row r="33" spans="1:14" x14ac:dyDescent="0.2">
      <c r="A33" s="86" t="s">
        <v>113</v>
      </c>
      <c r="B33" s="75">
        <v>1173</v>
      </c>
      <c r="C33" s="75">
        <v>214</v>
      </c>
      <c r="D33" s="75">
        <v>52</v>
      </c>
      <c r="E33" s="75">
        <v>85</v>
      </c>
      <c r="F33" s="84">
        <f>SUM(Arrests_RecordedCrime_Ethnicity5[[#This Row],[Black]:[Mixed]])</f>
        <v>351</v>
      </c>
      <c r="G33" s="75">
        <v>108</v>
      </c>
      <c r="H33" s="75">
        <f>SUM(Arrests_RecordedCrime_Ethnicity5[[#This Row],[White]:[Mixed]],Arrests_RecordedCrime_Ethnicity5[[#This Row],[Unknown]])</f>
        <v>1632</v>
      </c>
      <c r="I33" s="161" t="s">
        <v>113</v>
      </c>
      <c r="J33" s="69">
        <f t="shared" si="7"/>
        <v>0.76968503937007871</v>
      </c>
      <c r="K33" s="69">
        <f t="shared" si="4"/>
        <v>0.14041994750656167</v>
      </c>
      <c r="L33" s="69">
        <f t="shared" si="3"/>
        <v>3.4120734908136482E-2</v>
      </c>
      <c r="M33" s="69">
        <f t="shared" si="1"/>
        <v>5.57742782152231E-2</v>
      </c>
      <c r="N33" s="91">
        <f t="shared" si="1"/>
        <v>0.23031496062992127</v>
      </c>
    </row>
    <row r="34" spans="1:14" x14ac:dyDescent="0.2">
      <c r="A34" s="86" t="s">
        <v>114</v>
      </c>
      <c r="B34" s="75">
        <v>768</v>
      </c>
      <c r="C34" s="75">
        <v>134</v>
      </c>
      <c r="D34" s="75">
        <v>90</v>
      </c>
      <c r="E34" s="75">
        <v>95</v>
      </c>
      <c r="F34" s="84">
        <f>SUM(Arrests_RecordedCrime_Ethnicity5[[#This Row],[Black]:[Mixed]])</f>
        <v>319</v>
      </c>
      <c r="G34" s="75">
        <v>92</v>
      </c>
      <c r="H34" s="75">
        <f>SUM(Arrests_RecordedCrime_Ethnicity5[[#This Row],[White]:[Mixed]],Arrests_RecordedCrime_Ethnicity5[[#This Row],[Unknown]])</f>
        <v>1179</v>
      </c>
      <c r="I34" s="161" t="s">
        <v>114</v>
      </c>
      <c r="J34" s="69">
        <f t="shared" si="7"/>
        <v>0.70653173873045083</v>
      </c>
      <c r="K34" s="69">
        <f t="shared" si="4"/>
        <v>0.12327506899724011</v>
      </c>
      <c r="L34" s="69">
        <f t="shared" si="3"/>
        <v>8.2796688132474705E-2</v>
      </c>
      <c r="M34" s="69">
        <f t="shared" si="1"/>
        <v>8.7396504139834408E-2</v>
      </c>
      <c r="N34" s="91">
        <f t="shared" si="1"/>
        <v>0.29346826126954922</v>
      </c>
    </row>
    <row r="35" spans="1:14" x14ac:dyDescent="0.2">
      <c r="A35" s="86" t="s">
        <v>115</v>
      </c>
      <c r="B35" s="75">
        <v>465</v>
      </c>
      <c r="C35" s="75">
        <v>25</v>
      </c>
      <c r="D35" s="75">
        <v>4</v>
      </c>
      <c r="E35" s="75">
        <v>9</v>
      </c>
      <c r="F35" s="84">
        <f>SUM(Arrests_RecordedCrime_Ethnicity5[[#This Row],[Black]:[Mixed]])</f>
        <v>38</v>
      </c>
      <c r="G35" s="75">
        <v>563</v>
      </c>
      <c r="H35" s="75">
        <f>SUM(Arrests_RecordedCrime_Ethnicity5[[#This Row],[White]:[Mixed]],Arrests_RecordedCrime_Ethnicity5[[#This Row],[Unknown]])</f>
        <v>1066</v>
      </c>
      <c r="I35" s="161" t="s">
        <v>115</v>
      </c>
      <c r="J35" s="69">
        <f t="shared" si="7"/>
        <v>0.92445328031809149</v>
      </c>
      <c r="K35" s="69">
        <f t="shared" si="4"/>
        <v>4.9701789264413522E-2</v>
      </c>
      <c r="L35" s="69">
        <f t="shared" si="3"/>
        <v>7.9522862823061622E-3</v>
      </c>
      <c r="M35" s="69">
        <f t="shared" si="1"/>
        <v>1.7892644135188866E-2</v>
      </c>
      <c r="N35" s="91">
        <f t="shared" si="1"/>
        <v>7.5546719681908542E-2</v>
      </c>
    </row>
    <row r="36" spans="1:14" x14ac:dyDescent="0.2">
      <c r="A36" s="306" t="s">
        <v>116</v>
      </c>
      <c r="B36" s="307">
        <v>425</v>
      </c>
      <c r="C36" s="307">
        <v>21</v>
      </c>
      <c r="D36" s="307">
        <v>12</v>
      </c>
      <c r="E36" s="307">
        <v>32</v>
      </c>
      <c r="F36" s="308">
        <f>SUM(Arrests_RecordedCrime_Ethnicity5[[#This Row],[Black]:[Mixed]])</f>
        <v>65</v>
      </c>
      <c r="G36" s="307">
        <v>271</v>
      </c>
      <c r="H36" s="307">
        <f>SUM(Arrests_RecordedCrime_Ethnicity5[[#This Row],[White]:[Mixed]],Arrests_RecordedCrime_Ethnicity5[[#This Row],[Unknown]])</f>
        <v>761</v>
      </c>
      <c r="I36" s="309" t="s">
        <v>116</v>
      </c>
      <c r="J36" s="281">
        <f t="shared" si="7"/>
        <v>0.86734693877551017</v>
      </c>
      <c r="K36" s="281">
        <f t="shared" si="4"/>
        <v>4.2857142857142858E-2</v>
      </c>
      <c r="L36" s="281">
        <f t="shared" si="3"/>
        <v>2.4489795918367346E-2</v>
      </c>
      <c r="M36" s="281">
        <f t="shared" si="1"/>
        <v>6.5306122448979598E-2</v>
      </c>
      <c r="N36" s="310">
        <f t="shared" si="1"/>
        <v>0.1326530612244898</v>
      </c>
    </row>
    <row r="37" spans="1:14" x14ac:dyDescent="0.2">
      <c r="A37" s="311" t="s">
        <v>207</v>
      </c>
      <c r="B37" s="312">
        <f>SUM(B31:B36)</f>
        <v>3709</v>
      </c>
      <c r="C37" s="312">
        <f t="shared" ref="C37:G37" si="10">SUM(C31:C36)</f>
        <v>569</v>
      </c>
      <c r="D37" s="312">
        <f t="shared" si="10"/>
        <v>344</v>
      </c>
      <c r="E37" s="312">
        <f t="shared" si="10"/>
        <v>325</v>
      </c>
      <c r="F37" s="313">
        <f>SUM(Arrests_RecordedCrime_Ethnicity5[[#This Row],[Black]:[Mixed]])</f>
        <v>1238</v>
      </c>
      <c r="G37" s="314">
        <f t="shared" si="10"/>
        <v>1095</v>
      </c>
      <c r="H37" s="312">
        <f>SUM(Arrests_RecordedCrime_Ethnicity5[[#This Row],[White]:[Mixed]],Arrests_RecordedCrime_Ethnicity5[[#This Row],[Unknown]])</f>
        <v>6042</v>
      </c>
      <c r="I37" s="315" t="s">
        <v>207</v>
      </c>
      <c r="J37" s="284">
        <f t="shared" si="7"/>
        <v>0.74974732160905599</v>
      </c>
      <c r="K37" s="284">
        <f t="shared" si="4"/>
        <v>0.11501920355771174</v>
      </c>
      <c r="L37" s="284">
        <f t="shared" si="3"/>
        <v>6.9537093187790583E-2</v>
      </c>
      <c r="M37" s="284">
        <f t="shared" ref="M37:M59" si="11">IFERROR(E37/SUM($B37:$E37),"n/a")</f>
        <v>6.5696381645441684E-2</v>
      </c>
      <c r="N37" s="316">
        <f t="shared" ref="N37:N59" si="12">IFERROR(F37/SUM($B37:$E37),"n/a")</f>
        <v>0.25025267839094401</v>
      </c>
    </row>
    <row r="38" spans="1:14" x14ac:dyDescent="0.2">
      <c r="A38" s="162" t="s">
        <v>118</v>
      </c>
      <c r="B38" s="76">
        <v>22</v>
      </c>
      <c r="C38" s="76">
        <v>4</v>
      </c>
      <c r="D38" s="76">
        <v>4</v>
      </c>
      <c r="E38" s="76">
        <v>2</v>
      </c>
      <c r="F38" s="83">
        <f>SUM(Arrests_RecordedCrime_Ethnicity5[[#This Row],[Black]:[Mixed]])</f>
        <v>10</v>
      </c>
      <c r="G38" s="76">
        <v>34</v>
      </c>
      <c r="H38" s="76">
        <f>SUM(Arrests_RecordedCrime_Ethnicity5[[#This Row],[White]:[Mixed]],Arrests_RecordedCrime_Ethnicity5[[#This Row],[Unknown]])</f>
        <v>66</v>
      </c>
      <c r="I38" s="163" t="s">
        <v>118</v>
      </c>
      <c r="J38" s="51">
        <f t="shared" si="7"/>
        <v>0.6875</v>
      </c>
      <c r="K38" s="51">
        <f t="shared" si="4"/>
        <v>0.125</v>
      </c>
      <c r="L38" s="51">
        <f t="shared" si="3"/>
        <v>0.125</v>
      </c>
      <c r="M38" s="51">
        <f t="shared" si="11"/>
        <v>6.25E-2</v>
      </c>
      <c r="N38" s="92">
        <f t="shared" si="12"/>
        <v>0.3125</v>
      </c>
    </row>
    <row r="39" spans="1:14" x14ac:dyDescent="0.2">
      <c r="A39" s="306" t="s">
        <v>119</v>
      </c>
      <c r="B39" s="307">
        <v>840</v>
      </c>
      <c r="C39" s="307">
        <v>1196</v>
      </c>
      <c r="D39" s="307">
        <v>437</v>
      </c>
      <c r="E39" s="307">
        <v>446</v>
      </c>
      <c r="F39" s="308">
        <f>SUM(Arrests_RecordedCrime_Ethnicity5[[#This Row],[Black]:[Mixed]])</f>
        <v>2079</v>
      </c>
      <c r="G39" s="307">
        <v>4679</v>
      </c>
      <c r="H39" s="307">
        <f>SUM(Arrests_RecordedCrime_Ethnicity5[[#This Row],[White]:[Mixed]],Arrests_RecordedCrime_Ethnicity5[[#This Row],[Unknown]])</f>
        <v>7598</v>
      </c>
      <c r="I39" s="309" t="s">
        <v>119</v>
      </c>
      <c r="J39" s="281">
        <f t="shared" si="7"/>
        <v>0.28776978417266186</v>
      </c>
      <c r="K39" s="281">
        <f t="shared" si="4"/>
        <v>0.40972935936964716</v>
      </c>
      <c r="L39" s="281">
        <f t="shared" si="3"/>
        <v>0.14970880438506337</v>
      </c>
      <c r="M39" s="281">
        <f t="shared" si="11"/>
        <v>0.15279205207262761</v>
      </c>
      <c r="N39" s="310">
        <f t="shared" si="12"/>
        <v>0.71223021582733814</v>
      </c>
    </row>
    <row r="40" spans="1:14" x14ac:dyDescent="0.2">
      <c r="A40" s="311" t="s">
        <v>120</v>
      </c>
      <c r="B40" s="312">
        <f>SUM(B38:B39)</f>
        <v>862</v>
      </c>
      <c r="C40" s="312">
        <f t="shared" ref="C40:G40" si="13">SUM(C38:C39)</f>
        <v>1200</v>
      </c>
      <c r="D40" s="312">
        <f t="shared" si="13"/>
        <v>441</v>
      </c>
      <c r="E40" s="312">
        <f t="shared" si="13"/>
        <v>448</v>
      </c>
      <c r="F40" s="313">
        <f>SUM(Arrests_RecordedCrime_Ethnicity5[[#This Row],[Black]:[Mixed]])</f>
        <v>2089</v>
      </c>
      <c r="G40" s="314">
        <f t="shared" si="13"/>
        <v>4713</v>
      </c>
      <c r="H40" s="312">
        <f>SUM(Arrests_RecordedCrime_Ethnicity5[[#This Row],[White]:[Mixed]],Arrests_RecordedCrime_Ethnicity5[[#This Row],[Unknown]])</f>
        <v>7664</v>
      </c>
      <c r="I40" s="315" t="s">
        <v>120</v>
      </c>
      <c r="J40" s="284">
        <f t="shared" si="7"/>
        <v>0.29210437139952561</v>
      </c>
      <c r="K40" s="284">
        <f t="shared" si="4"/>
        <v>0.40664181633344632</v>
      </c>
      <c r="L40" s="284">
        <f t="shared" si="3"/>
        <v>0.14944086750254151</v>
      </c>
      <c r="M40" s="284">
        <f t="shared" si="11"/>
        <v>0.15181294476448662</v>
      </c>
      <c r="N40" s="316">
        <f t="shared" si="12"/>
        <v>0.70789562860047439</v>
      </c>
    </row>
    <row r="41" spans="1:14" x14ac:dyDescent="0.2">
      <c r="A41" s="162" t="s">
        <v>131</v>
      </c>
      <c r="B41" s="76">
        <v>1201</v>
      </c>
      <c r="C41" s="76">
        <v>69</v>
      </c>
      <c r="D41" s="76">
        <v>58</v>
      </c>
      <c r="E41" s="76">
        <v>109</v>
      </c>
      <c r="F41" s="83">
        <f>SUM(Arrests_RecordedCrime_Ethnicity5[[#This Row],[Black]:[Mixed]])</f>
        <v>236</v>
      </c>
      <c r="G41" s="76">
        <v>97</v>
      </c>
      <c r="H41" s="76">
        <f>SUM(Arrests_RecordedCrime_Ethnicity5[[#This Row],[White]:[Mixed]],Arrests_RecordedCrime_Ethnicity5[[#This Row],[Unknown]])</f>
        <v>1534</v>
      </c>
      <c r="I41" s="163" t="s">
        <v>131</v>
      </c>
      <c r="J41" s="51">
        <f t="shared" si="7"/>
        <v>0.83576896311760618</v>
      </c>
      <c r="K41" s="51">
        <f t="shared" si="4"/>
        <v>4.8016701461377868E-2</v>
      </c>
      <c r="L41" s="51">
        <f t="shared" si="3"/>
        <v>4.036186499652053E-2</v>
      </c>
      <c r="M41" s="51">
        <f t="shared" si="11"/>
        <v>7.5852470424495472E-2</v>
      </c>
      <c r="N41" s="92">
        <f t="shared" si="12"/>
        <v>0.16423103688239388</v>
      </c>
    </row>
    <row r="42" spans="1:14" x14ac:dyDescent="0.2">
      <c r="A42" s="86" t="s">
        <v>132</v>
      </c>
      <c r="B42" s="75">
        <v>1048</v>
      </c>
      <c r="C42" s="75">
        <v>68</v>
      </c>
      <c r="D42" s="75">
        <v>33</v>
      </c>
      <c r="E42" s="75">
        <v>66</v>
      </c>
      <c r="F42" s="84">
        <f>SUM(Arrests_RecordedCrime_Ethnicity5[[#This Row],[Black]:[Mixed]])</f>
        <v>167</v>
      </c>
      <c r="G42" s="75">
        <v>362</v>
      </c>
      <c r="H42" s="75">
        <f>SUM(Arrests_RecordedCrime_Ethnicity5[[#This Row],[White]:[Mixed]],Arrests_RecordedCrime_Ethnicity5[[#This Row],[Unknown]])</f>
        <v>1577</v>
      </c>
      <c r="I42" s="161" t="s">
        <v>132</v>
      </c>
      <c r="J42" s="69">
        <f t="shared" si="7"/>
        <v>0.86255144032921816</v>
      </c>
      <c r="K42" s="69">
        <f t="shared" si="4"/>
        <v>5.5967078189300412E-2</v>
      </c>
      <c r="L42" s="69">
        <f t="shared" si="3"/>
        <v>2.7160493827160494E-2</v>
      </c>
      <c r="M42" s="69">
        <f t="shared" si="11"/>
        <v>5.4320987654320987E-2</v>
      </c>
      <c r="N42" s="91">
        <f t="shared" si="12"/>
        <v>0.1374485596707819</v>
      </c>
    </row>
    <row r="43" spans="1:14" x14ac:dyDescent="0.2">
      <c r="A43" s="86" t="s">
        <v>133</v>
      </c>
      <c r="B43" s="75">
        <v>722</v>
      </c>
      <c r="C43" s="75">
        <v>70</v>
      </c>
      <c r="D43" s="75">
        <v>26</v>
      </c>
      <c r="E43" s="75">
        <v>63</v>
      </c>
      <c r="F43" s="84">
        <f>SUM(Arrests_RecordedCrime_Ethnicity5[[#This Row],[Black]:[Mixed]])</f>
        <v>159</v>
      </c>
      <c r="G43" s="75">
        <v>32</v>
      </c>
      <c r="H43" s="75">
        <f>SUM(Arrests_RecordedCrime_Ethnicity5[[#This Row],[White]:[Mixed]],Arrests_RecordedCrime_Ethnicity5[[#This Row],[Unknown]])</f>
        <v>913</v>
      </c>
      <c r="I43" s="161" t="s">
        <v>133</v>
      </c>
      <c r="J43" s="69">
        <f t="shared" si="7"/>
        <v>0.81952326901248584</v>
      </c>
      <c r="K43" s="69">
        <f t="shared" si="4"/>
        <v>7.9455164585698068E-2</v>
      </c>
      <c r="L43" s="69">
        <f t="shared" si="3"/>
        <v>2.9511918274687854E-2</v>
      </c>
      <c r="M43" s="69">
        <f t="shared" si="11"/>
        <v>7.1509648127128261E-2</v>
      </c>
      <c r="N43" s="91">
        <f t="shared" si="12"/>
        <v>0.18047673098751418</v>
      </c>
    </row>
    <row r="44" spans="1:14" x14ac:dyDescent="0.2">
      <c r="A44" s="86" t="s">
        <v>134</v>
      </c>
      <c r="B44" s="75">
        <v>1490</v>
      </c>
      <c r="C44" s="75">
        <v>83</v>
      </c>
      <c r="D44" s="75">
        <v>65</v>
      </c>
      <c r="E44" s="75">
        <v>76</v>
      </c>
      <c r="F44" s="84">
        <f>SUM(Arrests_RecordedCrime_Ethnicity5[[#This Row],[Black]:[Mixed]])</f>
        <v>224</v>
      </c>
      <c r="G44" s="75">
        <v>151</v>
      </c>
      <c r="H44" s="75">
        <f>SUM(Arrests_RecordedCrime_Ethnicity5[[#This Row],[White]:[Mixed]],Arrests_RecordedCrime_Ethnicity5[[#This Row],[Unknown]])</f>
        <v>1865</v>
      </c>
      <c r="I44" s="161" t="s">
        <v>134</v>
      </c>
      <c r="J44" s="69">
        <f t="shared" si="7"/>
        <v>0.86931155192532084</v>
      </c>
      <c r="K44" s="69">
        <f t="shared" si="4"/>
        <v>4.8424737456242706E-2</v>
      </c>
      <c r="L44" s="69">
        <f t="shared" si="3"/>
        <v>3.7922987164527425E-2</v>
      </c>
      <c r="M44" s="69">
        <f t="shared" si="11"/>
        <v>4.4340723453908985E-2</v>
      </c>
      <c r="N44" s="91">
        <f t="shared" si="12"/>
        <v>0.13068844807467911</v>
      </c>
    </row>
    <row r="45" spans="1:14" x14ac:dyDescent="0.2">
      <c r="A45" s="306" t="s">
        <v>135</v>
      </c>
      <c r="B45" s="307">
        <v>2397</v>
      </c>
      <c r="C45" s="307">
        <v>358</v>
      </c>
      <c r="D45" s="307">
        <v>249</v>
      </c>
      <c r="E45" s="307">
        <v>319</v>
      </c>
      <c r="F45" s="308">
        <f>SUM(Arrests_RecordedCrime_Ethnicity5[[#This Row],[Black]:[Mixed]])</f>
        <v>926</v>
      </c>
      <c r="G45" s="307">
        <v>443</v>
      </c>
      <c r="H45" s="307">
        <f>SUM(Arrests_RecordedCrime_Ethnicity5[[#This Row],[White]:[Mixed]],Arrests_RecordedCrime_Ethnicity5[[#This Row],[Unknown]])</f>
        <v>3766</v>
      </c>
      <c r="I45" s="309" t="s">
        <v>135</v>
      </c>
      <c r="J45" s="281">
        <f t="shared" si="7"/>
        <v>0.72133614204032503</v>
      </c>
      <c r="K45" s="281">
        <f t="shared" si="4"/>
        <v>0.10773397532350286</v>
      </c>
      <c r="L45" s="281">
        <f t="shared" si="3"/>
        <v>7.4932290099307852E-2</v>
      </c>
      <c r="M45" s="281">
        <f t="shared" si="11"/>
        <v>9.5997592536864282E-2</v>
      </c>
      <c r="N45" s="310">
        <f t="shared" si="12"/>
        <v>0.27866385795967497</v>
      </c>
    </row>
    <row r="46" spans="1:14" x14ac:dyDescent="0.2">
      <c r="A46" s="311" t="s">
        <v>136</v>
      </c>
      <c r="B46" s="312">
        <f>SUM(B41:B45)</f>
        <v>6858</v>
      </c>
      <c r="C46" s="312">
        <f t="shared" ref="C46:G46" si="14">SUM(C41:C45)</f>
        <v>648</v>
      </c>
      <c r="D46" s="312">
        <f t="shared" si="14"/>
        <v>431</v>
      </c>
      <c r="E46" s="312">
        <f t="shared" si="14"/>
        <v>633</v>
      </c>
      <c r="F46" s="313">
        <f>SUM(Arrests_RecordedCrime_Ethnicity5[[#This Row],[Black]:[Mixed]])</f>
        <v>1712</v>
      </c>
      <c r="G46" s="314">
        <f t="shared" si="14"/>
        <v>1085</v>
      </c>
      <c r="H46" s="312">
        <f>SUM(Arrests_RecordedCrime_Ethnicity5[[#This Row],[White]:[Mixed]],Arrests_RecordedCrime_Ethnicity5[[#This Row],[Unknown]])</f>
        <v>9655</v>
      </c>
      <c r="I46" s="315" t="s">
        <v>136</v>
      </c>
      <c r="J46" s="284">
        <f t="shared" si="7"/>
        <v>0.80023337222870483</v>
      </c>
      <c r="K46" s="284">
        <f t="shared" si="4"/>
        <v>7.5612602100350063E-2</v>
      </c>
      <c r="L46" s="284">
        <f t="shared" si="3"/>
        <v>5.0291715285880979E-2</v>
      </c>
      <c r="M46" s="284">
        <f t="shared" si="11"/>
        <v>7.3862310385064175E-2</v>
      </c>
      <c r="N46" s="316">
        <f t="shared" si="12"/>
        <v>0.19976662777129522</v>
      </c>
    </row>
    <row r="47" spans="1:14" x14ac:dyDescent="0.2">
      <c r="A47" s="162" t="s">
        <v>184</v>
      </c>
      <c r="B47" s="76">
        <v>816</v>
      </c>
      <c r="C47" s="76">
        <v>89</v>
      </c>
      <c r="D47" s="76">
        <v>31</v>
      </c>
      <c r="E47" s="76">
        <v>84</v>
      </c>
      <c r="F47" s="83">
        <f>SUM(Arrests_RecordedCrime_Ethnicity5[[#This Row],[Black]:[Mixed]])</f>
        <v>204</v>
      </c>
      <c r="G47" s="76">
        <v>93</v>
      </c>
      <c r="H47" s="76">
        <f>SUM(Arrests_RecordedCrime_Ethnicity5[[#This Row],[White]:[Mixed]],Arrests_RecordedCrime_Ethnicity5[[#This Row],[Unknown]])</f>
        <v>1113</v>
      </c>
      <c r="I47" s="163" t="s">
        <v>184</v>
      </c>
      <c r="J47" s="51">
        <f t="shared" si="7"/>
        <v>0.8</v>
      </c>
      <c r="K47" s="51">
        <f t="shared" si="4"/>
        <v>8.7254901960784309E-2</v>
      </c>
      <c r="L47" s="51">
        <f t="shared" si="3"/>
        <v>3.0392156862745098E-2</v>
      </c>
      <c r="M47" s="51">
        <f t="shared" si="11"/>
        <v>8.2352941176470587E-2</v>
      </c>
      <c r="N47" s="92">
        <f t="shared" si="12"/>
        <v>0.2</v>
      </c>
    </row>
    <row r="48" spans="1:14" x14ac:dyDescent="0.2">
      <c r="A48" s="86" t="s">
        <v>185</v>
      </c>
      <c r="B48" s="75">
        <v>906</v>
      </c>
      <c r="C48" s="75">
        <v>21</v>
      </c>
      <c r="D48" s="75">
        <v>12</v>
      </c>
      <c r="E48" s="75">
        <v>17</v>
      </c>
      <c r="F48" s="84">
        <f>SUM(Arrests_RecordedCrime_Ethnicity5[[#This Row],[Black]:[Mixed]])</f>
        <v>50</v>
      </c>
      <c r="G48" s="75">
        <v>58</v>
      </c>
      <c r="H48" s="75">
        <f>SUM(Arrests_RecordedCrime_Ethnicity5[[#This Row],[White]:[Mixed]],Arrests_RecordedCrime_Ethnicity5[[#This Row],[Unknown]])</f>
        <v>1014</v>
      </c>
      <c r="I48" s="161" t="s">
        <v>185</v>
      </c>
      <c r="J48" s="69">
        <f t="shared" si="7"/>
        <v>0.94769874476987448</v>
      </c>
      <c r="K48" s="69">
        <f t="shared" si="4"/>
        <v>2.1966527196652718E-2</v>
      </c>
      <c r="L48" s="69">
        <f t="shared" si="3"/>
        <v>1.2552301255230125E-2</v>
      </c>
      <c r="M48" s="69">
        <f t="shared" si="11"/>
        <v>1.7782426778242679E-2</v>
      </c>
      <c r="N48" s="91">
        <f t="shared" si="12"/>
        <v>5.2301255230125521E-2</v>
      </c>
    </row>
    <row r="49" spans="1:14" x14ac:dyDescent="0.2">
      <c r="A49" s="86" t="s">
        <v>139</v>
      </c>
      <c r="B49" s="75">
        <v>251</v>
      </c>
      <c r="C49" s="75">
        <v>3</v>
      </c>
      <c r="D49" s="75">
        <v>4</v>
      </c>
      <c r="E49" s="75">
        <v>18</v>
      </c>
      <c r="F49" s="84">
        <f>SUM(Arrests_RecordedCrime_Ethnicity5[[#This Row],[Black]:[Mixed]])</f>
        <v>25</v>
      </c>
      <c r="G49" s="75">
        <v>39</v>
      </c>
      <c r="H49" s="75">
        <f>SUM(Arrests_RecordedCrime_Ethnicity5[[#This Row],[White]:[Mixed]],Arrests_RecordedCrime_Ethnicity5[[#This Row],[Unknown]])</f>
        <v>315</v>
      </c>
      <c r="I49" s="161" t="s">
        <v>139</v>
      </c>
      <c r="J49" s="69">
        <f t="shared" si="7"/>
        <v>0.90942028985507251</v>
      </c>
      <c r="K49" s="69">
        <f t="shared" si="4"/>
        <v>1.0869565217391304E-2</v>
      </c>
      <c r="L49" s="69">
        <f t="shared" si="3"/>
        <v>1.4492753623188406E-2</v>
      </c>
      <c r="M49" s="69">
        <f t="shared" si="11"/>
        <v>6.5217391304347824E-2</v>
      </c>
      <c r="N49" s="91">
        <f t="shared" si="12"/>
        <v>9.0579710144927536E-2</v>
      </c>
    </row>
    <row r="50" spans="1:14" x14ac:dyDescent="0.2">
      <c r="A50" s="86" t="s">
        <v>140</v>
      </c>
      <c r="B50" s="75">
        <v>362</v>
      </c>
      <c r="C50" s="75">
        <v>42</v>
      </c>
      <c r="D50" s="75">
        <v>8</v>
      </c>
      <c r="E50" s="75">
        <v>18</v>
      </c>
      <c r="F50" s="84">
        <f>SUM(Arrests_RecordedCrime_Ethnicity5[[#This Row],[Black]:[Mixed]])</f>
        <v>68</v>
      </c>
      <c r="G50" s="75">
        <v>69</v>
      </c>
      <c r="H50" s="75">
        <f>SUM(Arrests_RecordedCrime_Ethnicity5[[#This Row],[White]:[Mixed]],Arrests_RecordedCrime_Ethnicity5[[#This Row],[Unknown]])</f>
        <v>499</v>
      </c>
      <c r="I50" s="161" t="s">
        <v>140</v>
      </c>
      <c r="J50" s="69">
        <f t="shared" si="7"/>
        <v>0.8418604651162791</v>
      </c>
      <c r="K50" s="69">
        <f t="shared" si="4"/>
        <v>9.7674418604651161E-2</v>
      </c>
      <c r="L50" s="69">
        <f t="shared" si="3"/>
        <v>1.8604651162790697E-2</v>
      </c>
      <c r="M50" s="69">
        <f t="shared" si="11"/>
        <v>4.1860465116279069E-2</v>
      </c>
      <c r="N50" s="91">
        <f t="shared" si="12"/>
        <v>0.15813953488372093</v>
      </c>
    </row>
    <row r="51" spans="1:14" x14ac:dyDescent="0.2">
      <c r="A51" s="306" t="s">
        <v>141</v>
      </c>
      <c r="B51" s="307">
        <v>489</v>
      </c>
      <c r="C51" s="307">
        <v>27</v>
      </c>
      <c r="D51" s="307">
        <v>15</v>
      </c>
      <c r="E51" s="307">
        <v>41</v>
      </c>
      <c r="F51" s="308">
        <f>SUM(Arrests_RecordedCrime_Ethnicity5[[#This Row],[Black]:[Mixed]])</f>
        <v>83</v>
      </c>
      <c r="G51" s="307">
        <v>20</v>
      </c>
      <c r="H51" s="307">
        <f>SUM(Arrests_RecordedCrime_Ethnicity5[[#This Row],[White]:[Mixed]],Arrests_RecordedCrime_Ethnicity5[[#This Row],[Unknown]])</f>
        <v>592</v>
      </c>
      <c r="I51" s="309" t="s">
        <v>141</v>
      </c>
      <c r="J51" s="281">
        <f t="shared" si="7"/>
        <v>0.8548951048951049</v>
      </c>
      <c r="K51" s="281">
        <f t="shared" si="4"/>
        <v>4.72027972027972E-2</v>
      </c>
      <c r="L51" s="281">
        <f t="shared" si="3"/>
        <v>2.6223776223776224E-2</v>
      </c>
      <c r="M51" s="281">
        <f t="shared" si="11"/>
        <v>7.167832167832168E-2</v>
      </c>
      <c r="N51" s="310">
        <f t="shared" si="12"/>
        <v>0.1451048951048951</v>
      </c>
    </row>
    <row r="52" spans="1:14" x14ac:dyDescent="0.2">
      <c r="A52" s="311" t="s">
        <v>142</v>
      </c>
      <c r="B52" s="312">
        <f>SUM(B47:B51)</f>
        <v>2824</v>
      </c>
      <c r="C52" s="312">
        <f t="shared" ref="C52:G52" si="15">SUM(C47:C51)</f>
        <v>182</v>
      </c>
      <c r="D52" s="312">
        <f t="shared" si="15"/>
        <v>70</v>
      </c>
      <c r="E52" s="312">
        <f t="shared" si="15"/>
        <v>178</v>
      </c>
      <c r="F52" s="313">
        <f>SUM(Arrests_RecordedCrime_Ethnicity5[[#This Row],[Black]:[Mixed]])</f>
        <v>430</v>
      </c>
      <c r="G52" s="314">
        <f t="shared" si="15"/>
        <v>279</v>
      </c>
      <c r="H52" s="312">
        <f>SUM(Arrests_RecordedCrime_Ethnicity5[[#This Row],[White]:[Mixed]],Arrests_RecordedCrime_Ethnicity5[[#This Row],[Unknown]])</f>
        <v>3533</v>
      </c>
      <c r="I52" s="315" t="s">
        <v>142</v>
      </c>
      <c r="J52" s="284">
        <f t="shared" si="7"/>
        <v>0.86785494775660721</v>
      </c>
      <c r="K52" s="284">
        <f t="shared" si="4"/>
        <v>5.5931161647203444E-2</v>
      </c>
      <c r="L52" s="284">
        <f t="shared" si="3"/>
        <v>2.1511985248924399E-2</v>
      </c>
      <c r="M52" s="284">
        <f t="shared" si="11"/>
        <v>5.4701905347264906E-2</v>
      </c>
      <c r="N52" s="316">
        <f t="shared" si="12"/>
        <v>0.13214505224339274</v>
      </c>
    </row>
    <row r="53" spans="1:14" x14ac:dyDescent="0.2">
      <c r="A53" s="167" t="s">
        <v>208</v>
      </c>
      <c r="B53" s="88">
        <f>SUM(B5:B7,B9:B13,B15:B18,B20:B24,B26:B29,B31:B36,B38:B39,B41:B45,B47:B51)</f>
        <v>35528</v>
      </c>
      <c r="C53" s="88">
        <f t="shared" ref="C53:E53" si="16">SUM(C5:C7,C9:C13,C15:C18,C20:C24,C26:C29,C31:C36,C38:C39,C41:C45,C47:C51)</f>
        <v>4776</v>
      </c>
      <c r="D53" s="88">
        <f t="shared" si="16"/>
        <v>3577</v>
      </c>
      <c r="E53" s="89">
        <f t="shared" si="16"/>
        <v>3313</v>
      </c>
      <c r="F53" s="90">
        <f>SUM(Arrests_RecordedCrime_Ethnicity5[[#This Row],[Black]:[Mixed]])</f>
        <v>11666</v>
      </c>
      <c r="G53" s="88">
        <f>SUM(G5:G7,G9:G13,G15:G18,G20:G24,G26:G29,G31:G36,G38:G39,G41:G45,G47:G51)</f>
        <v>8939</v>
      </c>
      <c r="H53" s="88">
        <f>SUM(Arrests_RecordedCrime_Ethnicity5[[#This Row],[White]:[Mixed]],Arrests_RecordedCrime_Ethnicity5[[#This Row],[Unknown]])</f>
        <v>56133</v>
      </c>
      <c r="I53" s="168" t="s">
        <v>208</v>
      </c>
      <c r="J53" s="85">
        <f t="shared" si="7"/>
        <v>0.75280756028308682</v>
      </c>
      <c r="K53" s="85">
        <f t="shared" si="4"/>
        <v>0.10119930499639784</v>
      </c>
      <c r="L53" s="85">
        <f t="shared" si="3"/>
        <v>7.5793533076238512E-2</v>
      </c>
      <c r="M53" s="85">
        <f t="shared" si="11"/>
        <v>7.0199601644276813E-2</v>
      </c>
      <c r="N53" s="93">
        <f t="shared" si="12"/>
        <v>0.24719243971691315</v>
      </c>
    </row>
    <row r="54" spans="1:14" x14ac:dyDescent="0.2">
      <c r="A54" s="162" t="s">
        <v>209</v>
      </c>
      <c r="B54" s="76">
        <v>338</v>
      </c>
      <c r="C54" s="76">
        <v>1</v>
      </c>
      <c r="D54" s="76">
        <v>1</v>
      </c>
      <c r="E54" s="76">
        <v>7</v>
      </c>
      <c r="F54" s="83">
        <f>SUM(Arrests_RecordedCrime_Ethnicity5[[#This Row],[Black]:[Mixed]])</f>
        <v>9</v>
      </c>
      <c r="G54" s="76">
        <v>22</v>
      </c>
      <c r="H54" s="76">
        <f>SUM(Arrests_RecordedCrime_Ethnicity5[[#This Row],[White]:[Mixed]],Arrests_RecordedCrime_Ethnicity5[[#This Row],[Unknown]])</f>
        <v>369</v>
      </c>
      <c r="I54" s="163" t="s">
        <v>209</v>
      </c>
      <c r="J54" s="51">
        <f t="shared" si="7"/>
        <v>0.97406340057636887</v>
      </c>
      <c r="K54" s="51">
        <f t="shared" si="4"/>
        <v>2.881844380403458E-3</v>
      </c>
      <c r="L54" s="51">
        <f t="shared" si="3"/>
        <v>2.881844380403458E-3</v>
      </c>
      <c r="M54" s="51">
        <f t="shared" si="11"/>
        <v>2.0172910662824207E-2</v>
      </c>
      <c r="N54" s="92">
        <f t="shared" si="12"/>
        <v>2.5936599423631124E-2</v>
      </c>
    </row>
    <row r="55" spans="1:14" x14ac:dyDescent="0.2">
      <c r="A55" s="86" t="s">
        <v>144</v>
      </c>
      <c r="B55" s="75">
        <v>420</v>
      </c>
      <c r="C55" s="75">
        <v>15</v>
      </c>
      <c r="D55" s="75">
        <v>25</v>
      </c>
      <c r="E55" s="75">
        <v>12</v>
      </c>
      <c r="F55" s="84">
        <f>SUM(Arrests_RecordedCrime_Ethnicity5[[#This Row],[Black]:[Mixed]])</f>
        <v>52</v>
      </c>
      <c r="G55" s="75">
        <v>13</v>
      </c>
      <c r="H55" s="75">
        <f>SUM(Arrests_RecordedCrime_Ethnicity5[[#This Row],[White]:[Mixed]],Arrests_RecordedCrime_Ethnicity5[[#This Row],[Unknown]])</f>
        <v>485</v>
      </c>
      <c r="I55" s="161" t="s">
        <v>144</v>
      </c>
      <c r="J55" s="69">
        <f t="shared" si="7"/>
        <v>0.88983050847457623</v>
      </c>
      <c r="K55" s="69">
        <f t="shared" si="4"/>
        <v>3.1779661016949151E-2</v>
      </c>
      <c r="L55" s="69">
        <f t="shared" si="3"/>
        <v>5.2966101694915252E-2</v>
      </c>
      <c r="M55" s="69">
        <f t="shared" si="11"/>
        <v>2.5423728813559324E-2</v>
      </c>
      <c r="N55" s="91">
        <f t="shared" si="12"/>
        <v>0.11016949152542373</v>
      </c>
    </row>
    <row r="56" spans="1:14" x14ac:dyDescent="0.2">
      <c r="A56" s="86" t="s">
        <v>145</v>
      </c>
      <c r="B56" s="75">
        <v>565</v>
      </c>
      <c r="C56" s="75">
        <v>11</v>
      </c>
      <c r="D56" s="75">
        <v>10</v>
      </c>
      <c r="E56" s="75">
        <v>5</v>
      </c>
      <c r="F56" s="84">
        <f>SUM(Arrests_RecordedCrime_Ethnicity5[[#This Row],[Black]:[Mixed]])</f>
        <v>26</v>
      </c>
      <c r="G56" s="75">
        <v>6</v>
      </c>
      <c r="H56" s="75">
        <f>SUM(Arrests_RecordedCrime_Ethnicity5[[#This Row],[White]:[Mixed]],Arrests_RecordedCrime_Ethnicity5[[#This Row],[Unknown]])</f>
        <v>597</v>
      </c>
      <c r="I56" s="161" t="s">
        <v>145</v>
      </c>
      <c r="J56" s="69">
        <f t="shared" si="7"/>
        <v>0.95600676818950936</v>
      </c>
      <c r="K56" s="69">
        <f t="shared" si="4"/>
        <v>1.8612521150592216E-2</v>
      </c>
      <c r="L56" s="69">
        <f t="shared" si="3"/>
        <v>1.6920473773265651E-2</v>
      </c>
      <c r="M56" s="69">
        <f t="shared" si="11"/>
        <v>8.4602368866328256E-3</v>
      </c>
      <c r="N56" s="91">
        <f t="shared" si="12"/>
        <v>4.3993231810490696E-2</v>
      </c>
    </row>
    <row r="57" spans="1:14" x14ac:dyDescent="0.2">
      <c r="A57" s="306" t="s">
        <v>146</v>
      </c>
      <c r="B57" s="307">
        <v>984</v>
      </c>
      <c r="C57" s="307">
        <v>28</v>
      </c>
      <c r="D57" s="307">
        <v>41</v>
      </c>
      <c r="E57" s="307">
        <v>37</v>
      </c>
      <c r="F57" s="308">
        <f>SUM(Arrests_RecordedCrime_Ethnicity5[[#This Row],[Black]:[Mixed]])</f>
        <v>106</v>
      </c>
      <c r="G57" s="307">
        <v>225</v>
      </c>
      <c r="H57" s="307">
        <f>SUM(Arrests_RecordedCrime_Ethnicity5[[#This Row],[White]:[Mixed]],Arrests_RecordedCrime_Ethnicity5[[#This Row],[Unknown]])</f>
        <v>1315</v>
      </c>
      <c r="I57" s="309" t="s">
        <v>146</v>
      </c>
      <c r="J57" s="281">
        <f t="shared" si="7"/>
        <v>0.9027522935779817</v>
      </c>
      <c r="K57" s="281">
        <f t="shared" si="4"/>
        <v>2.5688073394495414E-2</v>
      </c>
      <c r="L57" s="281">
        <f t="shared" si="3"/>
        <v>3.7614678899082571E-2</v>
      </c>
      <c r="M57" s="281">
        <f t="shared" si="11"/>
        <v>3.3944954128440369E-2</v>
      </c>
      <c r="N57" s="310">
        <f t="shared" si="12"/>
        <v>9.7247706422018354E-2</v>
      </c>
    </row>
    <row r="58" spans="1:14" x14ac:dyDescent="0.2">
      <c r="A58" s="311" t="s">
        <v>210</v>
      </c>
      <c r="B58" s="312">
        <f>SUM(B54:B57)</f>
        <v>2307</v>
      </c>
      <c r="C58" s="312">
        <f t="shared" ref="C58:G58" si="17">SUM(C54:C57)</f>
        <v>55</v>
      </c>
      <c r="D58" s="312">
        <f t="shared" si="17"/>
        <v>77</v>
      </c>
      <c r="E58" s="312">
        <f t="shared" si="17"/>
        <v>61</v>
      </c>
      <c r="F58" s="313">
        <f>SUM(Arrests_RecordedCrime_Ethnicity5[[#This Row],[Black]:[Mixed]])</f>
        <v>193</v>
      </c>
      <c r="G58" s="314">
        <f t="shared" si="17"/>
        <v>266</v>
      </c>
      <c r="H58" s="312">
        <f>SUM(Arrests_RecordedCrime_Ethnicity5[[#This Row],[White]:[Mixed]],Arrests_RecordedCrime_Ethnicity5[[#This Row],[Unknown]])</f>
        <v>2766</v>
      </c>
      <c r="I58" s="315" t="s">
        <v>210</v>
      </c>
      <c r="J58" s="284">
        <f t="shared" si="7"/>
        <v>0.92279999999999995</v>
      </c>
      <c r="K58" s="284">
        <f t="shared" si="4"/>
        <v>2.1999999999999999E-2</v>
      </c>
      <c r="L58" s="284">
        <f t="shared" si="3"/>
        <v>3.0800000000000001E-2</v>
      </c>
      <c r="M58" s="284">
        <f t="shared" si="11"/>
        <v>2.4400000000000002E-2</v>
      </c>
      <c r="N58" s="316">
        <f t="shared" si="12"/>
        <v>7.7200000000000005E-2</v>
      </c>
    </row>
    <row r="59" spans="1:14" x14ac:dyDescent="0.2">
      <c r="A59" s="169" t="s">
        <v>102</v>
      </c>
      <c r="B59" s="77">
        <f>SUM(B53:B57)</f>
        <v>37835</v>
      </c>
      <c r="C59" s="77">
        <f t="shared" ref="C59:E59" si="18">SUM(C53:C57)</f>
        <v>4831</v>
      </c>
      <c r="D59" s="77">
        <f t="shared" si="18"/>
        <v>3654</v>
      </c>
      <c r="E59" s="77">
        <f t="shared" si="18"/>
        <v>3374</v>
      </c>
      <c r="F59" s="100">
        <f>SUM(Arrests_RecordedCrime_Ethnicity5[[#This Row],[Black]:[Mixed]])</f>
        <v>11859</v>
      </c>
      <c r="G59" s="101">
        <f>SUM(G53:G57)</f>
        <v>9205</v>
      </c>
      <c r="H59" s="77">
        <f>SUM(Arrests_RecordedCrime_Ethnicity5[[#This Row],[White]:[Mixed]],Arrests_RecordedCrime_Ethnicity5[[#This Row],[Unknown]])</f>
        <v>58899</v>
      </c>
      <c r="I59" s="168" t="s">
        <v>102</v>
      </c>
      <c r="J59" s="85">
        <f t="shared" si="7"/>
        <v>0.76135952026401577</v>
      </c>
      <c r="K59" s="85">
        <f t="shared" si="4"/>
        <v>9.7214955527830327E-2</v>
      </c>
      <c r="L59" s="85">
        <f t="shared" si="3"/>
        <v>7.3530003622167661E-2</v>
      </c>
      <c r="M59" s="85">
        <f t="shared" si="11"/>
        <v>6.7895520585986233E-2</v>
      </c>
      <c r="N59" s="93">
        <f t="shared" si="12"/>
        <v>0.23864047973598423</v>
      </c>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Q25"/>
  <sheetViews>
    <sheetView zoomScaleNormal="100" workbookViewId="0"/>
  </sheetViews>
  <sheetFormatPr defaultColWidth="7.33203125" defaultRowHeight="14.25" x14ac:dyDescent="0.2"/>
  <cols>
    <col min="1" max="2" width="17.33203125" style="104" customWidth="1"/>
    <col min="3" max="3" width="50.33203125" style="104" bestFit="1" customWidth="1"/>
    <col min="4" max="14" width="6.6640625" style="104" customWidth="1"/>
    <col min="15" max="17" width="11.6640625" style="104" customWidth="1"/>
    <col min="18" max="16384" width="7.33203125" style="104"/>
  </cols>
  <sheetData>
    <row r="1" spans="1:17" ht="15.75" x14ac:dyDescent="0.2">
      <c r="A1" s="29" t="s">
        <v>280</v>
      </c>
      <c r="B1" s="29"/>
    </row>
    <row r="2" spans="1:17" ht="15" x14ac:dyDescent="0.2">
      <c r="A2" s="103" t="s">
        <v>56</v>
      </c>
      <c r="B2" s="103"/>
    </row>
    <row r="3" spans="1:17" ht="15" x14ac:dyDescent="0.2">
      <c r="A3" s="10" t="s">
        <v>211</v>
      </c>
      <c r="B3" s="105"/>
    </row>
    <row r="4" spans="1:17" ht="15" x14ac:dyDescent="0.2">
      <c r="A4" s="10" t="s">
        <v>212</v>
      </c>
      <c r="B4" s="10"/>
    </row>
    <row r="5" spans="1:17" ht="51" x14ac:dyDescent="0.2">
      <c r="A5" s="107" t="s">
        <v>57</v>
      </c>
      <c r="B5" s="107" t="s">
        <v>302</v>
      </c>
      <c r="C5" s="107" t="s">
        <v>303</v>
      </c>
      <c r="D5" s="108" t="s">
        <v>160</v>
      </c>
      <c r="E5" s="108" t="s">
        <v>161</v>
      </c>
      <c r="F5" s="108" t="s">
        <v>162</v>
      </c>
      <c r="G5" s="108" t="s">
        <v>163</v>
      </c>
      <c r="H5" s="108" t="s">
        <v>164</v>
      </c>
      <c r="I5" s="108" t="s">
        <v>165</v>
      </c>
      <c r="J5" s="108" t="s">
        <v>166</v>
      </c>
      <c r="K5" s="108" t="s">
        <v>167</v>
      </c>
      <c r="L5" s="108" t="s">
        <v>168</v>
      </c>
      <c r="M5" s="108" t="s">
        <v>169</v>
      </c>
      <c r="N5" s="108" t="s">
        <v>248</v>
      </c>
      <c r="O5" s="109" t="s">
        <v>260</v>
      </c>
      <c r="P5" s="109" t="s">
        <v>261</v>
      </c>
      <c r="Q5" s="109" t="s">
        <v>259</v>
      </c>
    </row>
    <row r="6" spans="1:17" x14ac:dyDescent="0.2">
      <c r="A6" s="110" t="s">
        <v>59</v>
      </c>
      <c r="B6" s="110" t="s">
        <v>213</v>
      </c>
      <c r="C6" s="4" t="s">
        <v>214</v>
      </c>
      <c r="D6" s="111" t="s">
        <v>215</v>
      </c>
      <c r="E6" s="111" t="s">
        <v>215</v>
      </c>
      <c r="F6" s="111" t="s">
        <v>215</v>
      </c>
      <c r="G6" s="111" t="s">
        <v>215</v>
      </c>
      <c r="H6" s="111" t="s">
        <v>215</v>
      </c>
      <c r="I6" s="111" t="s">
        <v>215</v>
      </c>
      <c r="J6" s="111">
        <v>2784</v>
      </c>
      <c r="K6" s="111">
        <v>2112</v>
      </c>
      <c r="L6" s="111">
        <v>1684</v>
      </c>
      <c r="M6" s="111">
        <v>1775</v>
      </c>
      <c r="N6" s="111">
        <v>1383</v>
      </c>
      <c r="O6" s="112" t="str">
        <f>IFERROR(YouthCaution_Type_OffenceType[[#This Row],[2024]]/YouthCaution_Type_OffenceType[[#This Row],[2014]]-1,"..")</f>
        <v>..</v>
      </c>
      <c r="P6" s="112" t="str">
        <f>IFERROR(YouthCaution_Type_OffenceType[[#This Row],[2024]]/YouthCaution_Type_OffenceType[[#This Row],[2019]]-1,"..")</f>
        <v>..</v>
      </c>
      <c r="Q6" s="113">
        <f>IFERROR(YouthCaution_Type_OffenceType[[#This Row],[2024]]/YouthCaution_Type_OffenceType[[#This Row],[2023]]-1,"..")</f>
        <v>-0.22084507042253521</v>
      </c>
    </row>
    <row r="7" spans="1:17" x14ac:dyDescent="0.2">
      <c r="A7" s="110" t="s">
        <v>59</v>
      </c>
      <c r="B7" s="110" t="s">
        <v>213</v>
      </c>
      <c r="C7" s="4" t="s">
        <v>216</v>
      </c>
      <c r="D7" s="111" t="s">
        <v>215</v>
      </c>
      <c r="E7" s="111" t="s">
        <v>215</v>
      </c>
      <c r="F7" s="111" t="s">
        <v>215</v>
      </c>
      <c r="G7" s="111" t="s">
        <v>215</v>
      </c>
      <c r="H7" s="111" t="s">
        <v>215</v>
      </c>
      <c r="I7" s="111" t="s">
        <v>215</v>
      </c>
      <c r="J7" s="111">
        <v>2731</v>
      </c>
      <c r="K7" s="111">
        <v>2429</v>
      </c>
      <c r="L7" s="111">
        <v>2214</v>
      </c>
      <c r="M7" s="111">
        <v>1956</v>
      </c>
      <c r="N7" s="111">
        <v>1801</v>
      </c>
      <c r="O7" s="112" t="str">
        <f>IFERROR(YouthCaution_Type_OffenceType[[#This Row],[2024]]/YouthCaution_Type_OffenceType[[#This Row],[2014]]-1,"..")</f>
        <v>..</v>
      </c>
      <c r="P7" s="112" t="str">
        <f>IFERROR(YouthCaution_Type_OffenceType[[#This Row],[2024]]/YouthCaution_Type_OffenceType[[#This Row],[2019]]-1,"..")</f>
        <v>..</v>
      </c>
      <c r="Q7" s="113">
        <f>IFERROR(YouthCaution_Type_OffenceType[[#This Row],[2024]]/YouthCaution_Type_OffenceType[[#This Row],[2023]]-1,"..")</f>
        <v>-7.9243353783231107E-2</v>
      </c>
    </row>
    <row r="8" spans="1:17" x14ac:dyDescent="0.2">
      <c r="A8" s="114" t="s">
        <v>217</v>
      </c>
      <c r="B8" s="114" t="s">
        <v>213</v>
      </c>
      <c r="C8" s="115" t="s">
        <v>218</v>
      </c>
      <c r="D8" s="116">
        <v>16144</v>
      </c>
      <c r="E8" s="116">
        <v>12647</v>
      </c>
      <c r="F8" s="116">
        <v>9790</v>
      </c>
      <c r="G8" s="116">
        <v>7984</v>
      </c>
      <c r="H8" s="116">
        <v>6735</v>
      </c>
      <c r="I8" s="116">
        <v>5346</v>
      </c>
      <c r="J8" s="116">
        <v>5515</v>
      </c>
      <c r="K8" s="116">
        <v>4541</v>
      </c>
      <c r="L8" s="116">
        <v>3898</v>
      </c>
      <c r="M8" s="116">
        <v>3731</v>
      </c>
      <c r="N8" s="116">
        <v>3184</v>
      </c>
      <c r="O8" s="117">
        <f>IFERROR(YouthCaution_Type_OffenceType[[#This Row],[2024]]/YouthCaution_Type_OffenceType[[#This Row],[2014]]-1,"..")</f>
        <v>-0.80277502477700691</v>
      </c>
      <c r="P8" s="117">
        <f>IFERROR(YouthCaution_Type_OffenceType[[#This Row],[2024]]/YouthCaution_Type_OffenceType[[#This Row],[2019]]-1,"..")</f>
        <v>-0.40441451552562668</v>
      </c>
      <c r="Q8" s="117">
        <f>IFERROR(YouthCaution_Type_OffenceType[[#This Row],[2024]]/YouthCaution_Type_OffenceType[[#This Row],[2023]]-1,"..")</f>
        <v>-0.14660948807290275</v>
      </c>
    </row>
    <row r="9" spans="1:17" x14ac:dyDescent="0.2">
      <c r="A9" s="110" t="s">
        <v>59</v>
      </c>
      <c r="B9" s="110" t="s">
        <v>219</v>
      </c>
      <c r="C9" s="4" t="s">
        <v>214</v>
      </c>
      <c r="D9" s="111" t="s">
        <v>215</v>
      </c>
      <c r="E9" s="111" t="s">
        <v>215</v>
      </c>
      <c r="F9" s="111" t="s">
        <v>215</v>
      </c>
      <c r="G9" s="111" t="s">
        <v>215</v>
      </c>
      <c r="H9" s="111" t="s">
        <v>215</v>
      </c>
      <c r="I9" s="111" t="s">
        <v>215</v>
      </c>
      <c r="J9" s="111">
        <v>1550</v>
      </c>
      <c r="K9" s="111">
        <v>1053</v>
      </c>
      <c r="L9" s="111">
        <v>784</v>
      </c>
      <c r="M9" s="111">
        <v>771</v>
      </c>
      <c r="N9" s="111">
        <v>649</v>
      </c>
      <c r="O9" s="112" t="str">
        <f>IFERROR(YouthCaution_Type_OffenceType[[#This Row],[2024]]/YouthCaution_Type_OffenceType[[#This Row],[2014]]-1,"..")</f>
        <v>..</v>
      </c>
      <c r="P9" s="112" t="str">
        <f>IFERROR(YouthCaution_Type_OffenceType[[#This Row],[2024]]/YouthCaution_Type_OffenceType[[#This Row],[2019]]-1,"..")</f>
        <v>..</v>
      </c>
      <c r="Q9" s="113">
        <f>IFERROR(YouthCaution_Type_OffenceType[[#This Row],[2024]]/YouthCaution_Type_OffenceType[[#This Row],[2023]]-1,"..")</f>
        <v>-0.15823605706874189</v>
      </c>
    </row>
    <row r="10" spans="1:17" x14ac:dyDescent="0.2">
      <c r="A10" s="110" t="s">
        <v>59</v>
      </c>
      <c r="B10" s="110" t="s">
        <v>219</v>
      </c>
      <c r="C10" s="4" t="s">
        <v>216</v>
      </c>
      <c r="D10" s="111" t="s">
        <v>215</v>
      </c>
      <c r="E10" s="111" t="s">
        <v>215</v>
      </c>
      <c r="F10" s="111" t="s">
        <v>215</v>
      </c>
      <c r="G10" s="111" t="s">
        <v>215</v>
      </c>
      <c r="H10" s="111" t="s">
        <v>215</v>
      </c>
      <c r="I10" s="111" t="s">
        <v>215</v>
      </c>
      <c r="J10" s="111">
        <v>701</v>
      </c>
      <c r="K10" s="111">
        <v>547</v>
      </c>
      <c r="L10" s="111">
        <v>538</v>
      </c>
      <c r="M10" s="111">
        <v>511</v>
      </c>
      <c r="N10" s="111">
        <v>484</v>
      </c>
      <c r="O10" s="112" t="str">
        <f>IFERROR(YouthCaution_Type_OffenceType[[#This Row],[2024]]/YouthCaution_Type_OffenceType[[#This Row],[2014]]-1,"..")</f>
        <v>..</v>
      </c>
      <c r="P10" s="112" t="str">
        <f>IFERROR(YouthCaution_Type_OffenceType[[#This Row],[2024]]/YouthCaution_Type_OffenceType[[#This Row],[2019]]-1,"..")</f>
        <v>..</v>
      </c>
      <c r="Q10" s="113">
        <f>IFERROR(YouthCaution_Type_OffenceType[[#This Row],[2024]]/YouthCaution_Type_OffenceType[[#This Row],[2023]]-1,"..")</f>
        <v>-5.2837573385518644E-2</v>
      </c>
    </row>
    <row r="11" spans="1:17" x14ac:dyDescent="0.2">
      <c r="A11" s="114" t="s">
        <v>217</v>
      </c>
      <c r="B11" s="114" t="s">
        <v>219</v>
      </c>
      <c r="C11" s="115" t="s">
        <v>218</v>
      </c>
      <c r="D11" s="116">
        <v>10555</v>
      </c>
      <c r="E11" s="116">
        <v>8774</v>
      </c>
      <c r="F11" s="116">
        <v>6819</v>
      </c>
      <c r="G11" s="116">
        <v>5410</v>
      </c>
      <c r="H11" s="116">
        <v>4148</v>
      </c>
      <c r="I11" s="116">
        <v>3194</v>
      </c>
      <c r="J11" s="116">
        <v>2251</v>
      </c>
      <c r="K11" s="116">
        <v>1600</v>
      </c>
      <c r="L11" s="116">
        <v>1322</v>
      </c>
      <c r="M11" s="116">
        <v>1282</v>
      </c>
      <c r="N11" s="116">
        <v>1133</v>
      </c>
      <c r="O11" s="117">
        <f>IFERROR(YouthCaution_Type_OffenceType[[#This Row],[2024]]/YouthCaution_Type_OffenceType[[#This Row],[2014]]-1,"..")</f>
        <v>-0.89265750828990997</v>
      </c>
      <c r="P11" s="117">
        <f>IFERROR(YouthCaution_Type_OffenceType[[#This Row],[2024]]/YouthCaution_Type_OffenceType[[#This Row],[2019]]-1,"..")</f>
        <v>-0.64527238572323098</v>
      </c>
      <c r="Q11" s="117">
        <f>IFERROR(YouthCaution_Type_OffenceType[[#This Row],[2024]]/YouthCaution_Type_OffenceType[[#This Row],[2023]]-1,"..")</f>
        <v>-0.11622464898595941</v>
      </c>
    </row>
    <row r="12" spans="1:17" x14ac:dyDescent="0.2">
      <c r="A12" s="118" t="s">
        <v>59</v>
      </c>
      <c r="B12" s="118" t="s">
        <v>220</v>
      </c>
      <c r="C12" s="4" t="s">
        <v>214</v>
      </c>
      <c r="D12" s="111" t="s">
        <v>215</v>
      </c>
      <c r="E12" s="111" t="s">
        <v>215</v>
      </c>
      <c r="F12" s="111" t="s">
        <v>215</v>
      </c>
      <c r="G12" s="111" t="s">
        <v>215</v>
      </c>
      <c r="H12" s="111" t="s">
        <v>215</v>
      </c>
      <c r="I12" s="111" t="s">
        <v>215</v>
      </c>
      <c r="J12" s="111">
        <v>4334</v>
      </c>
      <c r="K12" s="111">
        <v>3165</v>
      </c>
      <c r="L12" s="111">
        <v>2468</v>
      </c>
      <c r="M12" s="111">
        <v>2547</v>
      </c>
      <c r="N12" s="111">
        <v>2032</v>
      </c>
      <c r="O12" s="112" t="str">
        <f>IFERROR(YouthCaution_Type_OffenceType[[#This Row],[2024]]/YouthCaution_Type_OffenceType[[#This Row],[2014]]-1,"..")</f>
        <v>..</v>
      </c>
      <c r="P12" s="112" t="str">
        <f>IFERROR(YouthCaution_Type_OffenceType[[#This Row],[2024]]/YouthCaution_Type_OffenceType[[#This Row],[2019]]-1,"..")</f>
        <v>..</v>
      </c>
      <c r="Q12" s="113">
        <f>IFERROR(YouthCaution_Type_OffenceType[[#This Row],[2024]]/YouthCaution_Type_OffenceType[[#This Row],[2023]]-1,"..")</f>
        <v>-0.20219866509619155</v>
      </c>
    </row>
    <row r="13" spans="1:17" x14ac:dyDescent="0.2">
      <c r="A13" s="118" t="s">
        <v>59</v>
      </c>
      <c r="B13" s="118" t="s">
        <v>220</v>
      </c>
      <c r="C13" s="4" t="s">
        <v>216</v>
      </c>
      <c r="D13" s="111" t="s">
        <v>215</v>
      </c>
      <c r="E13" s="111" t="s">
        <v>215</v>
      </c>
      <c r="F13" s="111" t="s">
        <v>215</v>
      </c>
      <c r="G13" s="111" t="s">
        <v>215</v>
      </c>
      <c r="H13" s="111" t="s">
        <v>215</v>
      </c>
      <c r="I13" s="111" t="s">
        <v>215</v>
      </c>
      <c r="J13" s="111">
        <v>3432</v>
      </c>
      <c r="K13" s="111">
        <v>2976</v>
      </c>
      <c r="L13" s="111">
        <v>2752</v>
      </c>
      <c r="M13" s="111">
        <v>2467</v>
      </c>
      <c r="N13" s="111">
        <v>2285</v>
      </c>
      <c r="O13" s="112" t="str">
        <f>IFERROR(YouthCaution_Type_OffenceType[[#This Row],[2024]]/YouthCaution_Type_OffenceType[[#This Row],[2014]]-1,"..")</f>
        <v>..</v>
      </c>
      <c r="P13" s="112" t="str">
        <f>IFERROR(YouthCaution_Type_OffenceType[[#This Row],[2024]]/YouthCaution_Type_OffenceType[[#This Row],[2019]]-1,"..")</f>
        <v>..</v>
      </c>
      <c r="Q13" s="113">
        <f>IFERROR(YouthCaution_Type_OffenceType[[#This Row],[2024]]/YouthCaution_Type_OffenceType[[#This Row],[2023]]-1,"..")</f>
        <v>-7.3773814349412214E-2</v>
      </c>
    </row>
    <row r="14" spans="1:17" x14ac:dyDescent="0.2">
      <c r="A14" s="239" t="s">
        <v>59</v>
      </c>
      <c r="B14" s="239" t="s">
        <v>220</v>
      </c>
      <c r="C14" s="270" t="s">
        <v>274</v>
      </c>
      <c r="D14" s="317" t="s">
        <v>215</v>
      </c>
      <c r="E14" s="317" t="s">
        <v>215</v>
      </c>
      <c r="F14" s="317" t="s">
        <v>215</v>
      </c>
      <c r="G14" s="317" t="s">
        <v>215</v>
      </c>
      <c r="H14" s="317" t="s">
        <v>215</v>
      </c>
      <c r="I14" s="317" t="s">
        <v>215</v>
      </c>
      <c r="J14" s="317">
        <v>0</v>
      </c>
      <c r="K14" s="317">
        <v>0</v>
      </c>
      <c r="L14" s="317">
        <v>0</v>
      </c>
      <c r="M14" s="317">
        <v>1</v>
      </c>
      <c r="N14" s="317">
        <v>0</v>
      </c>
      <c r="O14" s="318" t="str">
        <f>IFERROR(YouthCaution_Type_OffenceType[[#This Row],[2024]]/YouthCaution_Type_OffenceType[[#This Row],[2014]]-1,"..")</f>
        <v>..</v>
      </c>
      <c r="P14" s="318" t="str">
        <f>IFERROR(YouthCaution_Type_OffenceType[[#This Row],[2024]]/YouthCaution_Type_OffenceType[[#This Row],[2019]]-1,"..")</f>
        <v>..</v>
      </c>
      <c r="Q14" s="319" t="s">
        <v>49</v>
      </c>
    </row>
    <row r="15" spans="1:17" x14ac:dyDescent="0.2">
      <c r="A15" s="320" t="s">
        <v>217</v>
      </c>
      <c r="B15" s="321" t="s">
        <v>220</v>
      </c>
      <c r="C15" s="271" t="s">
        <v>218</v>
      </c>
      <c r="D15" s="322">
        <v>26700</v>
      </c>
      <c r="E15" s="322">
        <v>21422</v>
      </c>
      <c r="F15" s="322">
        <v>16611</v>
      </c>
      <c r="G15" s="322">
        <v>13397</v>
      </c>
      <c r="H15" s="322">
        <v>10883</v>
      </c>
      <c r="I15" s="322">
        <v>8542</v>
      </c>
      <c r="J15" s="322">
        <v>7766</v>
      </c>
      <c r="K15" s="322">
        <v>6141</v>
      </c>
      <c r="L15" s="322">
        <v>5220</v>
      </c>
      <c r="M15" s="322">
        <v>5014</v>
      </c>
      <c r="N15" s="322">
        <v>4317</v>
      </c>
      <c r="O15" s="323">
        <f>IFERROR(YouthCaution_Type_OffenceType[[#This Row],[2024]]/YouthCaution_Type_OffenceType[[#This Row],[2014]]-1,"..")</f>
        <v>-0.83831460674157299</v>
      </c>
      <c r="P15" s="323">
        <f>IFERROR(YouthCaution_Type_OffenceType[[#This Row],[2024]]/YouthCaution_Type_OffenceType[[#This Row],[2019]]-1,"..")</f>
        <v>-0.49461484429875913</v>
      </c>
      <c r="Q15" s="323">
        <f>IFERROR(YouthCaution_Type_OffenceType[[#This Row],[2024]]/YouthCaution_Type_OffenceType[[#This Row],[2023]]-1,"..")</f>
        <v>-0.13901076984443561</v>
      </c>
    </row>
    <row r="16" spans="1:17" x14ac:dyDescent="0.2">
      <c r="A16" s="150" t="s">
        <v>63</v>
      </c>
      <c r="B16" s="150" t="s">
        <v>213</v>
      </c>
      <c r="C16" s="151" t="s">
        <v>270</v>
      </c>
      <c r="D16" s="152" t="str">
        <f t="shared" ref="D16:N16" si="0">IFERROR(D6/D$8,"[x]")</f>
        <v>[x]</v>
      </c>
      <c r="E16" s="152" t="str">
        <f t="shared" si="0"/>
        <v>[x]</v>
      </c>
      <c r="F16" s="152" t="str">
        <f t="shared" si="0"/>
        <v>[x]</v>
      </c>
      <c r="G16" s="152" t="str">
        <f t="shared" si="0"/>
        <v>[x]</v>
      </c>
      <c r="H16" s="152" t="str">
        <f t="shared" si="0"/>
        <v>[x]</v>
      </c>
      <c r="I16" s="152" t="str">
        <f t="shared" si="0"/>
        <v>[x]</v>
      </c>
      <c r="J16" s="153">
        <f t="shared" si="0"/>
        <v>0.50480507706255662</v>
      </c>
      <c r="K16" s="153">
        <f t="shared" si="0"/>
        <v>0.46509579387800043</v>
      </c>
      <c r="L16" s="153">
        <f t="shared" si="0"/>
        <v>0.43201641867624424</v>
      </c>
      <c r="M16" s="153">
        <f t="shared" si="0"/>
        <v>0.47574376842669525</v>
      </c>
      <c r="N16" s="153">
        <f t="shared" si="0"/>
        <v>0.43435929648241206</v>
      </c>
      <c r="O16" s="152" t="str">
        <f>IFERROR(100*(YouthCaution_Type_OffenceType[[#This Row],[2024]]-YouthCaution_Type_OffenceType[[#This Row],[2014]]),"..")</f>
        <v>..</v>
      </c>
      <c r="P16" s="152" t="str">
        <f>IFERROR(100*(YouthCaution_Type_OffenceType[[#This Row],[2024]]-YouthCaution_Type_OffenceType[[#This Row],[2019]]),"..")</f>
        <v>..</v>
      </c>
      <c r="Q16" s="154">
        <f>(YouthCaution_Type_OffenceType[[#This Row],[2024]]-YouthCaution_Type_OffenceType[[#This Row],[2023]])*100</f>
        <v>-4.1384471944283181</v>
      </c>
    </row>
    <row r="17" spans="1:17" x14ac:dyDescent="0.2">
      <c r="A17" s="110" t="s">
        <v>63</v>
      </c>
      <c r="B17" s="110" t="s">
        <v>213</v>
      </c>
      <c r="C17" s="4" t="s">
        <v>271</v>
      </c>
      <c r="D17" s="112" t="str">
        <f t="shared" ref="D17:N17" si="1">IFERROR(D7/D$8,"[x]")</f>
        <v>[x]</v>
      </c>
      <c r="E17" s="112" t="str">
        <f t="shared" si="1"/>
        <v>[x]</v>
      </c>
      <c r="F17" s="112" t="str">
        <f t="shared" si="1"/>
        <v>[x]</v>
      </c>
      <c r="G17" s="112" t="str">
        <f t="shared" si="1"/>
        <v>[x]</v>
      </c>
      <c r="H17" s="112" t="str">
        <f t="shared" si="1"/>
        <v>[x]</v>
      </c>
      <c r="I17" s="112" t="str">
        <f t="shared" si="1"/>
        <v>[x]</v>
      </c>
      <c r="J17" s="113">
        <f t="shared" si="1"/>
        <v>0.49519492293744333</v>
      </c>
      <c r="K17" s="113">
        <f t="shared" si="1"/>
        <v>0.53490420612199951</v>
      </c>
      <c r="L17" s="113">
        <f t="shared" si="1"/>
        <v>0.56798358132375582</v>
      </c>
      <c r="M17" s="113">
        <f t="shared" si="1"/>
        <v>0.5242562315733047</v>
      </c>
      <c r="N17" s="113">
        <f t="shared" si="1"/>
        <v>0.56564070351758799</v>
      </c>
      <c r="O17" s="112" t="str">
        <f>IFERROR(100*(YouthCaution_Type_OffenceType[[#This Row],[2024]]-YouthCaution_Type_OffenceType[[#This Row],[2014]]),"..")</f>
        <v>..</v>
      </c>
      <c r="P17" s="112" t="str">
        <f>IFERROR(100*(YouthCaution_Type_OffenceType[[#This Row],[2024]]-YouthCaution_Type_OffenceType[[#This Row],[2019]]),"..")</f>
        <v>..</v>
      </c>
      <c r="Q17" s="119">
        <f>(YouthCaution_Type_OffenceType[[#This Row],[2024]]-YouthCaution_Type_OffenceType[[#This Row],[2023]])*100</f>
        <v>4.1384471944283296</v>
      </c>
    </row>
    <row r="18" spans="1:17" x14ac:dyDescent="0.2">
      <c r="A18" s="114" t="s">
        <v>221</v>
      </c>
      <c r="B18" s="114" t="s">
        <v>213</v>
      </c>
      <c r="C18" s="115" t="s">
        <v>222</v>
      </c>
      <c r="D18" s="117">
        <f>IFERROR(D8/SUM(D$8,D$11),"[x]")</f>
        <v>0.60466684145473615</v>
      </c>
      <c r="E18" s="117">
        <f t="shared" ref="E18:N18" si="2">IFERROR(E8/SUM(E$8,E$11),"[x]")</f>
        <v>0.59040194201951357</v>
      </c>
      <c r="F18" s="117">
        <f t="shared" si="2"/>
        <v>0.58943946053344576</v>
      </c>
      <c r="G18" s="117">
        <f t="shared" si="2"/>
        <v>0.59608780050769006</v>
      </c>
      <c r="H18" s="117">
        <f t="shared" si="2"/>
        <v>0.6188550951024534</v>
      </c>
      <c r="I18" s="117">
        <f t="shared" si="2"/>
        <v>0.62599531615925064</v>
      </c>
      <c r="J18" s="117">
        <f t="shared" si="2"/>
        <v>0.71014679371619882</v>
      </c>
      <c r="K18" s="117">
        <f t="shared" si="2"/>
        <v>0.7394561146393096</v>
      </c>
      <c r="L18" s="117">
        <f t="shared" si="2"/>
        <v>0.74674329501915704</v>
      </c>
      <c r="M18" s="117">
        <f t="shared" si="2"/>
        <v>0.74426491123079996</v>
      </c>
      <c r="N18" s="117">
        <f t="shared" si="2"/>
        <v>0.73754922399814682</v>
      </c>
      <c r="O18" s="119">
        <f>IFERROR(100*(YouthCaution_Type_OffenceType[[#This Row],[2024]]-YouthCaution_Type_OffenceType[[#This Row],[2014]]),"..")</f>
        <v>13.288238254341067</v>
      </c>
      <c r="P18" s="119">
        <f>IFERROR(100*(YouthCaution_Type_OffenceType[[#This Row],[2024]]-YouthCaution_Type_OffenceType[[#This Row],[2019]]),"..")</f>
        <v>11.155390783889619</v>
      </c>
      <c r="Q18" s="119">
        <f>(YouthCaution_Type_OffenceType[[#This Row],[2024]]-YouthCaution_Type_OffenceType[[#This Row],[2023]])*100</f>
        <v>-0.67156872326531447</v>
      </c>
    </row>
    <row r="19" spans="1:17" x14ac:dyDescent="0.2">
      <c r="A19" s="110" t="s">
        <v>63</v>
      </c>
      <c r="B19" s="110" t="s">
        <v>219</v>
      </c>
      <c r="C19" s="4" t="s">
        <v>272</v>
      </c>
      <c r="D19" s="112" t="str">
        <f t="shared" ref="D19:N19" si="3">IFERROR(D9/D$11,"[x]")</f>
        <v>[x]</v>
      </c>
      <c r="E19" s="112" t="str">
        <f t="shared" si="3"/>
        <v>[x]</v>
      </c>
      <c r="F19" s="112" t="str">
        <f t="shared" si="3"/>
        <v>[x]</v>
      </c>
      <c r="G19" s="112" t="str">
        <f t="shared" si="3"/>
        <v>[x]</v>
      </c>
      <c r="H19" s="112" t="str">
        <f t="shared" si="3"/>
        <v>[x]</v>
      </c>
      <c r="I19" s="112" t="str">
        <f t="shared" si="3"/>
        <v>[x]</v>
      </c>
      <c r="J19" s="113">
        <f t="shared" si="3"/>
        <v>0.68858285206574854</v>
      </c>
      <c r="K19" s="113">
        <f t="shared" si="3"/>
        <v>0.65812499999999996</v>
      </c>
      <c r="L19" s="113">
        <f t="shared" si="3"/>
        <v>0.59304084720121031</v>
      </c>
      <c r="M19" s="113">
        <f t="shared" si="3"/>
        <v>0.60140405616224646</v>
      </c>
      <c r="N19" s="113">
        <f t="shared" si="3"/>
        <v>0.57281553398058249</v>
      </c>
      <c r="O19" s="112" t="str">
        <f>IFERROR(100*(YouthCaution_Type_OffenceType[[#This Row],[2024]]-YouthCaution_Type_OffenceType[[#This Row],[2014]]),"..")</f>
        <v>..</v>
      </c>
      <c r="P19" s="112" t="str">
        <f>IFERROR(100*(YouthCaution_Type_OffenceType[[#This Row],[2024]]-YouthCaution_Type_OffenceType[[#This Row],[2019]]),"..")</f>
        <v>..</v>
      </c>
      <c r="Q19" s="119">
        <f>(YouthCaution_Type_OffenceType[[#This Row],[2024]]-YouthCaution_Type_OffenceType[[#This Row],[2023]])*100</f>
        <v>-2.8588522181663967</v>
      </c>
    </row>
    <row r="20" spans="1:17" x14ac:dyDescent="0.2">
      <c r="A20" s="110" t="s">
        <v>63</v>
      </c>
      <c r="B20" s="110" t="s">
        <v>219</v>
      </c>
      <c r="C20" s="4" t="s">
        <v>273</v>
      </c>
      <c r="D20" s="112" t="str">
        <f t="shared" ref="D20:N20" si="4">IFERROR(D10/D$11,"[x]")</f>
        <v>[x]</v>
      </c>
      <c r="E20" s="112" t="str">
        <f t="shared" si="4"/>
        <v>[x]</v>
      </c>
      <c r="F20" s="112" t="str">
        <f t="shared" si="4"/>
        <v>[x]</v>
      </c>
      <c r="G20" s="112" t="str">
        <f t="shared" si="4"/>
        <v>[x]</v>
      </c>
      <c r="H20" s="112" t="str">
        <f t="shared" si="4"/>
        <v>[x]</v>
      </c>
      <c r="I20" s="112" t="str">
        <f t="shared" si="4"/>
        <v>[x]</v>
      </c>
      <c r="J20" s="113">
        <f t="shared" si="4"/>
        <v>0.31141714793425146</v>
      </c>
      <c r="K20" s="113">
        <f t="shared" si="4"/>
        <v>0.34187499999999998</v>
      </c>
      <c r="L20" s="113">
        <f t="shared" si="4"/>
        <v>0.40695915279878969</v>
      </c>
      <c r="M20" s="113">
        <f t="shared" si="4"/>
        <v>0.39859594383775349</v>
      </c>
      <c r="N20" s="113">
        <f t="shared" si="4"/>
        <v>0.42718446601941745</v>
      </c>
      <c r="O20" s="112" t="str">
        <f>IFERROR(100*(YouthCaution_Type_OffenceType[[#This Row],[2024]]-YouthCaution_Type_OffenceType[[#This Row],[2014]]),"..")</f>
        <v>..</v>
      </c>
      <c r="P20" s="112" t="str">
        <f>IFERROR(100*(YouthCaution_Type_OffenceType[[#This Row],[2024]]-YouthCaution_Type_OffenceType[[#This Row],[2019]]),"..")</f>
        <v>..</v>
      </c>
      <c r="Q20" s="119">
        <f>(YouthCaution_Type_OffenceType[[#This Row],[2024]]-YouthCaution_Type_OffenceType[[#This Row],[2023]])*100</f>
        <v>2.8588522181663967</v>
      </c>
    </row>
    <row r="21" spans="1:17" x14ac:dyDescent="0.2">
      <c r="A21" s="114" t="s">
        <v>221</v>
      </c>
      <c r="B21" s="114" t="s">
        <v>219</v>
      </c>
      <c r="C21" s="115" t="s">
        <v>223</v>
      </c>
      <c r="D21" s="117">
        <f>IFERROR(D11/SUM(D$8,D$11),"[x]")</f>
        <v>0.39533315854526385</v>
      </c>
      <c r="E21" s="117">
        <f t="shared" ref="E21:N21" si="5">IFERROR(E11/SUM(E$8,E$11),"[x]")</f>
        <v>0.40959805798048643</v>
      </c>
      <c r="F21" s="117">
        <f t="shared" si="5"/>
        <v>0.4105605394665543</v>
      </c>
      <c r="G21" s="117">
        <f t="shared" si="5"/>
        <v>0.40391219949231</v>
      </c>
      <c r="H21" s="117">
        <f t="shared" si="5"/>
        <v>0.38114490489754665</v>
      </c>
      <c r="I21" s="117">
        <f t="shared" si="5"/>
        <v>0.37400468384074942</v>
      </c>
      <c r="J21" s="117">
        <f t="shared" si="5"/>
        <v>0.28985320628380118</v>
      </c>
      <c r="K21" s="117">
        <f t="shared" si="5"/>
        <v>0.26054388536069045</v>
      </c>
      <c r="L21" s="117">
        <f t="shared" si="5"/>
        <v>0.25325670498084291</v>
      </c>
      <c r="M21" s="117">
        <f t="shared" si="5"/>
        <v>0.25573508876920009</v>
      </c>
      <c r="N21" s="117">
        <f t="shared" si="5"/>
        <v>0.26245077600185313</v>
      </c>
      <c r="O21" s="119">
        <f>IFERROR(100*(YouthCaution_Type_OffenceType[[#This Row],[2024]]-YouthCaution_Type_OffenceType[[#This Row],[2014]]),"..")</f>
        <v>-13.288238254341072</v>
      </c>
      <c r="P21" s="119">
        <f>IFERROR(100*(YouthCaution_Type_OffenceType[[#This Row],[2024]]-YouthCaution_Type_OffenceType[[#This Row],[2019]]),"..")</f>
        <v>-11.155390783889629</v>
      </c>
      <c r="Q21" s="119">
        <f>(YouthCaution_Type_OffenceType[[#This Row],[2024]]-YouthCaution_Type_OffenceType[[#This Row],[2023]])*100</f>
        <v>0.67156872326530337</v>
      </c>
    </row>
    <row r="22" spans="1:17" x14ac:dyDescent="0.2">
      <c r="A22" s="110" t="s">
        <v>63</v>
      </c>
      <c r="B22" s="118" t="s">
        <v>220</v>
      </c>
      <c r="C22" s="4" t="s">
        <v>224</v>
      </c>
      <c r="D22" s="112" t="str">
        <f t="shared" ref="D22:N22" si="6">IFERROR(D12/D$15,"[x]")</f>
        <v>[x]</v>
      </c>
      <c r="E22" s="112" t="str">
        <f t="shared" si="6"/>
        <v>[x]</v>
      </c>
      <c r="F22" s="112" t="str">
        <f t="shared" si="6"/>
        <v>[x]</v>
      </c>
      <c r="G22" s="112" t="str">
        <f t="shared" si="6"/>
        <v>[x]</v>
      </c>
      <c r="H22" s="112" t="str">
        <f t="shared" si="6"/>
        <v>[x]</v>
      </c>
      <c r="I22" s="112" t="str">
        <f t="shared" si="6"/>
        <v>[x]</v>
      </c>
      <c r="J22" s="113">
        <f t="shared" si="6"/>
        <v>0.55807365439093481</v>
      </c>
      <c r="K22" s="113">
        <f t="shared" si="6"/>
        <v>0.51538837322911579</v>
      </c>
      <c r="L22" s="113">
        <f t="shared" si="6"/>
        <v>0.47279693486590041</v>
      </c>
      <c r="M22" s="113">
        <f t="shared" si="6"/>
        <v>0.50797766254487431</v>
      </c>
      <c r="N22" s="113">
        <f t="shared" si="6"/>
        <v>0.47069724345610375</v>
      </c>
      <c r="O22" s="112" t="str">
        <f>IFERROR(100*(YouthCaution_Type_OffenceType[[#This Row],[2024]]-YouthCaution_Type_OffenceType[[#This Row],[2014]]),"..")</f>
        <v>..</v>
      </c>
      <c r="P22" s="112" t="str">
        <f>IFERROR(100*(YouthCaution_Type_OffenceType[[#This Row],[2024]]-YouthCaution_Type_OffenceType[[#This Row],[2019]]),"..")</f>
        <v>..</v>
      </c>
      <c r="Q22" s="119">
        <f>(YouthCaution_Type_OffenceType[[#This Row],[2024]]-YouthCaution_Type_OffenceType[[#This Row],[2023]])*100</f>
        <v>-3.7280419088770556</v>
      </c>
    </row>
    <row r="23" spans="1:17" x14ac:dyDescent="0.2">
      <c r="A23" s="324" t="s">
        <v>63</v>
      </c>
      <c r="B23" s="239" t="s">
        <v>220</v>
      </c>
      <c r="C23" s="270" t="s">
        <v>225</v>
      </c>
      <c r="D23" s="318" t="str">
        <f t="shared" ref="D23:N23" si="7">IFERROR(D13/D$15,"[x]")</f>
        <v>[x]</v>
      </c>
      <c r="E23" s="318" t="str">
        <f t="shared" si="7"/>
        <v>[x]</v>
      </c>
      <c r="F23" s="318" t="str">
        <f t="shared" si="7"/>
        <v>[x]</v>
      </c>
      <c r="G23" s="318" t="str">
        <f t="shared" si="7"/>
        <v>[x]</v>
      </c>
      <c r="H23" s="318" t="str">
        <f t="shared" si="7"/>
        <v>[x]</v>
      </c>
      <c r="I23" s="318" t="str">
        <f t="shared" si="7"/>
        <v>[x]</v>
      </c>
      <c r="J23" s="319">
        <f t="shared" si="7"/>
        <v>0.44192634560906513</v>
      </c>
      <c r="K23" s="319">
        <f t="shared" si="7"/>
        <v>0.48461162677088421</v>
      </c>
      <c r="L23" s="319">
        <f t="shared" si="7"/>
        <v>0.52720306513409965</v>
      </c>
      <c r="M23" s="319">
        <f t="shared" si="7"/>
        <v>0.49202233745512564</v>
      </c>
      <c r="N23" s="319">
        <f t="shared" si="7"/>
        <v>0.52930275654389625</v>
      </c>
      <c r="O23" s="318" t="str">
        <f>IFERROR(100*(YouthCaution_Type_OffenceType[[#This Row],[2024]]-YouthCaution_Type_OffenceType[[#This Row],[2014]]),"..")</f>
        <v>..</v>
      </c>
      <c r="P23" s="318" t="str">
        <f>IFERROR(100*(YouthCaution_Type_OffenceType[[#This Row],[2024]]-YouthCaution_Type_OffenceType[[#This Row],[2019]]),"..")</f>
        <v>..</v>
      </c>
      <c r="Q23" s="325">
        <f>(YouthCaution_Type_OffenceType[[#This Row],[2024]]-YouthCaution_Type_OffenceType[[#This Row],[2023]])*100</f>
        <v>3.7280419088770609</v>
      </c>
    </row>
    <row r="24" spans="1:17" x14ac:dyDescent="0.2">
      <c r="A24" s="320" t="s">
        <v>221</v>
      </c>
      <c r="B24" s="321" t="s">
        <v>220</v>
      </c>
      <c r="C24" s="271" t="s">
        <v>304</v>
      </c>
      <c r="D24" s="323">
        <f>IFERROR(D15/SUM(D$8,D$11),"[x]")</f>
        <v>1.000037454586314</v>
      </c>
      <c r="E24" s="323">
        <f t="shared" ref="E24:N24" si="8">IFERROR(E15/SUM(E$8,E$11),"[x]")</f>
        <v>1.0000466831613837</v>
      </c>
      <c r="F24" s="323">
        <f t="shared" si="8"/>
        <v>1.0001204166415798</v>
      </c>
      <c r="G24" s="323">
        <f t="shared" si="8"/>
        <v>1.0002239808869644</v>
      </c>
      <c r="H24" s="323">
        <f t="shared" si="8"/>
        <v>1</v>
      </c>
      <c r="I24" s="323">
        <f t="shared" si="8"/>
        <v>1.0002341920374707</v>
      </c>
      <c r="J24" s="323">
        <f t="shared" si="8"/>
        <v>1</v>
      </c>
      <c r="K24" s="323">
        <f t="shared" si="8"/>
        <v>1</v>
      </c>
      <c r="L24" s="323">
        <f t="shared" si="8"/>
        <v>1</v>
      </c>
      <c r="M24" s="323">
        <f t="shared" si="8"/>
        <v>1.000199481348494</v>
      </c>
      <c r="N24" s="323">
        <f t="shared" si="8"/>
        <v>1</v>
      </c>
      <c r="O24" s="326" t="s">
        <v>49</v>
      </c>
      <c r="P24" s="326" t="s">
        <v>49</v>
      </c>
      <c r="Q24" s="326" t="s">
        <v>49</v>
      </c>
    </row>
    <row r="25" spans="1:17" ht="15" x14ac:dyDescent="0.25">
      <c r="O25" s="120"/>
      <c r="P25" s="120"/>
    </row>
  </sheetData>
  <phoneticPr fontId="21" type="noConversion"/>
  <pageMargins left="0.7" right="0.7" top="0.75" bottom="0.75" header="0.3" footer="0.3"/>
  <pageSetup paperSize="9"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P13"/>
  <sheetViews>
    <sheetView workbookViewId="0"/>
  </sheetViews>
  <sheetFormatPr defaultColWidth="7.33203125" defaultRowHeight="15" x14ac:dyDescent="0.2"/>
  <cols>
    <col min="1" max="1" width="12.6640625" style="10" customWidth="1"/>
    <col min="2" max="2" width="12" style="10" customWidth="1"/>
    <col min="3" max="13" width="7.6640625" style="10" customWidth="1"/>
    <col min="14" max="14" width="11.33203125" style="10" customWidth="1"/>
    <col min="15" max="15" width="11.6640625" style="10" customWidth="1"/>
    <col min="16" max="16" width="11.88671875" style="10" customWidth="1"/>
    <col min="17" max="16384" width="7.33203125" style="10"/>
  </cols>
  <sheetData>
    <row r="1" spans="1:16" ht="15.75" x14ac:dyDescent="0.25">
      <c r="A1" s="102" t="s">
        <v>281</v>
      </c>
      <c r="B1" s="102"/>
    </row>
    <row r="2" spans="1:16" x14ac:dyDescent="0.2">
      <c r="A2" s="103" t="s">
        <v>56</v>
      </c>
      <c r="B2" s="103"/>
      <c r="C2" s="104"/>
      <c r="D2" s="104"/>
      <c r="E2" s="104"/>
      <c r="F2" s="104"/>
      <c r="G2" s="104"/>
      <c r="H2" s="104"/>
      <c r="I2" s="104"/>
      <c r="J2" s="104"/>
    </row>
    <row r="3" spans="1:16" x14ac:dyDescent="0.2">
      <c r="A3" s="10" t="s">
        <v>212</v>
      </c>
      <c r="C3" s="104"/>
      <c r="D3" s="104"/>
      <c r="E3" s="104"/>
      <c r="F3" s="104"/>
      <c r="G3" s="104"/>
      <c r="H3" s="104"/>
      <c r="I3" s="104"/>
      <c r="J3" s="104"/>
    </row>
    <row r="4" spans="1:16" ht="51" x14ac:dyDescent="0.2">
      <c r="A4" s="173" t="s">
        <v>57</v>
      </c>
      <c r="B4" s="107" t="s">
        <v>226</v>
      </c>
      <c r="C4" s="108" t="s">
        <v>160</v>
      </c>
      <c r="D4" s="108" t="s">
        <v>161</v>
      </c>
      <c r="E4" s="108" t="s">
        <v>162</v>
      </c>
      <c r="F4" s="108" t="s">
        <v>163</v>
      </c>
      <c r="G4" s="108" t="s">
        <v>164</v>
      </c>
      <c r="H4" s="108" t="s">
        <v>165</v>
      </c>
      <c r="I4" s="108" t="s">
        <v>166</v>
      </c>
      <c r="J4" s="108" t="s">
        <v>167</v>
      </c>
      <c r="K4" s="108" t="s">
        <v>168</v>
      </c>
      <c r="L4" s="108" t="s">
        <v>169</v>
      </c>
      <c r="M4" s="108" t="s">
        <v>248</v>
      </c>
      <c r="N4" s="109" t="s">
        <v>260</v>
      </c>
      <c r="O4" s="109" t="s">
        <v>261</v>
      </c>
      <c r="P4" s="109" t="s">
        <v>259</v>
      </c>
    </row>
    <row r="5" spans="1:16" x14ac:dyDescent="0.2">
      <c r="A5" s="4" t="s">
        <v>59</v>
      </c>
      <c r="B5" s="4" t="s">
        <v>172</v>
      </c>
      <c r="C5" s="121">
        <v>6085</v>
      </c>
      <c r="D5" s="121">
        <v>4802</v>
      </c>
      <c r="E5" s="121">
        <v>3796</v>
      </c>
      <c r="F5" s="121">
        <v>2916</v>
      </c>
      <c r="G5" s="121">
        <v>2252</v>
      </c>
      <c r="H5" s="121">
        <v>1765</v>
      </c>
      <c r="I5" s="121">
        <v>1472</v>
      </c>
      <c r="J5" s="121">
        <v>1055</v>
      </c>
      <c r="K5" s="121">
        <v>923</v>
      </c>
      <c r="L5" s="121">
        <v>1001</v>
      </c>
      <c r="M5" s="121">
        <v>875</v>
      </c>
      <c r="N5" s="122">
        <f>YouthCaution_Sex[[#This Row],[2024]]/YouthCaution_Sex[[#This Row],[2014]]-1</f>
        <v>-0.85620377978635986</v>
      </c>
      <c r="O5" s="122">
        <f>YouthCaution_Sex[[#This Row],[2024]]/YouthCaution_Sex[[#This Row],[2019]]-1</f>
        <v>-0.50424929178470257</v>
      </c>
      <c r="P5" s="122">
        <f>YouthCaution_Sex[[#This Row],[2024]]/YouthCaution_Sex[[#This Row],[2023]]-1</f>
        <v>-0.12587412587412583</v>
      </c>
    </row>
    <row r="6" spans="1:16" x14ac:dyDescent="0.2">
      <c r="A6" s="4" t="s">
        <v>59</v>
      </c>
      <c r="B6" s="4" t="s">
        <v>171</v>
      </c>
      <c r="C6" s="121">
        <v>20381</v>
      </c>
      <c r="D6" s="121">
        <v>16429</v>
      </c>
      <c r="E6" s="121">
        <v>12602</v>
      </c>
      <c r="F6" s="121">
        <v>10303</v>
      </c>
      <c r="G6" s="121">
        <v>8449</v>
      </c>
      <c r="H6" s="121">
        <v>6625</v>
      </c>
      <c r="I6" s="121">
        <v>6173</v>
      </c>
      <c r="J6" s="121">
        <v>4978</v>
      </c>
      <c r="K6" s="121">
        <v>4198</v>
      </c>
      <c r="L6" s="121">
        <v>3908</v>
      </c>
      <c r="M6" s="121">
        <v>3375</v>
      </c>
      <c r="N6" s="122">
        <f>YouthCaution_Sex[[#This Row],[2024]]/YouthCaution_Sex[[#This Row],[2014]]-1</f>
        <v>-0.83440459251263432</v>
      </c>
      <c r="O6" s="122">
        <f>YouthCaution_Sex[[#This Row],[2024]]/YouthCaution_Sex[[#This Row],[2019]]-1</f>
        <v>-0.49056603773584906</v>
      </c>
      <c r="P6" s="122">
        <f>YouthCaution_Sex[[#This Row],[2024]]/YouthCaution_Sex[[#This Row],[2023]]-1</f>
        <v>-0.13638689866939613</v>
      </c>
    </row>
    <row r="7" spans="1:16" x14ac:dyDescent="0.2">
      <c r="A7" s="270" t="s">
        <v>59</v>
      </c>
      <c r="B7" s="270" t="s">
        <v>173</v>
      </c>
      <c r="C7" s="264">
        <v>234</v>
      </c>
      <c r="D7" s="264">
        <v>191</v>
      </c>
      <c r="E7" s="264">
        <v>213</v>
      </c>
      <c r="F7" s="264">
        <v>178</v>
      </c>
      <c r="G7" s="264">
        <v>182</v>
      </c>
      <c r="H7" s="264">
        <v>152</v>
      </c>
      <c r="I7" s="264">
        <v>121</v>
      </c>
      <c r="J7" s="264">
        <v>108</v>
      </c>
      <c r="K7" s="264">
        <v>99</v>
      </c>
      <c r="L7" s="264">
        <v>105</v>
      </c>
      <c r="M7" s="264">
        <v>67</v>
      </c>
      <c r="N7" s="327">
        <f>YouthCaution_Sex[[#This Row],[2024]]/YouthCaution_Sex[[#This Row],[2014]]-1</f>
        <v>-0.71367521367521369</v>
      </c>
      <c r="O7" s="327">
        <f>YouthCaution_Sex[[#This Row],[2024]]/YouthCaution_Sex[[#This Row],[2019]]-1</f>
        <v>-0.55921052631578949</v>
      </c>
      <c r="P7" s="327">
        <f>YouthCaution_Sex[[#This Row],[2024]]/YouthCaution_Sex[[#This Row],[2023]]-1</f>
        <v>-0.36190476190476195</v>
      </c>
    </row>
    <row r="8" spans="1:16" x14ac:dyDescent="0.2">
      <c r="A8" s="320" t="s">
        <v>217</v>
      </c>
      <c r="B8" s="320" t="s">
        <v>74</v>
      </c>
      <c r="C8" s="267">
        <v>26700</v>
      </c>
      <c r="D8" s="267">
        <v>21422</v>
      </c>
      <c r="E8" s="267">
        <v>16611</v>
      </c>
      <c r="F8" s="267">
        <v>13397</v>
      </c>
      <c r="G8" s="267">
        <v>10883</v>
      </c>
      <c r="H8" s="267">
        <v>8542</v>
      </c>
      <c r="I8" s="267">
        <v>7766</v>
      </c>
      <c r="J8" s="267">
        <v>6141</v>
      </c>
      <c r="K8" s="267">
        <v>5220</v>
      </c>
      <c r="L8" s="267">
        <v>5014</v>
      </c>
      <c r="M8" s="267">
        <v>4317</v>
      </c>
      <c r="N8" s="328">
        <f>YouthCaution_Sex[[#This Row],[2024]]/YouthCaution_Sex[[#This Row],[2014]]-1</f>
        <v>-0.83831460674157299</v>
      </c>
      <c r="O8" s="328">
        <f>YouthCaution_Sex[[#This Row],[2024]]/YouthCaution_Sex[[#This Row],[2019]]-1</f>
        <v>-0.49461484429875913</v>
      </c>
      <c r="P8" s="328">
        <f>YouthCaution_Sex[[#This Row],[2024]]/YouthCaution_Sex[[#This Row],[2023]]-1</f>
        <v>-0.13901076984443561</v>
      </c>
    </row>
    <row r="9" spans="1:16" x14ac:dyDescent="0.2">
      <c r="A9" s="151" t="s">
        <v>63</v>
      </c>
      <c r="B9" s="151" t="s">
        <v>172</v>
      </c>
      <c r="C9" s="156">
        <f>C5/SUM(C$5:C$6)</f>
        <v>0.22991763016700673</v>
      </c>
      <c r="D9" s="156">
        <f t="shared" ref="D9:M9" si="0">D5/SUM(D$5:D$6)</f>
        <v>0.22617870095614903</v>
      </c>
      <c r="E9" s="156">
        <f t="shared" si="0"/>
        <v>0.2314916453226003</v>
      </c>
      <c r="F9" s="156">
        <f t="shared" si="0"/>
        <v>0.22059157273621302</v>
      </c>
      <c r="G9" s="156">
        <f t="shared" si="0"/>
        <v>0.21044762171759648</v>
      </c>
      <c r="H9" s="156">
        <f t="shared" si="0"/>
        <v>0.21036948748510131</v>
      </c>
      <c r="I9" s="156">
        <f t="shared" si="0"/>
        <v>0.19254414650098103</v>
      </c>
      <c r="J9" s="156">
        <f t="shared" si="0"/>
        <v>0.17487153986408088</v>
      </c>
      <c r="K9" s="156">
        <f t="shared" si="0"/>
        <v>0.18023823471978129</v>
      </c>
      <c r="L9" s="156">
        <f t="shared" si="0"/>
        <v>0.20391118354043594</v>
      </c>
      <c r="M9" s="156">
        <f t="shared" si="0"/>
        <v>0.20588235294117646</v>
      </c>
      <c r="N9" s="157">
        <f>(YouthCaution_Sex[[#This Row],[2024]]-YouthCaution_Sex[[#This Row],[2014]])*100</f>
        <v>-2.4035277225830267</v>
      </c>
      <c r="O9" s="157">
        <f>(YouthCaution_Sex[[#This Row],[2024]]-YouthCaution_Sex[[#This Row],[2019]])*100</f>
        <v>-0.44871345439248533</v>
      </c>
      <c r="P9" s="157">
        <f>(YouthCaution_Sex[[#This Row],[2024]]-YouthCaution_Sex[[#This Row],[2023]])*100</f>
        <v>0.19711694007405189</v>
      </c>
    </row>
    <row r="10" spans="1:16" x14ac:dyDescent="0.2">
      <c r="A10" s="270" t="s">
        <v>63</v>
      </c>
      <c r="B10" s="270" t="s">
        <v>171</v>
      </c>
      <c r="C10" s="329">
        <f t="shared" ref="C10:M10" si="1">C6/SUM(C$5:C$6)</f>
        <v>0.77008236983299327</v>
      </c>
      <c r="D10" s="329">
        <f t="shared" si="1"/>
        <v>0.773821299043851</v>
      </c>
      <c r="E10" s="329">
        <f t="shared" si="1"/>
        <v>0.76850835467739964</v>
      </c>
      <c r="F10" s="329">
        <f t="shared" si="1"/>
        <v>0.77940842726378701</v>
      </c>
      <c r="G10" s="329">
        <f t="shared" si="1"/>
        <v>0.78955237828240354</v>
      </c>
      <c r="H10" s="329">
        <f t="shared" si="1"/>
        <v>0.78963051251489869</v>
      </c>
      <c r="I10" s="329">
        <f t="shared" si="1"/>
        <v>0.80745585349901894</v>
      </c>
      <c r="J10" s="329">
        <f t="shared" si="1"/>
        <v>0.82512846013591912</v>
      </c>
      <c r="K10" s="329">
        <f t="shared" si="1"/>
        <v>0.81976176528021871</v>
      </c>
      <c r="L10" s="329">
        <f t="shared" si="1"/>
        <v>0.79608881645956409</v>
      </c>
      <c r="M10" s="329">
        <f t="shared" si="1"/>
        <v>0.79411764705882348</v>
      </c>
      <c r="N10" s="330">
        <f>(YouthCaution_Sex[[#This Row],[2024]]-YouthCaution_Sex[[#This Row],[2014]])*100</f>
        <v>2.4035277225830209</v>
      </c>
      <c r="O10" s="330">
        <f>(YouthCaution_Sex[[#This Row],[2024]]-YouthCaution_Sex[[#This Row],[2019]])*100</f>
        <v>0.44871345439247978</v>
      </c>
      <c r="P10" s="330">
        <f>(YouthCaution_Sex[[#This Row],[2024]]-YouthCaution_Sex[[#This Row],[2023]])*100</f>
        <v>-0.19711694007406022</v>
      </c>
    </row>
    <row r="11" spans="1:16" x14ac:dyDescent="0.2">
      <c r="A11" s="320" t="s">
        <v>221</v>
      </c>
      <c r="B11" s="320" t="s">
        <v>307</v>
      </c>
      <c r="C11" s="331">
        <f>(C8-C7)/SUM(C$5:C$6)</f>
        <v>1</v>
      </c>
      <c r="D11" s="331">
        <f t="shared" ref="D11:M11" si="2">(D8-D7)/SUM(D$5:D$6)</f>
        <v>1</v>
      </c>
      <c r="E11" s="331">
        <f t="shared" si="2"/>
        <v>1</v>
      </c>
      <c r="F11" s="331">
        <f t="shared" si="2"/>
        <v>1</v>
      </c>
      <c r="G11" s="331">
        <f t="shared" si="2"/>
        <v>1</v>
      </c>
      <c r="H11" s="331">
        <f t="shared" si="2"/>
        <v>1</v>
      </c>
      <c r="I11" s="331">
        <f t="shared" si="2"/>
        <v>1</v>
      </c>
      <c r="J11" s="331">
        <f t="shared" si="2"/>
        <v>1</v>
      </c>
      <c r="K11" s="331">
        <f t="shared" si="2"/>
        <v>1</v>
      </c>
      <c r="L11" s="331">
        <f t="shared" si="2"/>
        <v>1</v>
      </c>
      <c r="M11" s="331">
        <f t="shared" si="2"/>
        <v>1</v>
      </c>
      <c r="N11" s="326" t="s">
        <v>49</v>
      </c>
      <c r="O11" s="326" t="s">
        <v>49</v>
      </c>
      <c r="P11" s="326" t="s">
        <v>49</v>
      </c>
    </row>
    <row r="12" spans="1:16" x14ac:dyDescent="0.2">
      <c r="C12" s="104"/>
      <c r="D12" s="104"/>
      <c r="E12" s="104"/>
      <c r="F12" s="104"/>
      <c r="G12" s="104"/>
      <c r="H12" s="104"/>
      <c r="I12" s="104"/>
      <c r="J12" s="104"/>
    </row>
    <row r="13" spans="1:16" x14ac:dyDescent="0.2">
      <c r="A13" s="104"/>
      <c r="B13" s="104"/>
      <c r="C13" s="104"/>
      <c r="D13" s="104"/>
      <c r="E13" s="104"/>
      <c r="F13" s="104"/>
      <c r="G13" s="104"/>
      <c r="H13" s="104"/>
      <c r="I13" s="104"/>
      <c r="J13" s="104"/>
      <c r="N13" s="106"/>
      <c r="O13" s="106"/>
      <c r="P13" s="106"/>
    </row>
  </sheetData>
  <phoneticPr fontId="21" type="noConversion"/>
  <pageMargins left="0.7" right="0.7" top="0.75" bottom="0.75" header="0.3" footer="0.3"/>
  <pageSetup paperSize="9" orientation="portrait"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28"/>
  <sheetViews>
    <sheetView workbookViewId="0"/>
  </sheetViews>
  <sheetFormatPr defaultColWidth="7.33203125" defaultRowHeight="15" x14ac:dyDescent="0.2"/>
  <cols>
    <col min="1" max="1" width="12.6640625" style="10" customWidth="1"/>
    <col min="2" max="2" width="18.6640625" style="10" bestFit="1" customWidth="1"/>
    <col min="3" max="13" width="7.33203125" style="129" customWidth="1"/>
    <col min="14" max="16" width="11.6640625" style="129" customWidth="1"/>
    <col min="17" max="16384" width="7.33203125" style="10"/>
  </cols>
  <sheetData>
    <row r="1" spans="1:16" ht="15.75" x14ac:dyDescent="0.2">
      <c r="A1" s="29" t="s">
        <v>305</v>
      </c>
      <c r="B1" s="29"/>
    </row>
    <row r="2" spans="1:16" x14ac:dyDescent="0.2">
      <c r="A2" s="103" t="s">
        <v>56</v>
      </c>
      <c r="B2" s="103"/>
      <c r="C2" s="128"/>
      <c r="D2" s="128"/>
      <c r="E2" s="128"/>
      <c r="F2" s="128"/>
      <c r="G2" s="128"/>
      <c r="H2" s="128"/>
      <c r="I2" s="128"/>
      <c r="J2" s="128"/>
    </row>
    <row r="3" spans="1:16" x14ac:dyDescent="0.2">
      <c r="A3" s="10" t="s">
        <v>212</v>
      </c>
      <c r="C3" s="128"/>
      <c r="D3" s="128"/>
      <c r="E3" s="128"/>
      <c r="F3" s="128"/>
      <c r="G3" s="128"/>
      <c r="H3" s="128"/>
      <c r="I3" s="128"/>
      <c r="J3" s="128"/>
    </row>
    <row r="4" spans="1:16" ht="51" x14ac:dyDescent="0.2">
      <c r="A4" s="173" t="s">
        <v>57</v>
      </c>
      <c r="B4" s="37" t="s">
        <v>227</v>
      </c>
      <c r="C4" s="108" t="s">
        <v>160</v>
      </c>
      <c r="D4" s="108" t="s">
        <v>161</v>
      </c>
      <c r="E4" s="108" t="s">
        <v>162</v>
      </c>
      <c r="F4" s="108" t="s">
        <v>163</v>
      </c>
      <c r="G4" s="108" t="s">
        <v>164</v>
      </c>
      <c r="H4" s="108" t="s">
        <v>165</v>
      </c>
      <c r="I4" s="108" t="s">
        <v>166</v>
      </c>
      <c r="J4" s="108" t="s">
        <v>167</v>
      </c>
      <c r="K4" s="108" t="s">
        <v>168</v>
      </c>
      <c r="L4" s="108" t="s">
        <v>169</v>
      </c>
      <c r="M4" s="108" t="s">
        <v>248</v>
      </c>
      <c r="N4" s="109" t="s">
        <v>260</v>
      </c>
      <c r="O4" s="109" t="s">
        <v>261</v>
      </c>
      <c r="P4" s="109" t="s">
        <v>259</v>
      </c>
    </row>
    <row r="5" spans="1:16" x14ac:dyDescent="0.2">
      <c r="A5" s="38" t="s">
        <v>59</v>
      </c>
      <c r="B5" s="38" t="s">
        <v>228</v>
      </c>
      <c r="C5" s="35">
        <v>969</v>
      </c>
      <c r="D5" s="35">
        <v>834</v>
      </c>
      <c r="E5" s="35">
        <v>629</v>
      </c>
      <c r="F5" s="35">
        <v>569</v>
      </c>
      <c r="G5" s="35">
        <v>469</v>
      </c>
      <c r="H5" s="35">
        <v>377</v>
      </c>
      <c r="I5" s="35">
        <v>394</v>
      </c>
      <c r="J5" s="35">
        <v>303</v>
      </c>
      <c r="K5" s="35">
        <v>215</v>
      </c>
      <c r="L5" s="35">
        <v>203</v>
      </c>
      <c r="M5" s="35">
        <v>190</v>
      </c>
      <c r="N5" s="130">
        <f>YouthCaution_Ethnicity[[#This Row],[2024]]/YouthCaution_Ethnicity[[#This Row],[2014]]-1</f>
        <v>-0.80392156862745101</v>
      </c>
      <c r="O5" s="130">
        <f>YouthCaution_Ethnicity[[#This Row],[2024]]/YouthCaution_Ethnicity[[#This Row],[2019]]-1</f>
        <v>-0.49602122015915118</v>
      </c>
      <c r="P5" s="130">
        <f>YouthCaution_Ethnicity[[#This Row],[2024]]/YouthCaution_Ethnicity[[#This Row],[2023]]-1</f>
        <v>-6.4039408866995107E-2</v>
      </c>
    </row>
    <row r="6" spans="1:16" x14ac:dyDescent="0.2">
      <c r="A6" s="38" t="s">
        <v>59</v>
      </c>
      <c r="B6" s="38" t="s">
        <v>176</v>
      </c>
      <c r="C6" s="35">
        <v>1904</v>
      </c>
      <c r="D6" s="35">
        <v>1775</v>
      </c>
      <c r="E6" s="35">
        <v>1441</v>
      </c>
      <c r="F6" s="35">
        <v>1297</v>
      </c>
      <c r="G6" s="35">
        <v>1093</v>
      </c>
      <c r="H6" s="35">
        <v>809</v>
      </c>
      <c r="I6" s="35">
        <v>775</v>
      </c>
      <c r="J6" s="35">
        <v>742</v>
      </c>
      <c r="K6" s="35">
        <v>549</v>
      </c>
      <c r="L6" s="35">
        <v>482</v>
      </c>
      <c r="M6" s="35">
        <v>351</v>
      </c>
      <c r="N6" s="130">
        <f>YouthCaution_Ethnicity[[#This Row],[2024]]/YouthCaution_Ethnicity[[#This Row],[2014]]-1</f>
        <v>-0.81565126050420167</v>
      </c>
      <c r="O6" s="130">
        <f>YouthCaution_Ethnicity[[#This Row],[2024]]/YouthCaution_Ethnicity[[#This Row],[2019]]-1</f>
        <v>-0.56613102595797282</v>
      </c>
      <c r="P6" s="130">
        <f>YouthCaution_Ethnicity[[#This Row],[2024]]/YouthCaution_Ethnicity[[#This Row],[2023]]-1</f>
        <v>-0.27178423236514526</v>
      </c>
    </row>
    <row r="7" spans="1:16" x14ac:dyDescent="0.2">
      <c r="A7" s="238" t="s">
        <v>59</v>
      </c>
      <c r="B7" s="239" t="s">
        <v>71</v>
      </c>
      <c r="C7" s="248">
        <v>186</v>
      </c>
      <c r="D7" s="248">
        <v>133</v>
      </c>
      <c r="E7" s="248">
        <v>92</v>
      </c>
      <c r="F7" s="248">
        <v>93</v>
      </c>
      <c r="G7" s="248">
        <v>86</v>
      </c>
      <c r="H7" s="248">
        <v>55</v>
      </c>
      <c r="I7" s="248">
        <v>57</v>
      </c>
      <c r="J7" s="248">
        <v>62</v>
      </c>
      <c r="K7" s="248">
        <v>29</v>
      </c>
      <c r="L7" s="248">
        <v>35</v>
      </c>
      <c r="M7" s="248">
        <v>22</v>
      </c>
      <c r="N7" s="240">
        <f>YouthCaution_Ethnicity[[#This Row],[2024]]/YouthCaution_Ethnicity[[#This Row],[2014]]-1</f>
        <v>-0.88172043010752688</v>
      </c>
      <c r="O7" s="240">
        <f>YouthCaution_Ethnicity[[#This Row],[2024]]/YouthCaution_Ethnicity[[#This Row],[2019]]-1</f>
        <v>-0.6</v>
      </c>
      <c r="P7" s="240">
        <f>YouthCaution_Ethnicity[[#This Row],[2024]]/YouthCaution_Ethnicity[[#This Row],[2023]]-1</f>
        <v>-0.37142857142857144</v>
      </c>
    </row>
    <row r="8" spans="1:16" x14ac:dyDescent="0.2">
      <c r="A8" s="242" t="s">
        <v>59</v>
      </c>
      <c r="B8" s="243" t="s">
        <v>229</v>
      </c>
      <c r="C8" s="249">
        <f>SUM(C5:C7)</f>
        <v>3059</v>
      </c>
      <c r="D8" s="249">
        <f t="shared" ref="D8:M8" si="0">SUM(D5:D7)</f>
        <v>2742</v>
      </c>
      <c r="E8" s="249">
        <f t="shared" si="0"/>
        <v>2162</v>
      </c>
      <c r="F8" s="249">
        <f t="shared" si="0"/>
        <v>1959</v>
      </c>
      <c r="G8" s="249">
        <f t="shared" si="0"/>
        <v>1648</v>
      </c>
      <c r="H8" s="249">
        <f t="shared" si="0"/>
        <v>1241</v>
      </c>
      <c r="I8" s="249">
        <f t="shared" si="0"/>
        <v>1226</v>
      </c>
      <c r="J8" s="249">
        <f t="shared" si="0"/>
        <v>1107</v>
      </c>
      <c r="K8" s="249">
        <f t="shared" si="0"/>
        <v>793</v>
      </c>
      <c r="L8" s="249">
        <f t="shared" si="0"/>
        <v>720</v>
      </c>
      <c r="M8" s="249">
        <f t="shared" si="0"/>
        <v>563</v>
      </c>
      <c r="N8" s="244">
        <f>YouthCaution_Ethnicity[[#This Row],[2024]]/YouthCaution_Ethnicity[[#This Row],[2014]]-1</f>
        <v>-0.8159529257927427</v>
      </c>
      <c r="O8" s="244">
        <f>YouthCaution_Ethnicity[[#This Row],[2024]]/YouthCaution_Ethnicity[[#This Row],[2019]]-1</f>
        <v>-0.54633360193392422</v>
      </c>
      <c r="P8" s="244">
        <f>YouthCaution_Ethnicity[[#This Row],[2024]]/YouthCaution_Ethnicity[[#This Row],[2023]]-1</f>
        <v>-0.21805555555555556</v>
      </c>
    </row>
    <row r="9" spans="1:16" x14ac:dyDescent="0.2">
      <c r="A9" s="246" t="s">
        <v>59</v>
      </c>
      <c r="B9" s="246" t="s">
        <v>44</v>
      </c>
      <c r="C9" s="250">
        <v>22623</v>
      </c>
      <c r="D9" s="250">
        <v>17479</v>
      </c>
      <c r="E9" s="250">
        <v>13135</v>
      </c>
      <c r="F9" s="250">
        <v>10076</v>
      </c>
      <c r="G9" s="250">
        <v>7970</v>
      </c>
      <c r="H9" s="250">
        <v>6103</v>
      </c>
      <c r="I9" s="250">
        <v>5609</v>
      </c>
      <c r="J9" s="250">
        <v>4260</v>
      </c>
      <c r="K9" s="250">
        <v>3557</v>
      </c>
      <c r="L9" s="250">
        <v>3462</v>
      </c>
      <c r="M9" s="250">
        <v>3096</v>
      </c>
      <c r="N9" s="247">
        <f>YouthCaution_Ethnicity[[#This Row],[2024]]/YouthCaution_Ethnicity[[#This Row],[2014]]-1</f>
        <v>-0.86314812359103565</v>
      </c>
      <c r="O9" s="247">
        <f>YouthCaution_Ethnicity[[#This Row],[2024]]/YouthCaution_Ethnicity[[#This Row],[2019]]-1</f>
        <v>-0.49270850401441912</v>
      </c>
      <c r="P9" s="247">
        <f>YouthCaution_Ethnicity[[#This Row],[2024]]/YouthCaution_Ethnicity[[#This Row],[2023]]-1</f>
        <v>-0.10571923743500866</v>
      </c>
    </row>
    <row r="10" spans="1:16" x14ac:dyDescent="0.2">
      <c r="A10" s="238" t="s">
        <v>59</v>
      </c>
      <c r="B10" s="239" t="s">
        <v>173</v>
      </c>
      <c r="C10" s="248">
        <v>1018</v>
      </c>
      <c r="D10" s="248">
        <v>1201</v>
      </c>
      <c r="E10" s="248">
        <v>1314</v>
      </c>
      <c r="F10" s="248">
        <v>1362</v>
      </c>
      <c r="G10" s="248">
        <v>1265</v>
      </c>
      <c r="H10" s="248">
        <v>1198</v>
      </c>
      <c r="I10" s="248">
        <v>931</v>
      </c>
      <c r="J10" s="248">
        <v>774</v>
      </c>
      <c r="K10" s="248">
        <v>870</v>
      </c>
      <c r="L10" s="248">
        <v>832</v>
      </c>
      <c r="M10" s="248">
        <v>658</v>
      </c>
      <c r="N10" s="240">
        <f>YouthCaution_Ethnicity[[#This Row],[2024]]/YouthCaution_Ethnicity[[#This Row],[2014]]-1</f>
        <v>-0.35363457760314343</v>
      </c>
      <c r="O10" s="240">
        <f>YouthCaution_Ethnicity[[#This Row],[2024]]/YouthCaution_Ethnicity[[#This Row],[2019]]-1</f>
        <v>-0.45075125208681133</v>
      </c>
      <c r="P10" s="240">
        <f>YouthCaution_Ethnicity[[#This Row],[2024]]/YouthCaution_Ethnicity[[#This Row],[2023]]-1</f>
        <v>-0.20913461538461542</v>
      </c>
    </row>
    <row r="11" spans="1:16" x14ac:dyDescent="0.2">
      <c r="A11" s="321" t="s">
        <v>217</v>
      </c>
      <c r="B11" s="321" t="s">
        <v>74</v>
      </c>
      <c r="C11" s="253">
        <v>26700</v>
      </c>
      <c r="D11" s="253">
        <v>21422</v>
      </c>
      <c r="E11" s="253">
        <v>16611</v>
      </c>
      <c r="F11" s="253">
        <v>13397</v>
      </c>
      <c r="G11" s="253">
        <v>10883</v>
      </c>
      <c r="H11" s="253">
        <v>8542</v>
      </c>
      <c r="I11" s="253">
        <v>7766</v>
      </c>
      <c r="J11" s="253">
        <v>6141</v>
      </c>
      <c r="K11" s="253">
        <v>5220</v>
      </c>
      <c r="L11" s="253">
        <v>5014</v>
      </c>
      <c r="M11" s="253">
        <v>4317</v>
      </c>
      <c r="N11" s="332">
        <f>YouthCaution_Ethnicity[[#This Row],[2024]]/YouthCaution_Ethnicity[[#This Row],[2014]]-1</f>
        <v>-0.83831460674157299</v>
      </c>
      <c r="O11" s="332">
        <f>YouthCaution_Ethnicity[[#This Row],[2024]]/YouthCaution_Ethnicity[[#This Row],[2019]]-1</f>
        <v>-0.49461484429875913</v>
      </c>
      <c r="P11" s="332">
        <f>YouthCaution_Ethnicity[[#This Row],[2024]]/YouthCaution_Ethnicity[[#This Row],[2023]]-1</f>
        <v>-0.13901076984443561</v>
      </c>
    </row>
    <row r="12" spans="1:16" x14ac:dyDescent="0.2">
      <c r="A12" s="158" t="s">
        <v>63</v>
      </c>
      <c r="B12" s="158" t="s">
        <v>228</v>
      </c>
      <c r="C12" s="135">
        <f>C5/SUM(C$8:C$9)</f>
        <v>3.7730706331282608E-2</v>
      </c>
      <c r="D12" s="135">
        <f t="shared" ref="D12:M12" si="1">D5/SUM(D$8:D$9)</f>
        <v>4.1244251026160923E-2</v>
      </c>
      <c r="E12" s="135">
        <f t="shared" si="1"/>
        <v>4.1119173694188403E-2</v>
      </c>
      <c r="F12" s="135">
        <f t="shared" si="1"/>
        <v>4.7278770253427506E-2</v>
      </c>
      <c r="G12" s="135">
        <f t="shared" si="1"/>
        <v>4.87627365356623E-2</v>
      </c>
      <c r="H12" s="135">
        <f t="shared" si="1"/>
        <v>5.1334422657952072E-2</v>
      </c>
      <c r="I12" s="135">
        <f t="shared" si="1"/>
        <v>5.7644476956839795E-2</v>
      </c>
      <c r="J12" s="135">
        <f t="shared" si="1"/>
        <v>5.6456120737842369E-2</v>
      </c>
      <c r="K12" s="135">
        <f t="shared" si="1"/>
        <v>4.9425287356321838E-2</v>
      </c>
      <c r="L12" s="135">
        <f t="shared" si="1"/>
        <v>4.854136776661884E-2</v>
      </c>
      <c r="M12" s="135">
        <f t="shared" si="1"/>
        <v>5.1926755944247061E-2</v>
      </c>
      <c r="N12" s="159">
        <f>(YouthCaution_Ethnicity[[#This Row],[2024]]-YouthCaution_Ethnicity[[#This Row],[2014]])*100</f>
        <v>1.4196049612964452</v>
      </c>
      <c r="O12" s="159">
        <f>(YouthCaution_Ethnicity[[#This Row],[2024]]-YouthCaution_Ethnicity[[#This Row],[2019]])*100</f>
        <v>5.9233328629498816E-2</v>
      </c>
      <c r="P12" s="159">
        <f>(YouthCaution_Ethnicity[[#This Row],[2024]]-YouthCaution_Ethnicity[[#This Row],[2023]])*100</f>
        <v>0.33853881776282208</v>
      </c>
    </row>
    <row r="13" spans="1:16" x14ac:dyDescent="0.2">
      <c r="A13" s="38" t="s">
        <v>63</v>
      </c>
      <c r="B13" s="38" t="s">
        <v>176</v>
      </c>
      <c r="C13" s="130">
        <f t="shared" ref="C13:M13" si="2">C6/SUM(C$8:C$9)</f>
        <v>7.4137528229888644E-2</v>
      </c>
      <c r="D13" s="130">
        <f t="shared" si="2"/>
        <v>8.7780030661193803E-2</v>
      </c>
      <c r="E13" s="130">
        <f t="shared" si="2"/>
        <v>9.4201477413871998E-2</v>
      </c>
      <c r="F13" s="130">
        <f t="shared" si="2"/>
        <v>0.10776900706273369</v>
      </c>
      <c r="G13" s="130">
        <f t="shared" si="2"/>
        <v>0.11364108962362238</v>
      </c>
      <c r="H13" s="130">
        <f t="shared" si="2"/>
        <v>0.11015795206971678</v>
      </c>
      <c r="I13" s="130">
        <f t="shared" si="2"/>
        <v>0.11338697878566203</v>
      </c>
      <c r="J13" s="130">
        <f t="shared" si="2"/>
        <v>0.13825228246692753</v>
      </c>
      <c r="K13" s="130">
        <f t="shared" si="2"/>
        <v>0.12620689655172415</v>
      </c>
      <c r="L13" s="130">
        <f t="shared" si="2"/>
        <v>0.11525585844093734</v>
      </c>
      <c r="M13" s="130">
        <f t="shared" si="2"/>
        <v>9.5927849139109039E-2</v>
      </c>
      <c r="N13" s="131">
        <f>(YouthCaution_Ethnicity[[#This Row],[2024]]-YouthCaution_Ethnicity[[#This Row],[2014]])*100</f>
        <v>2.1790320909220395</v>
      </c>
      <c r="O13" s="131">
        <f>(YouthCaution_Ethnicity[[#This Row],[2024]]-YouthCaution_Ethnicity[[#This Row],[2019]])*100</f>
        <v>-1.4230102930607738</v>
      </c>
      <c r="P13" s="131">
        <f>(YouthCaution_Ethnicity[[#This Row],[2024]]-YouthCaution_Ethnicity[[#This Row],[2023]])*100</f>
        <v>-1.9328009301828306</v>
      </c>
    </row>
    <row r="14" spans="1:16" x14ac:dyDescent="0.2">
      <c r="A14" s="238" t="s">
        <v>63</v>
      </c>
      <c r="B14" s="239" t="s">
        <v>71</v>
      </c>
      <c r="C14" s="240">
        <f t="shared" ref="C14:M14" si="3">C7/SUM(C$8:C$9)</f>
        <v>7.2424266022895409E-3</v>
      </c>
      <c r="D14" s="240">
        <f t="shared" si="3"/>
        <v>6.5773206072894516E-3</v>
      </c>
      <c r="E14" s="240">
        <f t="shared" si="3"/>
        <v>6.0142511603582405E-3</v>
      </c>
      <c r="F14" s="240">
        <f t="shared" si="3"/>
        <v>7.7274615704196097E-3</v>
      </c>
      <c r="G14" s="240">
        <f t="shared" si="3"/>
        <v>8.9415678935329587E-3</v>
      </c>
      <c r="H14" s="240">
        <f t="shared" si="3"/>
        <v>7.4891067538126362E-3</v>
      </c>
      <c r="I14" s="240">
        <f t="shared" si="3"/>
        <v>8.3394294074615946E-3</v>
      </c>
      <c r="J14" s="240">
        <f t="shared" si="3"/>
        <v>1.155207751071362E-2</v>
      </c>
      <c r="K14" s="240">
        <f t="shared" si="3"/>
        <v>6.6666666666666671E-3</v>
      </c>
      <c r="L14" s="240">
        <f t="shared" si="3"/>
        <v>8.3692013390722145E-3</v>
      </c>
      <c r="M14" s="240">
        <f t="shared" si="3"/>
        <v>6.0125717409128176E-3</v>
      </c>
      <c r="N14" s="241">
        <f>(YouthCaution_Ethnicity[[#This Row],[2024]]-YouthCaution_Ethnicity[[#This Row],[2014]])*100</f>
        <v>-0.12298548613767232</v>
      </c>
      <c r="O14" s="241">
        <f>(YouthCaution_Ethnicity[[#This Row],[2024]]-YouthCaution_Ethnicity[[#This Row],[2019]])*100</f>
        <v>-0.14765350128998186</v>
      </c>
      <c r="P14" s="241">
        <f>(YouthCaution_Ethnicity[[#This Row],[2024]]-YouthCaution_Ethnicity[[#This Row],[2023]])*100</f>
        <v>-0.23566295981593968</v>
      </c>
    </row>
    <row r="15" spans="1:16" x14ac:dyDescent="0.2">
      <c r="A15" s="242" t="s">
        <v>63</v>
      </c>
      <c r="B15" s="243" t="s">
        <v>229</v>
      </c>
      <c r="C15" s="244">
        <f t="shared" ref="C15:M15" si="4">C8/SUM(C$8:C$9)</f>
        <v>0.11911066116346079</v>
      </c>
      <c r="D15" s="244">
        <f t="shared" si="4"/>
        <v>0.13560160229464419</v>
      </c>
      <c r="E15" s="244">
        <f t="shared" si="4"/>
        <v>0.14133490226841863</v>
      </c>
      <c r="F15" s="244">
        <f t="shared" si="4"/>
        <v>0.1627752388865808</v>
      </c>
      <c r="G15" s="244">
        <f t="shared" si="4"/>
        <v>0.17134539405281762</v>
      </c>
      <c r="H15" s="244">
        <f t="shared" si="4"/>
        <v>0.16898148148148148</v>
      </c>
      <c r="I15" s="244">
        <f t="shared" si="4"/>
        <v>0.17937088514996341</v>
      </c>
      <c r="J15" s="244">
        <f t="shared" si="4"/>
        <v>0.2062604807154835</v>
      </c>
      <c r="K15" s="244">
        <f t="shared" si="4"/>
        <v>0.18229885057471265</v>
      </c>
      <c r="L15" s="244">
        <f t="shared" si="4"/>
        <v>0.17216642754662842</v>
      </c>
      <c r="M15" s="244">
        <f t="shared" si="4"/>
        <v>0.15386717682426893</v>
      </c>
      <c r="N15" s="245">
        <f>(YouthCaution_Ethnicity[[#This Row],[2024]]-YouthCaution_Ethnicity[[#This Row],[2014]])*100</f>
        <v>3.4756515660808134</v>
      </c>
      <c r="O15" s="245">
        <f>(YouthCaution_Ethnicity[[#This Row],[2024]]-YouthCaution_Ethnicity[[#This Row],[2019]])*100</f>
        <v>-1.5114304657212556</v>
      </c>
      <c r="P15" s="245">
        <f>(YouthCaution_Ethnicity[[#This Row],[2024]]-YouthCaution_Ethnicity[[#This Row],[2023]])*100</f>
        <v>-1.8299250722359495</v>
      </c>
    </row>
    <row r="16" spans="1:16" x14ac:dyDescent="0.2">
      <c r="A16" s="242" t="s">
        <v>63</v>
      </c>
      <c r="B16" s="242" t="s">
        <v>44</v>
      </c>
      <c r="C16" s="244">
        <f t="shared" ref="C16:M16" si="5">C9/SUM(C$8:C$9)</f>
        <v>0.88088933883653919</v>
      </c>
      <c r="D16" s="244">
        <f t="shared" si="5"/>
        <v>0.86439839770535587</v>
      </c>
      <c r="E16" s="244">
        <f t="shared" si="5"/>
        <v>0.85866509773158139</v>
      </c>
      <c r="F16" s="244">
        <f t="shared" si="5"/>
        <v>0.83722476111341915</v>
      </c>
      <c r="G16" s="244">
        <f t="shared" si="5"/>
        <v>0.82865460594718232</v>
      </c>
      <c r="H16" s="244">
        <f t="shared" si="5"/>
        <v>0.83101851851851849</v>
      </c>
      <c r="I16" s="244">
        <f t="shared" si="5"/>
        <v>0.82062911485003653</v>
      </c>
      <c r="J16" s="244">
        <f t="shared" si="5"/>
        <v>0.79373951928451647</v>
      </c>
      <c r="K16" s="244">
        <f t="shared" si="5"/>
        <v>0.81770114942528738</v>
      </c>
      <c r="L16" s="244">
        <f t="shared" si="5"/>
        <v>0.82783357245337164</v>
      </c>
      <c r="M16" s="244">
        <f t="shared" si="5"/>
        <v>0.84613282317573102</v>
      </c>
      <c r="N16" s="245">
        <f>(YouthCaution_Ethnicity[[#This Row],[2024]]-YouthCaution_Ethnicity[[#This Row],[2014]])*100</f>
        <v>-3.4756515660808174</v>
      </c>
      <c r="O16" s="245">
        <f>(YouthCaution_Ethnicity[[#This Row],[2024]]-YouthCaution_Ethnicity[[#This Row],[2019]])*100</f>
        <v>1.5114304657212529</v>
      </c>
      <c r="P16" s="245">
        <f>(YouthCaution_Ethnicity[[#This Row],[2024]]-YouthCaution_Ethnicity[[#This Row],[2023]])*100</f>
        <v>1.8299250722359384</v>
      </c>
    </row>
    <row r="17" spans="1:16" x14ac:dyDescent="0.2">
      <c r="A17" s="321" t="s">
        <v>221</v>
      </c>
      <c r="B17" s="321" t="s">
        <v>267</v>
      </c>
      <c r="C17" s="332">
        <f>(C11-C10)/SUM(C$8:C$9)</f>
        <v>1</v>
      </c>
      <c r="D17" s="332">
        <f t="shared" ref="D17:M17" si="6">(D11-D10)/SUM(D$8:D$9)</f>
        <v>1</v>
      </c>
      <c r="E17" s="332">
        <f t="shared" si="6"/>
        <v>1</v>
      </c>
      <c r="F17" s="332">
        <f t="shared" si="6"/>
        <v>1</v>
      </c>
      <c r="G17" s="332">
        <f t="shared" si="6"/>
        <v>1</v>
      </c>
      <c r="H17" s="332">
        <f t="shared" si="6"/>
        <v>1</v>
      </c>
      <c r="I17" s="332">
        <f t="shared" si="6"/>
        <v>1</v>
      </c>
      <c r="J17" s="332">
        <f t="shared" si="6"/>
        <v>1</v>
      </c>
      <c r="K17" s="332">
        <f t="shared" si="6"/>
        <v>1</v>
      </c>
      <c r="L17" s="332">
        <f t="shared" si="6"/>
        <v>1</v>
      </c>
      <c r="M17" s="332">
        <f t="shared" si="6"/>
        <v>1</v>
      </c>
      <c r="N17" s="333" t="s">
        <v>49</v>
      </c>
      <c r="O17" s="333" t="s">
        <v>49</v>
      </c>
      <c r="P17" s="333" t="s">
        <v>49</v>
      </c>
    </row>
    <row r="19" spans="1:16" x14ac:dyDescent="0.2">
      <c r="A19" s="124"/>
      <c r="B19" s="124"/>
      <c r="C19" s="123"/>
    </row>
    <row r="20" spans="1:16" x14ac:dyDescent="0.2">
      <c r="A20" s="126"/>
      <c r="B20" s="126"/>
      <c r="C20" s="128"/>
      <c r="M20" s="195"/>
    </row>
    <row r="21" spans="1:16" x14ac:dyDescent="0.2">
      <c r="A21" s="126"/>
      <c r="B21" s="126"/>
      <c r="C21" s="127"/>
      <c r="M21" s="195"/>
    </row>
    <row r="22" spans="1:16" x14ac:dyDescent="0.2">
      <c r="A22" s="126"/>
      <c r="B22" s="126"/>
      <c r="C22" s="127"/>
    </row>
    <row r="23" spans="1:16" x14ac:dyDescent="0.2">
      <c r="A23" s="126"/>
      <c r="B23" s="126"/>
      <c r="C23" s="127"/>
    </row>
    <row r="24" spans="1:16" x14ac:dyDescent="0.2">
      <c r="A24" s="126"/>
      <c r="B24" s="126"/>
      <c r="C24" s="127"/>
    </row>
    <row r="25" spans="1:16" x14ac:dyDescent="0.2">
      <c r="A25" s="126"/>
      <c r="B25" s="126"/>
      <c r="C25" s="128"/>
    </row>
    <row r="26" spans="1:16" x14ac:dyDescent="0.2">
      <c r="A26" s="126"/>
      <c r="B26" s="126"/>
      <c r="C26" s="132"/>
    </row>
    <row r="27" spans="1:16" x14ac:dyDescent="0.2">
      <c r="A27" s="126"/>
      <c r="B27" s="126"/>
      <c r="C27" s="132"/>
    </row>
    <row r="28" spans="1:16" x14ac:dyDescent="0.2">
      <c r="A28" s="126"/>
      <c r="B28" s="126"/>
      <c r="C28" s="127"/>
    </row>
  </sheetData>
  <phoneticPr fontId="21" type="noConversion"/>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AE5D5-BA70-493B-AA0C-B0C36BDE5D7F}">
  <dimension ref="A1:P45"/>
  <sheetViews>
    <sheetView workbookViewId="0">
      <pane xSplit="2" ySplit="3" topLeftCell="C4" activePane="bottomRight" state="frozen"/>
      <selection pane="topRight" activeCell="C1" sqref="C1"/>
      <selection pane="bottomLeft" activeCell="A4" sqref="A4"/>
      <selection pane="bottomRight"/>
    </sheetView>
  </sheetViews>
  <sheetFormatPr defaultColWidth="8.6640625" defaultRowHeight="15" x14ac:dyDescent="0.2"/>
  <cols>
    <col min="1" max="1" width="12.6640625" customWidth="1"/>
    <col min="2" max="2" width="25.33203125" customWidth="1"/>
    <col min="14" max="16" width="11.6640625" customWidth="1"/>
  </cols>
  <sheetData>
    <row r="1" spans="1:16" ht="15.75" x14ac:dyDescent="0.2">
      <c r="A1" s="29" t="s">
        <v>306</v>
      </c>
      <c r="B1" s="29"/>
      <c r="C1" s="129"/>
      <c r="D1" s="129"/>
      <c r="E1" s="129"/>
      <c r="F1" s="129"/>
      <c r="G1" s="129"/>
      <c r="H1" s="129"/>
      <c r="I1" s="129"/>
      <c r="J1" s="129"/>
      <c r="K1" s="129"/>
      <c r="L1" s="129"/>
      <c r="M1" s="129"/>
      <c r="N1" s="129"/>
      <c r="O1" s="129"/>
      <c r="P1" s="129"/>
    </row>
    <row r="2" spans="1:16" x14ac:dyDescent="0.2">
      <c r="A2" s="103" t="s">
        <v>230</v>
      </c>
      <c r="B2" s="10"/>
      <c r="C2" s="129"/>
      <c r="D2" s="129"/>
      <c r="E2" s="129"/>
      <c r="F2" s="129"/>
      <c r="G2" s="129"/>
      <c r="H2" s="129"/>
      <c r="I2" s="129"/>
      <c r="J2" s="129"/>
      <c r="K2" s="129"/>
      <c r="L2" s="129"/>
      <c r="M2" s="129"/>
      <c r="N2" s="129"/>
      <c r="O2" s="129"/>
      <c r="P2" s="129"/>
    </row>
    <row r="3" spans="1:16" ht="51" x14ac:dyDescent="0.2">
      <c r="A3" s="18" t="s">
        <v>226</v>
      </c>
      <c r="B3" s="18" t="s">
        <v>231</v>
      </c>
      <c r="C3" s="108" t="s">
        <v>160</v>
      </c>
      <c r="D3" s="108" t="s">
        <v>161</v>
      </c>
      <c r="E3" s="108" t="s">
        <v>162</v>
      </c>
      <c r="F3" s="108" t="s">
        <v>163</v>
      </c>
      <c r="G3" s="108" t="s">
        <v>164</v>
      </c>
      <c r="H3" s="108" t="s">
        <v>165</v>
      </c>
      <c r="I3" s="108" t="s">
        <v>166</v>
      </c>
      <c r="J3" s="108" t="s">
        <v>167</v>
      </c>
      <c r="K3" s="108" t="s">
        <v>168</v>
      </c>
      <c r="L3" s="108" t="s">
        <v>169</v>
      </c>
      <c r="M3" s="108" t="s">
        <v>248</v>
      </c>
      <c r="N3" s="109" t="s">
        <v>260</v>
      </c>
      <c r="O3" s="109" t="s">
        <v>261</v>
      </c>
      <c r="P3" s="109" t="s">
        <v>259</v>
      </c>
    </row>
    <row r="4" spans="1:16" x14ac:dyDescent="0.2">
      <c r="A4" s="133" t="s">
        <v>172</v>
      </c>
      <c r="B4" s="133" t="s">
        <v>196</v>
      </c>
      <c r="C4" s="35">
        <v>452</v>
      </c>
      <c r="D4" s="35">
        <v>379</v>
      </c>
      <c r="E4" s="35">
        <v>340</v>
      </c>
      <c r="F4" s="35">
        <v>291</v>
      </c>
      <c r="G4" s="35">
        <v>281</v>
      </c>
      <c r="H4" s="35">
        <v>249</v>
      </c>
      <c r="I4" s="35">
        <v>385</v>
      </c>
      <c r="J4" s="35">
        <v>342</v>
      </c>
      <c r="K4" s="35">
        <v>323</v>
      </c>
      <c r="L4" s="35">
        <v>377</v>
      </c>
      <c r="M4" s="35">
        <v>302</v>
      </c>
      <c r="N4" s="130">
        <f>YouthCaution_Sex_OffenceGroup6[[#This Row],[2024]]/YouthCaution_Sex_OffenceGroup6[[#This Row],[2014]]-1</f>
        <v>-0.33185840707964598</v>
      </c>
      <c r="O4" s="130">
        <f>YouthCaution_Sex_OffenceGroup6[[#This Row],[2024]]/YouthCaution_Sex_OffenceGroup6[[#This Row],[2019]]-1</f>
        <v>0.21285140562248994</v>
      </c>
      <c r="P4" s="130">
        <f>YouthCaution_Sex_OffenceGroup6[[#This Row],[2024]]/YouthCaution_Sex_OffenceGroup6[[#This Row],[2023]]-1</f>
        <v>-0.19893899204244037</v>
      </c>
    </row>
    <row r="5" spans="1:16" x14ac:dyDescent="0.2">
      <c r="A5" s="133" t="s">
        <v>172</v>
      </c>
      <c r="B5" s="133" t="s">
        <v>194</v>
      </c>
      <c r="C5" s="35">
        <v>12</v>
      </c>
      <c r="D5" s="35">
        <v>6</v>
      </c>
      <c r="E5" s="35">
        <v>5</v>
      </c>
      <c r="F5" s="35">
        <v>3</v>
      </c>
      <c r="G5" s="35">
        <v>4</v>
      </c>
      <c r="H5" s="35">
        <v>3</v>
      </c>
      <c r="I5" s="35">
        <v>3</v>
      </c>
      <c r="J5" s="35">
        <v>3</v>
      </c>
      <c r="K5" s="35">
        <v>2</v>
      </c>
      <c r="L5" s="35">
        <v>1</v>
      </c>
      <c r="M5" s="35">
        <v>1</v>
      </c>
      <c r="N5" s="130">
        <f>YouthCaution_Sex_OffenceGroup6[[#This Row],[2024]]/YouthCaution_Sex_OffenceGroup6[[#This Row],[2014]]-1</f>
        <v>-0.91666666666666663</v>
      </c>
      <c r="O5" s="130">
        <f>YouthCaution_Sex_OffenceGroup6[[#This Row],[2024]]/YouthCaution_Sex_OffenceGroup6[[#This Row],[2019]]-1</f>
        <v>-0.66666666666666674</v>
      </c>
      <c r="P5" s="130">
        <f>YouthCaution_Sex_OffenceGroup6[[#This Row],[2024]]/YouthCaution_Sex_OffenceGroup6[[#This Row],[2023]]-1</f>
        <v>0</v>
      </c>
    </row>
    <row r="6" spans="1:16" x14ac:dyDescent="0.2">
      <c r="A6" s="133" t="s">
        <v>172</v>
      </c>
      <c r="B6" s="133" t="s">
        <v>193</v>
      </c>
      <c r="C6" s="35">
        <v>6</v>
      </c>
      <c r="D6" s="35">
        <v>10</v>
      </c>
      <c r="E6" s="35">
        <v>0</v>
      </c>
      <c r="F6" s="35">
        <v>2</v>
      </c>
      <c r="G6" s="35">
        <v>1</v>
      </c>
      <c r="H6" s="35">
        <v>1</v>
      </c>
      <c r="I6" s="35">
        <v>5</v>
      </c>
      <c r="J6" s="35">
        <v>2</v>
      </c>
      <c r="K6" s="35">
        <v>3</v>
      </c>
      <c r="L6" s="35">
        <v>4</v>
      </c>
      <c r="M6" s="35">
        <v>1</v>
      </c>
      <c r="N6" s="130">
        <f>YouthCaution_Sex_OffenceGroup6[[#This Row],[2024]]/YouthCaution_Sex_OffenceGroup6[[#This Row],[2014]]-1</f>
        <v>-0.83333333333333337</v>
      </c>
      <c r="O6" s="130">
        <f>YouthCaution_Sex_OffenceGroup6[[#This Row],[2024]]/YouthCaution_Sex_OffenceGroup6[[#This Row],[2019]]-1</f>
        <v>0</v>
      </c>
      <c r="P6" s="130">
        <f>YouthCaution_Sex_OffenceGroup6[[#This Row],[2024]]/YouthCaution_Sex_OffenceGroup6[[#This Row],[2023]]-1</f>
        <v>-0.75</v>
      </c>
    </row>
    <row r="7" spans="1:16" x14ac:dyDescent="0.2">
      <c r="A7" s="133" t="s">
        <v>172</v>
      </c>
      <c r="B7" s="133" t="s">
        <v>195</v>
      </c>
      <c r="C7" s="35">
        <v>1921</v>
      </c>
      <c r="D7" s="35">
        <v>1368</v>
      </c>
      <c r="E7" s="35">
        <v>1022</v>
      </c>
      <c r="F7" s="35">
        <v>760</v>
      </c>
      <c r="G7" s="35">
        <v>529</v>
      </c>
      <c r="H7" s="35">
        <v>329</v>
      </c>
      <c r="I7" s="35">
        <v>233</v>
      </c>
      <c r="J7" s="35">
        <v>105</v>
      </c>
      <c r="K7" s="35">
        <v>73</v>
      </c>
      <c r="L7" s="35">
        <v>91</v>
      </c>
      <c r="M7" s="35">
        <v>121</v>
      </c>
      <c r="N7" s="130">
        <f>YouthCaution_Sex_OffenceGroup6[[#This Row],[2024]]/YouthCaution_Sex_OffenceGroup6[[#This Row],[2014]]-1</f>
        <v>-0.93701197293076521</v>
      </c>
      <c r="O7" s="130">
        <f>YouthCaution_Sex_OffenceGroup6[[#This Row],[2024]]/YouthCaution_Sex_OffenceGroup6[[#This Row],[2019]]-1</f>
        <v>-0.63221884498480241</v>
      </c>
      <c r="P7" s="130">
        <f>YouthCaution_Sex_OffenceGroup6[[#This Row],[2024]]/YouthCaution_Sex_OffenceGroup6[[#This Row],[2023]]-1</f>
        <v>0.32967032967032961</v>
      </c>
    </row>
    <row r="8" spans="1:16" x14ac:dyDescent="0.2">
      <c r="A8" s="133" t="s">
        <v>172</v>
      </c>
      <c r="B8" s="133" t="s">
        <v>187</v>
      </c>
      <c r="C8" s="35">
        <v>143</v>
      </c>
      <c r="D8" s="35">
        <v>78</v>
      </c>
      <c r="E8" s="35">
        <v>81</v>
      </c>
      <c r="F8" s="35">
        <v>54</v>
      </c>
      <c r="G8" s="35">
        <v>45</v>
      </c>
      <c r="H8" s="35">
        <v>28</v>
      </c>
      <c r="I8" s="35">
        <v>21</v>
      </c>
      <c r="J8" s="35">
        <v>20</v>
      </c>
      <c r="K8" s="35">
        <v>14</v>
      </c>
      <c r="L8" s="35">
        <v>15</v>
      </c>
      <c r="M8" s="35">
        <v>15</v>
      </c>
      <c r="N8" s="130">
        <f>YouthCaution_Sex_OffenceGroup6[[#This Row],[2024]]/YouthCaution_Sex_OffenceGroup6[[#This Row],[2014]]-1</f>
        <v>-0.8951048951048951</v>
      </c>
      <c r="O8" s="130">
        <f>YouthCaution_Sex_OffenceGroup6[[#This Row],[2024]]/YouthCaution_Sex_OffenceGroup6[[#This Row],[2019]]-1</f>
        <v>-0.4642857142857143</v>
      </c>
      <c r="P8" s="130">
        <f>YouthCaution_Sex_OffenceGroup6[[#This Row],[2024]]/YouthCaution_Sex_OffenceGroup6[[#This Row],[2023]]-1</f>
        <v>0</v>
      </c>
    </row>
    <row r="9" spans="1:16" x14ac:dyDescent="0.2">
      <c r="A9" s="133" t="s">
        <v>172</v>
      </c>
      <c r="B9" s="133" t="s">
        <v>188</v>
      </c>
      <c r="C9" s="35">
        <v>413</v>
      </c>
      <c r="D9" s="35">
        <v>372</v>
      </c>
      <c r="E9" s="35">
        <v>244</v>
      </c>
      <c r="F9" s="35">
        <v>158</v>
      </c>
      <c r="G9" s="35">
        <v>121</v>
      </c>
      <c r="H9" s="35">
        <v>90</v>
      </c>
      <c r="I9" s="35">
        <v>79</v>
      </c>
      <c r="J9" s="35">
        <v>50</v>
      </c>
      <c r="K9" s="35">
        <v>33</v>
      </c>
      <c r="L9" s="35">
        <v>28</v>
      </c>
      <c r="M9" s="35">
        <v>21</v>
      </c>
      <c r="N9" s="130">
        <f>YouthCaution_Sex_OffenceGroup6[[#This Row],[2024]]/YouthCaution_Sex_OffenceGroup6[[#This Row],[2014]]-1</f>
        <v>-0.94915254237288138</v>
      </c>
      <c r="O9" s="130">
        <f>YouthCaution_Sex_OffenceGroup6[[#This Row],[2024]]/YouthCaution_Sex_OffenceGroup6[[#This Row],[2019]]-1</f>
        <v>-0.76666666666666661</v>
      </c>
      <c r="P9" s="130">
        <f>YouthCaution_Sex_OffenceGroup6[[#This Row],[2024]]/YouthCaution_Sex_OffenceGroup6[[#This Row],[2023]]-1</f>
        <v>-0.25</v>
      </c>
    </row>
    <row r="10" spans="1:16" x14ac:dyDescent="0.2">
      <c r="A10" s="133" t="s">
        <v>172</v>
      </c>
      <c r="B10" s="133" t="s">
        <v>232</v>
      </c>
      <c r="C10" s="35">
        <v>74</v>
      </c>
      <c r="D10" s="35">
        <v>87</v>
      </c>
      <c r="E10" s="35">
        <v>113</v>
      </c>
      <c r="F10" s="35">
        <v>116</v>
      </c>
      <c r="G10" s="35">
        <v>88</v>
      </c>
      <c r="H10" s="35">
        <v>121</v>
      </c>
      <c r="I10" s="35">
        <v>135</v>
      </c>
      <c r="J10" s="35">
        <v>107</v>
      </c>
      <c r="K10" s="35">
        <v>84</v>
      </c>
      <c r="L10" s="35">
        <v>53</v>
      </c>
      <c r="M10" s="35">
        <v>50</v>
      </c>
      <c r="N10" s="130">
        <f>YouthCaution_Sex_OffenceGroup6[[#This Row],[2024]]/YouthCaution_Sex_OffenceGroup6[[#This Row],[2014]]-1</f>
        <v>-0.32432432432432434</v>
      </c>
      <c r="O10" s="130">
        <f>YouthCaution_Sex_OffenceGroup6[[#This Row],[2024]]/YouthCaution_Sex_OffenceGroup6[[#This Row],[2019]]-1</f>
        <v>-0.58677685950413228</v>
      </c>
      <c r="P10" s="130">
        <f>YouthCaution_Sex_OffenceGroup6[[#This Row],[2024]]/YouthCaution_Sex_OffenceGroup6[[#This Row],[2023]]-1</f>
        <v>-5.6603773584905648E-2</v>
      </c>
    </row>
    <row r="11" spans="1:16" x14ac:dyDescent="0.2">
      <c r="A11" s="133" t="s">
        <v>172</v>
      </c>
      <c r="B11" s="133" t="s">
        <v>192</v>
      </c>
      <c r="C11" s="35">
        <v>78</v>
      </c>
      <c r="D11" s="35">
        <v>65</v>
      </c>
      <c r="E11" s="35">
        <v>51</v>
      </c>
      <c r="F11" s="35">
        <v>46</v>
      </c>
      <c r="G11" s="35">
        <v>44</v>
      </c>
      <c r="H11" s="35">
        <v>45</v>
      </c>
      <c r="I11" s="35">
        <v>41</v>
      </c>
      <c r="J11" s="35">
        <v>25</v>
      </c>
      <c r="K11" s="35">
        <v>30</v>
      </c>
      <c r="L11" s="35">
        <v>20</v>
      </c>
      <c r="M11" s="35">
        <v>23</v>
      </c>
      <c r="N11" s="130">
        <f>YouthCaution_Sex_OffenceGroup6[[#This Row],[2024]]/YouthCaution_Sex_OffenceGroup6[[#This Row],[2014]]-1</f>
        <v>-0.70512820512820507</v>
      </c>
      <c r="O11" s="130">
        <f>YouthCaution_Sex_OffenceGroup6[[#This Row],[2024]]/YouthCaution_Sex_OffenceGroup6[[#This Row],[2019]]-1</f>
        <v>-0.48888888888888893</v>
      </c>
      <c r="P11" s="130">
        <f>YouthCaution_Sex_OffenceGroup6[[#This Row],[2024]]/YouthCaution_Sex_OffenceGroup6[[#This Row],[2023]]-1</f>
        <v>0.14999999999999991</v>
      </c>
    </row>
    <row r="12" spans="1:16" x14ac:dyDescent="0.2">
      <c r="A12" s="133" t="s">
        <v>172</v>
      </c>
      <c r="B12" s="133" t="s">
        <v>233</v>
      </c>
      <c r="C12" s="35">
        <v>94</v>
      </c>
      <c r="D12" s="35">
        <v>58</v>
      </c>
      <c r="E12" s="35">
        <v>70</v>
      </c>
      <c r="F12" s="35">
        <v>45</v>
      </c>
      <c r="G12" s="35">
        <v>31</v>
      </c>
      <c r="H12" s="35">
        <v>27</v>
      </c>
      <c r="I12" s="35">
        <v>14</v>
      </c>
      <c r="J12" s="35">
        <v>16</v>
      </c>
      <c r="K12" s="35">
        <v>5</v>
      </c>
      <c r="L12" s="35">
        <v>16</v>
      </c>
      <c r="M12" s="35">
        <v>13</v>
      </c>
      <c r="N12" s="130">
        <f>YouthCaution_Sex_OffenceGroup6[[#This Row],[2024]]/YouthCaution_Sex_OffenceGroup6[[#This Row],[2014]]-1</f>
        <v>-0.86170212765957444</v>
      </c>
      <c r="O12" s="130">
        <f>YouthCaution_Sex_OffenceGroup6[[#This Row],[2024]]/YouthCaution_Sex_OffenceGroup6[[#This Row],[2019]]-1</f>
        <v>-0.5185185185185186</v>
      </c>
      <c r="P12" s="130">
        <f>YouthCaution_Sex_OffenceGroup6[[#This Row],[2024]]/YouthCaution_Sex_OffenceGroup6[[#This Row],[2023]]-1</f>
        <v>-0.1875</v>
      </c>
    </row>
    <row r="13" spans="1:16" x14ac:dyDescent="0.2">
      <c r="A13" s="334" t="s">
        <v>172</v>
      </c>
      <c r="B13" s="334" t="s">
        <v>189</v>
      </c>
      <c r="C13" s="248">
        <v>47</v>
      </c>
      <c r="D13" s="248">
        <v>32</v>
      </c>
      <c r="E13" s="248">
        <v>32</v>
      </c>
      <c r="F13" s="248">
        <v>13</v>
      </c>
      <c r="G13" s="248">
        <v>16</v>
      </c>
      <c r="H13" s="248">
        <v>12</v>
      </c>
      <c r="I13" s="248">
        <v>7</v>
      </c>
      <c r="J13" s="248">
        <v>4</v>
      </c>
      <c r="K13" s="248">
        <v>4</v>
      </c>
      <c r="L13" s="248">
        <v>1</v>
      </c>
      <c r="M13" s="248">
        <v>0</v>
      </c>
      <c r="N13" s="240">
        <f>YouthCaution_Sex_OffenceGroup6[[#This Row],[2024]]/YouthCaution_Sex_OffenceGroup6[[#This Row],[2014]]-1</f>
        <v>-1</v>
      </c>
      <c r="O13" s="240">
        <f>YouthCaution_Sex_OffenceGroup6[[#This Row],[2024]]/YouthCaution_Sex_OffenceGroup6[[#This Row],[2019]]-1</f>
        <v>-1</v>
      </c>
      <c r="P13" s="240">
        <f>YouthCaution_Sex_OffenceGroup6[[#This Row],[2024]]/YouthCaution_Sex_OffenceGroup6[[#This Row],[2023]]-1</f>
        <v>-1</v>
      </c>
    </row>
    <row r="14" spans="1:16" x14ac:dyDescent="0.2">
      <c r="A14" s="335" t="s">
        <v>172</v>
      </c>
      <c r="B14" s="335" t="s">
        <v>234</v>
      </c>
      <c r="C14" s="336">
        <v>3240</v>
      </c>
      <c r="D14" s="336">
        <v>2455</v>
      </c>
      <c r="E14" s="336">
        <v>1958</v>
      </c>
      <c r="F14" s="336">
        <v>1488</v>
      </c>
      <c r="G14" s="336">
        <v>1160</v>
      </c>
      <c r="H14" s="336">
        <v>905</v>
      </c>
      <c r="I14" s="336">
        <v>923</v>
      </c>
      <c r="J14" s="336">
        <v>674</v>
      </c>
      <c r="K14" s="336">
        <v>571</v>
      </c>
      <c r="L14" s="336">
        <v>606</v>
      </c>
      <c r="M14" s="336">
        <v>547</v>
      </c>
      <c r="N14" s="337">
        <f>YouthCaution_Sex_OffenceGroup6[[#This Row],[2024]]/YouthCaution_Sex_OffenceGroup6[[#This Row],[2014]]-1</f>
        <v>-0.83117283950617282</v>
      </c>
      <c r="O14" s="337">
        <f>YouthCaution_Sex_OffenceGroup6[[#This Row],[2024]]/YouthCaution_Sex_OffenceGroup6[[#This Row],[2019]]-1</f>
        <v>-0.39558011049723751</v>
      </c>
      <c r="P14" s="337">
        <f>YouthCaution_Sex_OffenceGroup6[[#This Row],[2024]]/YouthCaution_Sex_OffenceGroup6[[#This Row],[2023]]-1</f>
        <v>-9.7359735973597372E-2</v>
      </c>
    </row>
    <row r="15" spans="1:16" x14ac:dyDescent="0.2">
      <c r="A15" s="338" t="s">
        <v>172</v>
      </c>
      <c r="B15" s="338" t="s">
        <v>235</v>
      </c>
      <c r="C15" s="250">
        <v>2845</v>
      </c>
      <c r="D15" s="250">
        <v>2346</v>
      </c>
      <c r="E15" s="250">
        <v>1838</v>
      </c>
      <c r="F15" s="250">
        <v>1426</v>
      </c>
      <c r="G15" s="250">
        <v>1092</v>
      </c>
      <c r="H15" s="250">
        <v>860</v>
      </c>
      <c r="I15" s="250">
        <v>549</v>
      </c>
      <c r="J15" s="250">
        <v>381</v>
      </c>
      <c r="K15" s="250">
        <v>352</v>
      </c>
      <c r="L15" s="250">
        <v>394</v>
      </c>
      <c r="M15" s="250">
        <v>328</v>
      </c>
      <c r="N15" s="247">
        <f>YouthCaution_Sex_OffenceGroup6[[#This Row],[2024]]/YouthCaution_Sex_OffenceGroup6[[#This Row],[2014]]-1</f>
        <v>-0.88471001757469248</v>
      </c>
      <c r="O15" s="247">
        <f>YouthCaution_Sex_OffenceGroup6[[#This Row],[2024]]/YouthCaution_Sex_OffenceGroup6[[#This Row],[2019]]-1</f>
        <v>-0.61860465116279073</v>
      </c>
      <c r="P15" s="247">
        <f>YouthCaution_Sex_OffenceGroup6[[#This Row],[2024]]/YouthCaution_Sex_OffenceGroup6[[#This Row],[2023]]-1</f>
        <v>-0.1675126903553299</v>
      </c>
    </row>
    <row r="16" spans="1:16" x14ac:dyDescent="0.2">
      <c r="A16" s="334" t="s">
        <v>172</v>
      </c>
      <c r="B16" s="334" t="s">
        <v>173</v>
      </c>
      <c r="C16" s="248">
        <v>0</v>
      </c>
      <c r="D16" s="248">
        <v>1</v>
      </c>
      <c r="E16" s="248">
        <v>0</v>
      </c>
      <c r="F16" s="248">
        <v>2</v>
      </c>
      <c r="G16" s="248">
        <v>0</v>
      </c>
      <c r="H16" s="248">
        <v>0</v>
      </c>
      <c r="I16" s="248">
        <v>0</v>
      </c>
      <c r="J16" s="248">
        <v>0</v>
      </c>
      <c r="K16" s="248">
        <v>0</v>
      </c>
      <c r="L16" s="248">
        <v>1</v>
      </c>
      <c r="M16" s="248">
        <v>0</v>
      </c>
      <c r="N16" s="240" t="s">
        <v>215</v>
      </c>
      <c r="O16" s="240" t="s">
        <v>215</v>
      </c>
      <c r="P16" s="240" t="s">
        <v>215</v>
      </c>
    </row>
    <row r="17" spans="1:16" x14ac:dyDescent="0.2">
      <c r="A17" s="339" t="s">
        <v>172</v>
      </c>
      <c r="B17" s="339" t="s">
        <v>220</v>
      </c>
      <c r="C17" s="253">
        <v>6085</v>
      </c>
      <c r="D17" s="253">
        <v>4802</v>
      </c>
      <c r="E17" s="253">
        <v>3796</v>
      </c>
      <c r="F17" s="253">
        <v>2916</v>
      </c>
      <c r="G17" s="253">
        <v>2252</v>
      </c>
      <c r="H17" s="253">
        <v>1765</v>
      </c>
      <c r="I17" s="253">
        <v>1472</v>
      </c>
      <c r="J17" s="253">
        <v>1055</v>
      </c>
      <c r="K17" s="253">
        <v>923</v>
      </c>
      <c r="L17" s="253">
        <v>1001</v>
      </c>
      <c r="M17" s="253">
        <v>875</v>
      </c>
      <c r="N17" s="332">
        <f>YouthCaution_Sex_OffenceGroup6[[#This Row],[2024]]/YouthCaution_Sex_OffenceGroup6[[#This Row],[2014]]-1</f>
        <v>-0.85620377978635986</v>
      </c>
      <c r="O17" s="332">
        <f>YouthCaution_Sex_OffenceGroup6[[#This Row],[2024]]/YouthCaution_Sex_OffenceGroup6[[#This Row],[2019]]-1</f>
        <v>-0.50424929178470257</v>
      </c>
      <c r="P17" s="332">
        <f>YouthCaution_Sex_OffenceGroup6[[#This Row],[2024]]/YouthCaution_Sex_OffenceGroup6[[#This Row],[2023]]-1</f>
        <v>-0.12587412587412583</v>
      </c>
    </row>
    <row r="18" spans="1:16" x14ac:dyDescent="0.2">
      <c r="A18" s="134" t="s">
        <v>171</v>
      </c>
      <c r="B18" s="134" t="s">
        <v>196</v>
      </c>
      <c r="C18" s="54">
        <v>1090</v>
      </c>
      <c r="D18" s="54">
        <v>942</v>
      </c>
      <c r="E18" s="54">
        <v>792</v>
      </c>
      <c r="F18" s="54">
        <v>754</v>
      </c>
      <c r="G18" s="54">
        <v>687</v>
      </c>
      <c r="H18" s="54">
        <v>526</v>
      </c>
      <c r="I18" s="54">
        <v>687</v>
      </c>
      <c r="J18" s="54">
        <v>586</v>
      </c>
      <c r="K18" s="54">
        <v>625</v>
      </c>
      <c r="L18" s="54">
        <v>601</v>
      </c>
      <c r="M18" s="54">
        <v>522</v>
      </c>
      <c r="N18" s="135">
        <f>YouthCaution_Sex_OffenceGroup6[[#This Row],[2024]]/YouthCaution_Sex_OffenceGroup6[[#This Row],[2014]]-1</f>
        <v>-0.52110091743119269</v>
      </c>
      <c r="O18" s="135">
        <f>YouthCaution_Sex_OffenceGroup6[[#This Row],[2024]]/YouthCaution_Sex_OffenceGroup6[[#This Row],[2019]]-1</f>
        <v>-7.6045627376425395E-3</v>
      </c>
      <c r="P18" s="135">
        <f>YouthCaution_Sex_OffenceGroup6[[#This Row],[2024]]/YouthCaution_Sex_OffenceGroup6[[#This Row],[2023]]-1</f>
        <v>-0.13144758735440931</v>
      </c>
    </row>
    <row r="19" spans="1:16" x14ac:dyDescent="0.2">
      <c r="A19" s="133" t="s">
        <v>171</v>
      </c>
      <c r="B19" s="133" t="s">
        <v>194</v>
      </c>
      <c r="C19" s="35">
        <v>350</v>
      </c>
      <c r="D19" s="35">
        <v>293</v>
      </c>
      <c r="E19" s="35">
        <v>266</v>
      </c>
      <c r="F19" s="35">
        <v>244</v>
      </c>
      <c r="G19" s="35">
        <v>142</v>
      </c>
      <c r="H19" s="35">
        <v>128</v>
      </c>
      <c r="I19" s="35">
        <v>101</v>
      </c>
      <c r="J19" s="35">
        <v>92</v>
      </c>
      <c r="K19" s="35">
        <v>74</v>
      </c>
      <c r="L19" s="35">
        <v>68</v>
      </c>
      <c r="M19" s="35">
        <v>59</v>
      </c>
      <c r="N19" s="130">
        <f>YouthCaution_Sex_OffenceGroup6[[#This Row],[2024]]/YouthCaution_Sex_OffenceGroup6[[#This Row],[2014]]-1</f>
        <v>-0.83142857142857141</v>
      </c>
      <c r="O19" s="130">
        <f>YouthCaution_Sex_OffenceGroup6[[#This Row],[2024]]/YouthCaution_Sex_OffenceGroup6[[#This Row],[2019]]-1</f>
        <v>-0.5390625</v>
      </c>
      <c r="P19" s="130">
        <f>YouthCaution_Sex_OffenceGroup6[[#This Row],[2024]]/YouthCaution_Sex_OffenceGroup6[[#This Row],[2023]]-1</f>
        <v>-0.13235294117647056</v>
      </c>
    </row>
    <row r="20" spans="1:16" x14ac:dyDescent="0.2">
      <c r="A20" s="133" t="s">
        <v>171</v>
      </c>
      <c r="B20" s="133" t="s">
        <v>193</v>
      </c>
      <c r="C20" s="35">
        <v>89</v>
      </c>
      <c r="D20" s="35">
        <v>62</v>
      </c>
      <c r="E20" s="35">
        <v>63</v>
      </c>
      <c r="F20" s="35">
        <v>61</v>
      </c>
      <c r="G20" s="35">
        <v>68</v>
      </c>
      <c r="H20" s="35">
        <v>33</v>
      </c>
      <c r="I20" s="35">
        <v>58</v>
      </c>
      <c r="J20" s="35">
        <v>66</v>
      </c>
      <c r="K20" s="35">
        <v>47</v>
      </c>
      <c r="L20" s="35">
        <v>48</v>
      </c>
      <c r="M20" s="35">
        <v>49</v>
      </c>
      <c r="N20" s="130">
        <f>YouthCaution_Sex_OffenceGroup6[[#This Row],[2024]]/YouthCaution_Sex_OffenceGroup6[[#This Row],[2014]]-1</f>
        <v>-0.449438202247191</v>
      </c>
      <c r="O20" s="130">
        <f>YouthCaution_Sex_OffenceGroup6[[#This Row],[2024]]/YouthCaution_Sex_OffenceGroup6[[#This Row],[2019]]-1</f>
        <v>0.48484848484848486</v>
      </c>
      <c r="P20" s="130">
        <f>YouthCaution_Sex_OffenceGroup6[[#This Row],[2024]]/YouthCaution_Sex_OffenceGroup6[[#This Row],[2023]]-1</f>
        <v>2.0833333333333259E-2</v>
      </c>
    </row>
    <row r="21" spans="1:16" x14ac:dyDescent="0.2">
      <c r="A21" s="133" t="s">
        <v>171</v>
      </c>
      <c r="B21" s="133" t="s">
        <v>195</v>
      </c>
      <c r="C21" s="35">
        <v>4869</v>
      </c>
      <c r="D21" s="35">
        <v>3815</v>
      </c>
      <c r="E21" s="35">
        <v>2616</v>
      </c>
      <c r="F21" s="35">
        <v>1906</v>
      </c>
      <c r="G21" s="35">
        <v>1577</v>
      </c>
      <c r="H21" s="35">
        <v>1052</v>
      </c>
      <c r="I21" s="35">
        <v>888</v>
      </c>
      <c r="J21" s="35">
        <v>577</v>
      </c>
      <c r="K21" s="35">
        <v>402</v>
      </c>
      <c r="L21" s="35">
        <v>518</v>
      </c>
      <c r="M21" s="35">
        <v>527</v>
      </c>
      <c r="N21" s="130">
        <f>YouthCaution_Sex_OffenceGroup6[[#This Row],[2024]]/YouthCaution_Sex_OffenceGroup6[[#This Row],[2014]]-1</f>
        <v>-0.89176422263298416</v>
      </c>
      <c r="O21" s="130">
        <f>YouthCaution_Sex_OffenceGroup6[[#This Row],[2024]]/YouthCaution_Sex_OffenceGroup6[[#This Row],[2019]]-1</f>
        <v>-0.49904942965779464</v>
      </c>
      <c r="P21" s="130">
        <f>YouthCaution_Sex_OffenceGroup6[[#This Row],[2024]]/YouthCaution_Sex_OffenceGroup6[[#This Row],[2023]]-1</f>
        <v>1.7374517374517451E-2</v>
      </c>
    </row>
    <row r="22" spans="1:16" x14ac:dyDescent="0.2">
      <c r="A22" s="133" t="s">
        <v>171</v>
      </c>
      <c r="B22" s="133" t="s">
        <v>187</v>
      </c>
      <c r="C22" s="35">
        <v>719</v>
      </c>
      <c r="D22" s="35">
        <v>414</v>
      </c>
      <c r="E22" s="35">
        <v>356</v>
      </c>
      <c r="F22" s="35">
        <v>263</v>
      </c>
      <c r="G22" s="35">
        <v>237</v>
      </c>
      <c r="H22" s="35">
        <v>201</v>
      </c>
      <c r="I22" s="35">
        <v>143</v>
      </c>
      <c r="J22" s="35">
        <v>115</v>
      </c>
      <c r="K22" s="35">
        <v>108</v>
      </c>
      <c r="L22" s="35">
        <v>113</v>
      </c>
      <c r="M22" s="35">
        <v>91</v>
      </c>
      <c r="N22" s="130">
        <f>YouthCaution_Sex_OffenceGroup6[[#This Row],[2024]]/YouthCaution_Sex_OffenceGroup6[[#This Row],[2014]]-1</f>
        <v>-0.87343532684283731</v>
      </c>
      <c r="O22" s="130">
        <f>YouthCaution_Sex_OffenceGroup6[[#This Row],[2024]]/YouthCaution_Sex_OffenceGroup6[[#This Row],[2019]]-1</f>
        <v>-0.54726368159203975</v>
      </c>
      <c r="P22" s="130">
        <f>YouthCaution_Sex_OffenceGroup6[[#This Row],[2024]]/YouthCaution_Sex_OffenceGroup6[[#This Row],[2023]]-1</f>
        <v>-0.19469026548672563</v>
      </c>
    </row>
    <row r="23" spans="1:16" x14ac:dyDescent="0.2">
      <c r="A23" s="133" t="s">
        <v>171</v>
      </c>
      <c r="B23" s="133" t="s">
        <v>188</v>
      </c>
      <c r="C23" s="35">
        <v>4127</v>
      </c>
      <c r="D23" s="35">
        <v>3139</v>
      </c>
      <c r="E23" s="35">
        <v>2171</v>
      </c>
      <c r="F23" s="35">
        <v>1697</v>
      </c>
      <c r="G23" s="35">
        <v>1345</v>
      </c>
      <c r="H23" s="35">
        <v>1108</v>
      </c>
      <c r="I23" s="35">
        <v>1155</v>
      </c>
      <c r="J23" s="35">
        <v>1096</v>
      </c>
      <c r="K23" s="35">
        <v>735</v>
      </c>
      <c r="L23" s="35">
        <v>602</v>
      </c>
      <c r="M23" s="35">
        <v>452</v>
      </c>
      <c r="N23" s="130">
        <f>YouthCaution_Sex_OffenceGroup6[[#This Row],[2024]]/YouthCaution_Sex_OffenceGroup6[[#This Row],[2014]]-1</f>
        <v>-0.89047734431790648</v>
      </c>
      <c r="O23" s="130">
        <f>YouthCaution_Sex_OffenceGroup6[[#This Row],[2024]]/YouthCaution_Sex_OffenceGroup6[[#This Row],[2019]]-1</f>
        <v>-0.59205776173285196</v>
      </c>
      <c r="P23" s="130">
        <f>YouthCaution_Sex_OffenceGroup6[[#This Row],[2024]]/YouthCaution_Sex_OffenceGroup6[[#This Row],[2023]]-1</f>
        <v>-0.24916943521594681</v>
      </c>
    </row>
    <row r="24" spans="1:16" x14ac:dyDescent="0.2">
      <c r="A24" s="133" t="s">
        <v>171</v>
      </c>
      <c r="B24" s="133" t="s">
        <v>232</v>
      </c>
      <c r="C24" s="35">
        <v>616</v>
      </c>
      <c r="D24" s="35">
        <v>701</v>
      </c>
      <c r="E24" s="35">
        <v>836</v>
      </c>
      <c r="F24" s="35">
        <v>936</v>
      </c>
      <c r="G24" s="35">
        <v>1028</v>
      </c>
      <c r="H24" s="35">
        <v>979</v>
      </c>
      <c r="I24" s="35">
        <v>1173</v>
      </c>
      <c r="J24" s="35">
        <v>999</v>
      </c>
      <c r="K24" s="35">
        <v>1012</v>
      </c>
      <c r="L24" s="35">
        <v>824</v>
      </c>
      <c r="M24" s="35">
        <v>596</v>
      </c>
      <c r="N24" s="130">
        <f>YouthCaution_Sex_OffenceGroup6[[#This Row],[2024]]/YouthCaution_Sex_OffenceGroup6[[#This Row],[2014]]-1</f>
        <v>-3.2467532467532423E-2</v>
      </c>
      <c r="O24" s="130">
        <f>YouthCaution_Sex_OffenceGroup6[[#This Row],[2024]]/YouthCaution_Sex_OffenceGroup6[[#This Row],[2019]]-1</f>
        <v>-0.39121552604698673</v>
      </c>
      <c r="P24" s="130">
        <f>YouthCaution_Sex_OffenceGroup6[[#This Row],[2024]]/YouthCaution_Sex_OffenceGroup6[[#This Row],[2023]]-1</f>
        <v>-0.27669902912621358</v>
      </c>
    </row>
    <row r="25" spans="1:16" x14ac:dyDescent="0.2">
      <c r="A25" s="133" t="s">
        <v>171</v>
      </c>
      <c r="B25" s="133" t="s">
        <v>192</v>
      </c>
      <c r="C25" s="35">
        <v>293</v>
      </c>
      <c r="D25" s="35">
        <v>222</v>
      </c>
      <c r="E25" s="35">
        <v>191</v>
      </c>
      <c r="F25" s="35">
        <v>183</v>
      </c>
      <c r="G25" s="35">
        <v>116</v>
      </c>
      <c r="H25" s="35">
        <v>121</v>
      </c>
      <c r="I25" s="35">
        <v>138</v>
      </c>
      <c r="J25" s="35">
        <v>96</v>
      </c>
      <c r="K25" s="35">
        <v>95</v>
      </c>
      <c r="L25" s="35">
        <v>95</v>
      </c>
      <c r="M25" s="35">
        <v>97</v>
      </c>
      <c r="N25" s="130">
        <f>YouthCaution_Sex_OffenceGroup6[[#This Row],[2024]]/YouthCaution_Sex_OffenceGroup6[[#This Row],[2014]]-1</f>
        <v>-0.66894197952218426</v>
      </c>
      <c r="O25" s="130">
        <f>YouthCaution_Sex_OffenceGroup6[[#This Row],[2024]]/YouthCaution_Sex_OffenceGroup6[[#This Row],[2019]]-1</f>
        <v>-0.19834710743801653</v>
      </c>
      <c r="P25" s="130">
        <f>YouthCaution_Sex_OffenceGroup6[[#This Row],[2024]]/YouthCaution_Sex_OffenceGroup6[[#This Row],[2023]]-1</f>
        <v>2.1052631578947434E-2</v>
      </c>
    </row>
    <row r="26" spans="1:16" x14ac:dyDescent="0.2">
      <c r="A26" s="133" t="s">
        <v>171</v>
      </c>
      <c r="B26" s="133" t="s">
        <v>233</v>
      </c>
      <c r="C26" s="35">
        <v>510</v>
      </c>
      <c r="D26" s="35">
        <v>393</v>
      </c>
      <c r="E26" s="35">
        <v>324</v>
      </c>
      <c r="F26" s="35">
        <v>285</v>
      </c>
      <c r="G26" s="35">
        <v>216</v>
      </c>
      <c r="H26" s="35">
        <v>148</v>
      </c>
      <c r="I26" s="35">
        <v>134</v>
      </c>
      <c r="J26" s="35">
        <v>134</v>
      </c>
      <c r="K26" s="35">
        <v>131</v>
      </c>
      <c r="L26" s="35">
        <v>178</v>
      </c>
      <c r="M26" s="35">
        <v>180</v>
      </c>
      <c r="N26" s="130">
        <f>YouthCaution_Sex_OffenceGroup6[[#This Row],[2024]]/YouthCaution_Sex_OffenceGroup6[[#This Row],[2014]]-1</f>
        <v>-0.64705882352941169</v>
      </c>
      <c r="O26" s="130">
        <f>YouthCaution_Sex_OffenceGroup6[[#This Row],[2024]]/YouthCaution_Sex_OffenceGroup6[[#This Row],[2019]]-1</f>
        <v>0.21621621621621623</v>
      </c>
      <c r="P26" s="130">
        <f>YouthCaution_Sex_OffenceGroup6[[#This Row],[2024]]/YouthCaution_Sex_OffenceGroup6[[#This Row],[2023]]-1</f>
        <v>1.1235955056179803E-2</v>
      </c>
    </row>
    <row r="27" spans="1:16" x14ac:dyDescent="0.2">
      <c r="A27" s="334" t="s">
        <v>171</v>
      </c>
      <c r="B27" s="334" t="s">
        <v>189</v>
      </c>
      <c r="C27" s="248">
        <v>91</v>
      </c>
      <c r="D27" s="248">
        <v>88</v>
      </c>
      <c r="E27" s="248">
        <v>87</v>
      </c>
      <c r="F27" s="248">
        <v>54</v>
      </c>
      <c r="G27" s="248">
        <v>40</v>
      </c>
      <c r="H27" s="248">
        <v>39</v>
      </c>
      <c r="I27" s="248">
        <v>33</v>
      </c>
      <c r="J27" s="248">
        <v>23</v>
      </c>
      <c r="K27" s="248">
        <v>21</v>
      </c>
      <c r="L27" s="248">
        <v>9</v>
      </c>
      <c r="M27" s="248">
        <v>10</v>
      </c>
      <c r="N27" s="240">
        <f>YouthCaution_Sex_OffenceGroup6[[#This Row],[2024]]/YouthCaution_Sex_OffenceGroup6[[#This Row],[2014]]-1</f>
        <v>-0.89010989010989006</v>
      </c>
      <c r="O27" s="240">
        <f>YouthCaution_Sex_OffenceGroup6[[#This Row],[2024]]/YouthCaution_Sex_OffenceGroup6[[#This Row],[2019]]-1</f>
        <v>-0.74358974358974361</v>
      </c>
      <c r="P27" s="240">
        <f>YouthCaution_Sex_OffenceGroup6[[#This Row],[2024]]/YouthCaution_Sex_OffenceGroup6[[#This Row],[2023]]-1</f>
        <v>0.11111111111111116</v>
      </c>
    </row>
    <row r="28" spans="1:16" x14ac:dyDescent="0.2">
      <c r="A28" s="335" t="s">
        <v>171</v>
      </c>
      <c r="B28" s="335" t="s">
        <v>234</v>
      </c>
      <c r="C28" s="336">
        <v>12754</v>
      </c>
      <c r="D28" s="336">
        <v>10069</v>
      </c>
      <c r="E28" s="336">
        <v>7702</v>
      </c>
      <c r="F28" s="336">
        <v>6383</v>
      </c>
      <c r="G28" s="336">
        <v>5456</v>
      </c>
      <c r="H28" s="336">
        <v>4335</v>
      </c>
      <c r="I28" s="336">
        <v>4510</v>
      </c>
      <c r="J28" s="336">
        <v>3784</v>
      </c>
      <c r="K28" s="336">
        <v>3250</v>
      </c>
      <c r="L28" s="336">
        <v>3056</v>
      </c>
      <c r="M28" s="336">
        <v>2583</v>
      </c>
      <c r="N28" s="337">
        <f>YouthCaution_Sex_OffenceGroup6[[#This Row],[2024]]/YouthCaution_Sex_OffenceGroup6[[#This Row],[2014]]-1</f>
        <v>-0.79747530186608118</v>
      </c>
      <c r="O28" s="337">
        <f>YouthCaution_Sex_OffenceGroup6[[#This Row],[2024]]/YouthCaution_Sex_OffenceGroup6[[#This Row],[2019]]-1</f>
        <v>-0.40415224913494807</v>
      </c>
      <c r="P28" s="337">
        <f>YouthCaution_Sex_OffenceGroup6[[#This Row],[2024]]/YouthCaution_Sex_OffenceGroup6[[#This Row],[2023]]-1</f>
        <v>-0.1547774869109948</v>
      </c>
    </row>
    <row r="29" spans="1:16" x14ac:dyDescent="0.2">
      <c r="A29" s="338" t="s">
        <v>171</v>
      </c>
      <c r="B29" s="338" t="s">
        <v>235</v>
      </c>
      <c r="C29" s="250">
        <v>7626</v>
      </c>
      <c r="D29" s="250">
        <v>6360</v>
      </c>
      <c r="E29" s="250">
        <v>4898</v>
      </c>
      <c r="F29" s="250">
        <v>3919</v>
      </c>
      <c r="G29" s="250">
        <v>2993</v>
      </c>
      <c r="H29" s="250">
        <v>2288</v>
      </c>
      <c r="I29" s="250">
        <v>1663</v>
      </c>
      <c r="J29" s="250">
        <v>1194</v>
      </c>
      <c r="K29" s="250">
        <v>948</v>
      </c>
      <c r="L29" s="250">
        <v>852</v>
      </c>
      <c r="M29" s="250">
        <v>792</v>
      </c>
      <c r="N29" s="247">
        <f>YouthCaution_Sex_OffenceGroup6[[#This Row],[2024]]/YouthCaution_Sex_OffenceGroup6[[#This Row],[2014]]-1</f>
        <v>-0.89614476789929187</v>
      </c>
      <c r="O29" s="247">
        <f>YouthCaution_Sex_OffenceGroup6[[#This Row],[2024]]/YouthCaution_Sex_OffenceGroup6[[#This Row],[2019]]-1</f>
        <v>-0.65384615384615385</v>
      </c>
      <c r="P29" s="247">
        <f>YouthCaution_Sex_OffenceGroup6[[#This Row],[2024]]/YouthCaution_Sex_OffenceGroup6[[#This Row],[2023]]-1</f>
        <v>-7.0422535211267623E-2</v>
      </c>
    </row>
    <row r="30" spans="1:16" x14ac:dyDescent="0.2">
      <c r="A30" s="334" t="s">
        <v>171</v>
      </c>
      <c r="B30" s="334" t="s">
        <v>173</v>
      </c>
      <c r="C30" s="248">
        <v>1</v>
      </c>
      <c r="D30" s="248">
        <v>0</v>
      </c>
      <c r="E30" s="248">
        <v>2</v>
      </c>
      <c r="F30" s="248">
        <v>1</v>
      </c>
      <c r="G30" s="248">
        <v>0</v>
      </c>
      <c r="H30" s="248">
        <v>2</v>
      </c>
      <c r="I30" s="248">
        <v>0</v>
      </c>
      <c r="J30" s="248">
        <v>0</v>
      </c>
      <c r="K30" s="248">
        <v>0</v>
      </c>
      <c r="L30" s="248">
        <v>0</v>
      </c>
      <c r="M30" s="248">
        <v>0</v>
      </c>
      <c r="N30" s="240" t="s">
        <v>215</v>
      </c>
      <c r="O30" s="240" t="s">
        <v>215</v>
      </c>
      <c r="P30" s="240" t="s">
        <v>215</v>
      </c>
    </row>
    <row r="31" spans="1:16" x14ac:dyDescent="0.2">
      <c r="A31" s="339" t="s">
        <v>171</v>
      </c>
      <c r="B31" s="339" t="s">
        <v>220</v>
      </c>
      <c r="C31" s="253">
        <v>20381</v>
      </c>
      <c r="D31" s="253">
        <v>16429</v>
      </c>
      <c r="E31" s="253">
        <v>12602</v>
      </c>
      <c r="F31" s="253">
        <v>10303</v>
      </c>
      <c r="G31" s="253">
        <v>8449</v>
      </c>
      <c r="H31" s="253">
        <v>6625</v>
      </c>
      <c r="I31" s="253">
        <v>6173</v>
      </c>
      <c r="J31" s="253">
        <v>4978</v>
      </c>
      <c r="K31" s="253">
        <v>4198</v>
      </c>
      <c r="L31" s="253">
        <v>3908</v>
      </c>
      <c r="M31" s="253">
        <v>3375</v>
      </c>
      <c r="N31" s="332">
        <f>YouthCaution_Sex_OffenceGroup6[[#This Row],[2024]]/YouthCaution_Sex_OffenceGroup6[[#This Row],[2014]]-1</f>
        <v>-0.83440459251263432</v>
      </c>
      <c r="O31" s="332">
        <f>YouthCaution_Sex_OffenceGroup6[[#This Row],[2024]]/YouthCaution_Sex_OffenceGroup6[[#This Row],[2019]]-1</f>
        <v>-0.49056603773584906</v>
      </c>
      <c r="P31" s="332">
        <f>YouthCaution_Sex_OffenceGroup6[[#This Row],[2024]]/YouthCaution_Sex_OffenceGroup6[[#This Row],[2023]]-1</f>
        <v>-0.13638689866939613</v>
      </c>
    </row>
    <row r="32" spans="1:16" x14ac:dyDescent="0.2">
      <c r="A32" s="134" t="s">
        <v>74</v>
      </c>
      <c r="B32" s="134" t="s">
        <v>196</v>
      </c>
      <c r="C32" s="54">
        <v>1554</v>
      </c>
      <c r="D32" s="54">
        <v>1337</v>
      </c>
      <c r="E32" s="54">
        <v>1154</v>
      </c>
      <c r="F32" s="54">
        <v>1068</v>
      </c>
      <c r="G32" s="54">
        <v>994</v>
      </c>
      <c r="H32" s="54">
        <v>793</v>
      </c>
      <c r="I32" s="54">
        <v>1090</v>
      </c>
      <c r="J32" s="54">
        <v>953</v>
      </c>
      <c r="K32" s="54">
        <v>968</v>
      </c>
      <c r="L32" s="54">
        <v>1005</v>
      </c>
      <c r="M32" s="54">
        <v>847</v>
      </c>
      <c r="N32" s="135">
        <f>YouthCaution_Sex_OffenceGroup6[[#This Row],[2024]]/YouthCaution_Sex_OffenceGroup6[[#This Row],[2014]]-1</f>
        <v>-0.45495495495495497</v>
      </c>
      <c r="O32" s="135">
        <f>YouthCaution_Sex_OffenceGroup6[[#This Row],[2024]]/YouthCaution_Sex_OffenceGroup6[[#This Row],[2019]]-1</f>
        <v>6.8095838587641788E-2</v>
      </c>
      <c r="P32" s="135">
        <f>YouthCaution_Sex_OffenceGroup6[[#This Row],[2024]]/YouthCaution_Sex_OffenceGroup6[[#This Row],[2023]]-1</f>
        <v>-0.1572139303482587</v>
      </c>
    </row>
    <row r="33" spans="1:16" x14ac:dyDescent="0.2">
      <c r="A33" s="133" t="s">
        <v>74</v>
      </c>
      <c r="B33" s="133" t="s">
        <v>194</v>
      </c>
      <c r="C33" s="35">
        <v>365</v>
      </c>
      <c r="D33" s="35">
        <v>303</v>
      </c>
      <c r="E33" s="35">
        <v>277</v>
      </c>
      <c r="F33" s="35">
        <v>248</v>
      </c>
      <c r="G33" s="35">
        <v>151</v>
      </c>
      <c r="H33" s="35">
        <v>134</v>
      </c>
      <c r="I33" s="35">
        <v>109</v>
      </c>
      <c r="J33" s="35">
        <v>98</v>
      </c>
      <c r="K33" s="35">
        <v>76</v>
      </c>
      <c r="L33" s="35">
        <v>70</v>
      </c>
      <c r="M33" s="35">
        <v>62</v>
      </c>
      <c r="N33" s="130">
        <f>YouthCaution_Sex_OffenceGroup6[[#This Row],[2024]]/YouthCaution_Sex_OffenceGroup6[[#This Row],[2014]]-1</f>
        <v>-0.83013698630136989</v>
      </c>
      <c r="O33" s="130">
        <f>YouthCaution_Sex_OffenceGroup6[[#This Row],[2024]]/YouthCaution_Sex_OffenceGroup6[[#This Row],[2019]]-1</f>
        <v>-0.53731343283582089</v>
      </c>
      <c r="P33" s="130">
        <f>YouthCaution_Sex_OffenceGroup6[[#This Row],[2024]]/YouthCaution_Sex_OffenceGroup6[[#This Row],[2023]]-1</f>
        <v>-0.11428571428571432</v>
      </c>
    </row>
    <row r="34" spans="1:16" x14ac:dyDescent="0.2">
      <c r="A34" s="133" t="s">
        <v>74</v>
      </c>
      <c r="B34" s="133" t="s">
        <v>193</v>
      </c>
      <c r="C34" s="35">
        <v>95</v>
      </c>
      <c r="D34" s="35">
        <v>73</v>
      </c>
      <c r="E34" s="35">
        <v>64</v>
      </c>
      <c r="F34" s="35">
        <v>63</v>
      </c>
      <c r="G34" s="35">
        <v>71</v>
      </c>
      <c r="H34" s="35">
        <v>34</v>
      </c>
      <c r="I34" s="35">
        <v>63</v>
      </c>
      <c r="J34" s="35">
        <v>69</v>
      </c>
      <c r="K34" s="35">
        <v>51</v>
      </c>
      <c r="L34" s="35">
        <v>55</v>
      </c>
      <c r="M34" s="35">
        <v>50</v>
      </c>
      <c r="N34" s="130">
        <f>YouthCaution_Sex_OffenceGroup6[[#This Row],[2024]]/YouthCaution_Sex_OffenceGroup6[[#This Row],[2014]]-1</f>
        <v>-0.47368421052631582</v>
      </c>
      <c r="O34" s="130">
        <f>YouthCaution_Sex_OffenceGroup6[[#This Row],[2024]]/YouthCaution_Sex_OffenceGroup6[[#This Row],[2019]]-1</f>
        <v>0.47058823529411775</v>
      </c>
      <c r="P34" s="130">
        <f>YouthCaution_Sex_OffenceGroup6[[#This Row],[2024]]/YouthCaution_Sex_OffenceGroup6[[#This Row],[2023]]-1</f>
        <v>-9.0909090909090939E-2</v>
      </c>
    </row>
    <row r="35" spans="1:16" x14ac:dyDescent="0.2">
      <c r="A35" s="133" t="s">
        <v>74</v>
      </c>
      <c r="B35" s="133" t="s">
        <v>195</v>
      </c>
      <c r="C35" s="35">
        <v>6854</v>
      </c>
      <c r="D35" s="35">
        <v>5231</v>
      </c>
      <c r="E35" s="35">
        <v>3672</v>
      </c>
      <c r="F35" s="35">
        <v>2696</v>
      </c>
      <c r="G35" s="35">
        <v>2143</v>
      </c>
      <c r="H35" s="35">
        <v>1402</v>
      </c>
      <c r="I35" s="35">
        <v>1129</v>
      </c>
      <c r="J35" s="35">
        <v>695</v>
      </c>
      <c r="K35" s="35">
        <v>482</v>
      </c>
      <c r="L35" s="35">
        <v>621</v>
      </c>
      <c r="M35" s="35">
        <v>656</v>
      </c>
      <c r="N35" s="130">
        <f>YouthCaution_Sex_OffenceGroup6[[#This Row],[2024]]/YouthCaution_Sex_OffenceGroup6[[#This Row],[2014]]-1</f>
        <v>-0.9042894660052524</v>
      </c>
      <c r="O35" s="130">
        <f>YouthCaution_Sex_OffenceGroup6[[#This Row],[2024]]/YouthCaution_Sex_OffenceGroup6[[#This Row],[2019]]-1</f>
        <v>-0.53209700427960049</v>
      </c>
      <c r="P35" s="130">
        <f>YouthCaution_Sex_OffenceGroup6[[#This Row],[2024]]/YouthCaution_Sex_OffenceGroup6[[#This Row],[2023]]-1</f>
        <v>5.6360708534621606E-2</v>
      </c>
    </row>
    <row r="36" spans="1:16" x14ac:dyDescent="0.2">
      <c r="A36" s="133" t="s">
        <v>74</v>
      </c>
      <c r="B36" s="133" t="s">
        <v>187</v>
      </c>
      <c r="C36" s="35">
        <v>879</v>
      </c>
      <c r="D36" s="35">
        <v>501</v>
      </c>
      <c r="E36" s="35">
        <v>448</v>
      </c>
      <c r="F36" s="35">
        <v>327</v>
      </c>
      <c r="G36" s="35">
        <v>288</v>
      </c>
      <c r="H36" s="35">
        <v>232</v>
      </c>
      <c r="I36" s="35">
        <v>169</v>
      </c>
      <c r="J36" s="35">
        <v>141</v>
      </c>
      <c r="K36" s="35">
        <v>126</v>
      </c>
      <c r="L36" s="35">
        <v>129</v>
      </c>
      <c r="M36" s="35">
        <v>108</v>
      </c>
      <c r="N36" s="130">
        <f>YouthCaution_Sex_OffenceGroup6[[#This Row],[2024]]/YouthCaution_Sex_OffenceGroup6[[#This Row],[2014]]-1</f>
        <v>-0.87713310580204773</v>
      </c>
      <c r="O36" s="130">
        <f>YouthCaution_Sex_OffenceGroup6[[#This Row],[2024]]/YouthCaution_Sex_OffenceGroup6[[#This Row],[2019]]-1</f>
        <v>-0.53448275862068972</v>
      </c>
      <c r="P36" s="130">
        <f>YouthCaution_Sex_OffenceGroup6[[#This Row],[2024]]/YouthCaution_Sex_OffenceGroup6[[#This Row],[2023]]-1</f>
        <v>-0.16279069767441856</v>
      </c>
    </row>
    <row r="37" spans="1:16" x14ac:dyDescent="0.2">
      <c r="A37" s="133" t="s">
        <v>74</v>
      </c>
      <c r="B37" s="133" t="s">
        <v>188</v>
      </c>
      <c r="C37" s="35">
        <v>4577</v>
      </c>
      <c r="D37" s="35">
        <v>3545</v>
      </c>
      <c r="E37" s="35">
        <v>2444</v>
      </c>
      <c r="F37" s="35">
        <v>1880</v>
      </c>
      <c r="G37" s="35">
        <v>1481</v>
      </c>
      <c r="H37" s="35">
        <v>1210</v>
      </c>
      <c r="I37" s="35">
        <v>1243</v>
      </c>
      <c r="J37" s="35">
        <v>1156</v>
      </c>
      <c r="K37" s="35">
        <v>780</v>
      </c>
      <c r="L37" s="35">
        <v>637</v>
      </c>
      <c r="M37" s="35">
        <v>473</v>
      </c>
      <c r="N37" s="130">
        <f>YouthCaution_Sex_OffenceGroup6[[#This Row],[2024]]/YouthCaution_Sex_OffenceGroup6[[#This Row],[2014]]-1</f>
        <v>-0.89665719903867158</v>
      </c>
      <c r="O37" s="130">
        <f>YouthCaution_Sex_OffenceGroup6[[#This Row],[2024]]/YouthCaution_Sex_OffenceGroup6[[#This Row],[2019]]-1</f>
        <v>-0.60909090909090913</v>
      </c>
      <c r="P37" s="130">
        <f>YouthCaution_Sex_OffenceGroup6[[#This Row],[2024]]/YouthCaution_Sex_OffenceGroup6[[#This Row],[2023]]-1</f>
        <v>-0.25745682888540034</v>
      </c>
    </row>
    <row r="38" spans="1:16" x14ac:dyDescent="0.2">
      <c r="A38" s="133" t="s">
        <v>74</v>
      </c>
      <c r="B38" s="133" t="s">
        <v>232</v>
      </c>
      <c r="C38" s="35">
        <v>695</v>
      </c>
      <c r="D38" s="35">
        <v>794</v>
      </c>
      <c r="E38" s="35">
        <v>964</v>
      </c>
      <c r="F38" s="35">
        <v>1072</v>
      </c>
      <c r="G38" s="35">
        <v>1139</v>
      </c>
      <c r="H38" s="35">
        <v>1145</v>
      </c>
      <c r="I38" s="35">
        <v>1343</v>
      </c>
      <c r="J38" s="35">
        <v>1125</v>
      </c>
      <c r="K38" s="35">
        <v>1124</v>
      </c>
      <c r="L38" s="35">
        <v>892</v>
      </c>
      <c r="M38" s="35">
        <v>655</v>
      </c>
      <c r="N38" s="130">
        <f>YouthCaution_Sex_OffenceGroup6[[#This Row],[2024]]/YouthCaution_Sex_OffenceGroup6[[#This Row],[2014]]-1</f>
        <v>-5.7553956834532349E-2</v>
      </c>
      <c r="O38" s="130">
        <f>YouthCaution_Sex_OffenceGroup6[[#This Row],[2024]]/YouthCaution_Sex_OffenceGroup6[[#This Row],[2019]]-1</f>
        <v>-0.42794759825327511</v>
      </c>
      <c r="P38" s="130">
        <f>YouthCaution_Sex_OffenceGroup6[[#This Row],[2024]]/YouthCaution_Sex_OffenceGroup6[[#This Row],[2023]]-1</f>
        <v>-0.26569506726457404</v>
      </c>
    </row>
    <row r="39" spans="1:16" x14ac:dyDescent="0.2">
      <c r="A39" s="133" t="s">
        <v>74</v>
      </c>
      <c r="B39" s="133" t="s">
        <v>192</v>
      </c>
      <c r="C39" s="35">
        <v>376</v>
      </c>
      <c r="D39" s="35">
        <v>289</v>
      </c>
      <c r="E39" s="35">
        <v>247</v>
      </c>
      <c r="F39" s="35">
        <v>231</v>
      </c>
      <c r="G39" s="35">
        <v>161</v>
      </c>
      <c r="H39" s="35">
        <v>167</v>
      </c>
      <c r="I39" s="35">
        <v>180</v>
      </c>
      <c r="J39" s="35">
        <v>124</v>
      </c>
      <c r="K39" s="35">
        <v>127</v>
      </c>
      <c r="L39" s="35">
        <v>116</v>
      </c>
      <c r="M39" s="35">
        <v>124</v>
      </c>
      <c r="N39" s="130">
        <f>YouthCaution_Sex_OffenceGroup6[[#This Row],[2024]]/YouthCaution_Sex_OffenceGroup6[[#This Row],[2014]]-1</f>
        <v>-0.67021276595744683</v>
      </c>
      <c r="O39" s="130">
        <f>YouthCaution_Sex_OffenceGroup6[[#This Row],[2024]]/YouthCaution_Sex_OffenceGroup6[[#This Row],[2019]]-1</f>
        <v>-0.25748502994011979</v>
      </c>
      <c r="P39" s="130">
        <f>YouthCaution_Sex_OffenceGroup6[[#This Row],[2024]]/YouthCaution_Sex_OffenceGroup6[[#This Row],[2023]]-1</f>
        <v>6.8965517241379226E-2</v>
      </c>
    </row>
    <row r="40" spans="1:16" x14ac:dyDescent="0.2">
      <c r="A40" s="133" t="s">
        <v>74</v>
      </c>
      <c r="B40" s="133" t="s">
        <v>233</v>
      </c>
      <c r="C40" s="35">
        <v>609</v>
      </c>
      <c r="D40" s="35">
        <v>452</v>
      </c>
      <c r="E40" s="35">
        <v>397</v>
      </c>
      <c r="F40" s="35">
        <v>332</v>
      </c>
      <c r="G40" s="35">
        <v>251</v>
      </c>
      <c r="H40" s="35">
        <v>178</v>
      </c>
      <c r="I40" s="35">
        <v>149</v>
      </c>
      <c r="J40" s="35">
        <v>152</v>
      </c>
      <c r="K40" s="35">
        <v>139</v>
      </c>
      <c r="L40" s="35">
        <v>196</v>
      </c>
      <c r="M40" s="35">
        <v>199</v>
      </c>
      <c r="N40" s="130">
        <f>YouthCaution_Sex_OffenceGroup6[[#This Row],[2024]]/YouthCaution_Sex_OffenceGroup6[[#This Row],[2014]]-1</f>
        <v>-0.67323481116584571</v>
      </c>
      <c r="O40" s="130">
        <f>YouthCaution_Sex_OffenceGroup6[[#This Row],[2024]]/YouthCaution_Sex_OffenceGroup6[[#This Row],[2019]]-1</f>
        <v>0.1179775280898876</v>
      </c>
      <c r="P40" s="130">
        <f>YouthCaution_Sex_OffenceGroup6[[#This Row],[2024]]/YouthCaution_Sex_OffenceGroup6[[#This Row],[2023]]-1</f>
        <v>1.5306122448979664E-2</v>
      </c>
    </row>
    <row r="41" spans="1:16" x14ac:dyDescent="0.2">
      <c r="A41" s="334" t="s">
        <v>74</v>
      </c>
      <c r="B41" s="334" t="s">
        <v>189</v>
      </c>
      <c r="C41" s="248">
        <v>140</v>
      </c>
      <c r="D41" s="248">
        <v>122</v>
      </c>
      <c r="E41" s="248">
        <v>123</v>
      </c>
      <c r="F41" s="248">
        <v>67</v>
      </c>
      <c r="G41" s="248">
        <v>56</v>
      </c>
      <c r="H41" s="248">
        <v>51</v>
      </c>
      <c r="I41" s="248">
        <v>40</v>
      </c>
      <c r="J41" s="248">
        <v>28</v>
      </c>
      <c r="K41" s="248">
        <v>25</v>
      </c>
      <c r="L41" s="248">
        <v>10</v>
      </c>
      <c r="M41" s="248">
        <v>10</v>
      </c>
      <c r="N41" s="240">
        <f>YouthCaution_Sex_OffenceGroup6[[#This Row],[2024]]/YouthCaution_Sex_OffenceGroup6[[#This Row],[2014]]-1</f>
        <v>-0.9285714285714286</v>
      </c>
      <c r="O41" s="240">
        <f>YouthCaution_Sex_OffenceGroup6[[#This Row],[2024]]/YouthCaution_Sex_OffenceGroup6[[#This Row],[2019]]-1</f>
        <v>-0.80392156862745101</v>
      </c>
      <c r="P41" s="240">
        <f>YouthCaution_Sex_OffenceGroup6[[#This Row],[2024]]/YouthCaution_Sex_OffenceGroup6[[#This Row],[2023]]-1</f>
        <v>0</v>
      </c>
    </row>
    <row r="42" spans="1:16" x14ac:dyDescent="0.2">
      <c r="A42" s="335" t="s">
        <v>74</v>
      </c>
      <c r="B42" s="335" t="s">
        <v>234</v>
      </c>
      <c r="C42" s="336">
        <v>16144</v>
      </c>
      <c r="D42" s="336">
        <v>12647</v>
      </c>
      <c r="E42" s="336">
        <v>9790</v>
      </c>
      <c r="F42" s="336">
        <v>7984</v>
      </c>
      <c r="G42" s="336">
        <v>6735</v>
      </c>
      <c r="H42" s="336">
        <v>5346</v>
      </c>
      <c r="I42" s="336">
        <v>5515</v>
      </c>
      <c r="J42" s="336">
        <v>4541</v>
      </c>
      <c r="K42" s="336">
        <v>3898</v>
      </c>
      <c r="L42" s="336">
        <v>3731</v>
      </c>
      <c r="M42" s="336">
        <v>3184</v>
      </c>
      <c r="N42" s="337">
        <f>YouthCaution_Sex_OffenceGroup6[[#This Row],[2024]]/YouthCaution_Sex_OffenceGroup6[[#This Row],[2014]]-1</f>
        <v>-0.80277502477700691</v>
      </c>
      <c r="O42" s="337">
        <f>YouthCaution_Sex_OffenceGroup6[[#This Row],[2024]]/YouthCaution_Sex_OffenceGroup6[[#This Row],[2019]]-1</f>
        <v>-0.40441451552562668</v>
      </c>
      <c r="P42" s="337">
        <f>YouthCaution_Sex_OffenceGroup6[[#This Row],[2024]]/YouthCaution_Sex_OffenceGroup6[[#This Row],[2023]]-1</f>
        <v>-0.14660948807290275</v>
      </c>
    </row>
    <row r="43" spans="1:16" x14ac:dyDescent="0.2">
      <c r="A43" s="338" t="s">
        <v>74</v>
      </c>
      <c r="B43" s="338" t="s">
        <v>235</v>
      </c>
      <c r="C43" s="250">
        <v>10555</v>
      </c>
      <c r="D43" s="250">
        <v>8774</v>
      </c>
      <c r="E43" s="250">
        <v>6819</v>
      </c>
      <c r="F43" s="250">
        <v>5410</v>
      </c>
      <c r="G43" s="250">
        <v>4148</v>
      </c>
      <c r="H43" s="250">
        <v>3194</v>
      </c>
      <c r="I43" s="250">
        <v>2251</v>
      </c>
      <c r="J43" s="250">
        <v>1600</v>
      </c>
      <c r="K43" s="250">
        <v>1322</v>
      </c>
      <c r="L43" s="250">
        <v>1282</v>
      </c>
      <c r="M43" s="250">
        <v>1133</v>
      </c>
      <c r="N43" s="247">
        <f>YouthCaution_Sex_OffenceGroup6[[#This Row],[2024]]/YouthCaution_Sex_OffenceGroup6[[#This Row],[2014]]-1</f>
        <v>-0.89265750828990997</v>
      </c>
      <c r="O43" s="247">
        <f>YouthCaution_Sex_OffenceGroup6[[#This Row],[2024]]/YouthCaution_Sex_OffenceGroup6[[#This Row],[2019]]-1</f>
        <v>-0.64527238572323098</v>
      </c>
      <c r="P43" s="247">
        <f>YouthCaution_Sex_OffenceGroup6[[#This Row],[2024]]/YouthCaution_Sex_OffenceGroup6[[#This Row],[2023]]-1</f>
        <v>-0.11622464898595941</v>
      </c>
    </row>
    <row r="44" spans="1:16" x14ac:dyDescent="0.2">
      <c r="A44" s="334" t="s">
        <v>74</v>
      </c>
      <c r="B44" s="334" t="s">
        <v>173</v>
      </c>
      <c r="C44" s="248">
        <v>1</v>
      </c>
      <c r="D44" s="248">
        <v>1</v>
      </c>
      <c r="E44" s="248">
        <v>2</v>
      </c>
      <c r="F44" s="248">
        <v>3</v>
      </c>
      <c r="G44" s="248">
        <v>0</v>
      </c>
      <c r="H44" s="248">
        <v>2</v>
      </c>
      <c r="I44" s="248">
        <v>0</v>
      </c>
      <c r="J44" s="248">
        <v>0</v>
      </c>
      <c r="K44" s="248">
        <v>0</v>
      </c>
      <c r="L44" s="248">
        <v>1</v>
      </c>
      <c r="M44" s="248">
        <v>0</v>
      </c>
      <c r="N44" s="240" t="s">
        <v>215</v>
      </c>
      <c r="O44" s="240" t="s">
        <v>215</v>
      </c>
      <c r="P44" s="240" t="s">
        <v>215</v>
      </c>
    </row>
    <row r="45" spans="1:16" x14ac:dyDescent="0.2">
      <c r="A45" s="339" t="s">
        <v>74</v>
      </c>
      <c r="B45" s="339" t="s">
        <v>220</v>
      </c>
      <c r="C45" s="253">
        <v>26700</v>
      </c>
      <c r="D45" s="253">
        <v>21422</v>
      </c>
      <c r="E45" s="253">
        <v>16611</v>
      </c>
      <c r="F45" s="253">
        <v>13397</v>
      </c>
      <c r="G45" s="253">
        <v>10883</v>
      </c>
      <c r="H45" s="253">
        <v>8542</v>
      </c>
      <c r="I45" s="253">
        <v>7766</v>
      </c>
      <c r="J45" s="253">
        <v>6141</v>
      </c>
      <c r="K45" s="253">
        <v>5220</v>
      </c>
      <c r="L45" s="253">
        <v>5014</v>
      </c>
      <c r="M45" s="253">
        <v>4317</v>
      </c>
      <c r="N45" s="332">
        <f>YouthCaution_Sex_OffenceGroup6[[#This Row],[2024]]/YouthCaution_Sex_OffenceGroup6[[#This Row],[2014]]-1</f>
        <v>-0.83831460674157299</v>
      </c>
      <c r="O45" s="332">
        <f>YouthCaution_Sex_OffenceGroup6[[#This Row],[2024]]/YouthCaution_Sex_OffenceGroup6[[#This Row],[2019]]-1</f>
        <v>-0.49461484429875913</v>
      </c>
      <c r="P45" s="332">
        <f>YouthCaution_Sex_OffenceGroup6[[#This Row],[2024]]/YouthCaution_Sex_OffenceGroup6[[#This Row],[2023]]-1</f>
        <v>-0.13901076984443561</v>
      </c>
    </row>
  </sheetData>
  <pageMargins left="0.7" right="0.7" top="0.75" bottom="0.75" header="0.3" footer="0.3"/>
  <ignoredErrors>
    <ignoredError sqref="N44:P44 N30:P30 N16:P16" calculatedColumn="1"/>
  </ignoredErrors>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27"/>
  <sheetViews>
    <sheetView workbookViewId="0"/>
  </sheetViews>
  <sheetFormatPr defaultColWidth="9.33203125" defaultRowHeight="12.75" x14ac:dyDescent="0.2"/>
  <cols>
    <col min="1" max="1" width="13.6640625" style="4" customWidth="1"/>
    <col min="2" max="2" width="109.33203125" style="4" customWidth="1"/>
    <col min="3" max="16384" width="9.33203125" style="4"/>
  </cols>
  <sheetData>
    <row r="1" spans="1:25" ht="15.75" x14ac:dyDescent="0.25">
      <c r="A1" s="11" t="s">
        <v>27</v>
      </c>
      <c r="B1" s="10"/>
    </row>
    <row r="2" spans="1:25" ht="15" x14ac:dyDescent="0.2">
      <c r="A2" s="146" t="s">
        <v>308</v>
      </c>
      <c r="B2" s="10"/>
    </row>
    <row r="3" spans="1:25" ht="15.75" x14ac:dyDescent="0.25">
      <c r="A3" s="28" t="s">
        <v>28</v>
      </c>
      <c r="B3" s="28" t="s">
        <v>29</v>
      </c>
    </row>
    <row r="4" spans="1:25" ht="13.5" customHeight="1" x14ac:dyDescent="0.2">
      <c r="A4" s="12">
        <v>1</v>
      </c>
      <c r="B4" s="133" t="s">
        <v>288</v>
      </c>
    </row>
    <row r="5" spans="1:25" ht="13.5" customHeight="1" x14ac:dyDescent="0.2">
      <c r="A5" s="12">
        <v>2</v>
      </c>
      <c r="B5" s="38" t="s">
        <v>30</v>
      </c>
    </row>
    <row r="6" spans="1:25" ht="13.5" customHeight="1" x14ac:dyDescent="0.2">
      <c r="A6" s="12">
        <v>3</v>
      </c>
      <c r="B6" s="133" t="s">
        <v>264</v>
      </c>
      <c r="C6" s="13"/>
      <c r="D6" s="13"/>
      <c r="E6" s="13"/>
      <c r="F6" s="13"/>
      <c r="G6" s="13"/>
      <c r="H6" s="13"/>
      <c r="I6" s="13"/>
    </row>
    <row r="7" spans="1:25" ht="27" customHeight="1" x14ac:dyDescent="0.2">
      <c r="A7" s="12">
        <v>4</v>
      </c>
      <c r="B7" s="133" t="s">
        <v>31</v>
      </c>
      <c r="C7" s="13"/>
      <c r="D7" s="13"/>
      <c r="E7" s="13"/>
      <c r="F7" s="13"/>
      <c r="G7" s="13"/>
      <c r="H7" s="13"/>
      <c r="I7" s="13"/>
    </row>
    <row r="8" spans="1:25" ht="27" customHeight="1" x14ac:dyDescent="0.2">
      <c r="A8" s="12">
        <v>5</v>
      </c>
      <c r="B8" s="235" t="s">
        <v>313</v>
      </c>
      <c r="C8" s="13"/>
      <c r="D8" s="13"/>
      <c r="E8" s="13"/>
      <c r="F8" s="13"/>
      <c r="G8" s="13"/>
      <c r="H8" s="13"/>
      <c r="I8" s="13"/>
    </row>
    <row r="9" spans="1:25" ht="40.5" customHeight="1" x14ac:dyDescent="0.2">
      <c r="A9" s="12">
        <v>6</v>
      </c>
      <c r="B9" s="235" t="s">
        <v>32</v>
      </c>
      <c r="C9" s="87"/>
    </row>
    <row r="10" spans="1:25" ht="13.5" customHeight="1" x14ac:dyDescent="0.2">
      <c r="A10" s="12">
        <v>7</v>
      </c>
      <c r="B10" s="133" t="s">
        <v>310</v>
      </c>
      <c r="C10" s="26"/>
      <c r="D10" s="199"/>
      <c r="E10" s="200"/>
      <c r="F10" s="26"/>
      <c r="G10" s="26"/>
      <c r="H10" s="26"/>
      <c r="I10" s="26"/>
      <c r="J10" s="26"/>
      <c r="K10" s="26"/>
      <c r="L10" s="26"/>
      <c r="M10" s="26"/>
    </row>
    <row r="11" spans="1:25" ht="40.5" customHeight="1" x14ac:dyDescent="0.2">
      <c r="A11" s="12">
        <v>8</v>
      </c>
      <c r="B11" s="236" t="s">
        <v>33</v>
      </c>
      <c r="C11" s="27"/>
      <c r="D11" s="199"/>
      <c r="E11" s="200"/>
      <c r="F11" s="27"/>
      <c r="G11" s="27"/>
      <c r="H11" s="27"/>
      <c r="I11" s="27"/>
      <c r="J11" s="15"/>
      <c r="K11" s="15"/>
      <c r="L11" s="15"/>
      <c r="M11" s="15"/>
    </row>
    <row r="12" spans="1:25" ht="27" customHeight="1" x14ac:dyDescent="0.2">
      <c r="A12" s="12">
        <v>9</v>
      </c>
      <c r="B12" s="236" t="s">
        <v>34</v>
      </c>
      <c r="C12" s="1"/>
      <c r="D12" s="199"/>
      <c r="E12" s="200"/>
      <c r="F12" s="1"/>
      <c r="G12" s="1"/>
      <c r="H12" s="1"/>
      <c r="I12" s="1"/>
      <c r="J12" s="1"/>
      <c r="K12" s="1"/>
      <c r="L12" s="1"/>
      <c r="M12" s="1"/>
      <c r="N12" s="1"/>
      <c r="O12" s="1"/>
      <c r="P12" s="1"/>
      <c r="Q12" s="1"/>
      <c r="R12" s="1"/>
      <c r="S12" s="1"/>
      <c r="T12" s="1"/>
      <c r="U12" s="1"/>
      <c r="V12" s="1"/>
      <c r="W12" s="1"/>
      <c r="X12" s="1"/>
      <c r="Y12" s="1"/>
    </row>
    <row r="13" spans="1:25" ht="27" customHeight="1" x14ac:dyDescent="0.2">
      <c r="A13" s="12">
        <v>10</v>
      </c>
      <c r="B13" s="235" t="s">
        <v>35</v>
      </c>
      <c r="C13" s="1"/>
      <c r="D13" s="199"/>
      <c r="E13" s="200"/>
      <c r="F13" s="1"/>
      <c r="G13" s="1"/>
      <c r="H13" s="1"/>
      <c r="I13" s="1"/>
      <c r="J13" s="1"/>
      <c r="K13" s="1"/>
      <c r="L13" s="1"/>
      <c r="M13" s="1"/>
      <c r="N13" s="1"/>
      <c r="O13" s="1"/>
      <c r="P13" s="1"/>
      <c r="Q13" s="1"/>
      <c r="R13" s="1"/>
      <c r="S13" s="1"/>
      <c r="T13" s="1"/>
      <c r="U13" s="1"/>
      <c r="V13" s="1"/>
      <c r="W13" s="1"/>
      <c r="X13" s="1"/>
      <c r="Y13" s="1"/>
    </row>
    <row r="14" spans="1:25" ht="13.5" customHeight="1" x14ac:dyDescent="0.2">
      <c r="A14" s="12">
        <v>11</v>
      </c>
      <c r="B14" s="133" t="s">
        <v>268</v>
      </c>
      <c r="C14" s="3"/>
      <c r="D14" s="199"/>
      <c r="E14" s="200"/>
      <c r="F14" s="3"/>
      <c r="G14" s="3"/>
      <c r="H14" s="3"/>
      <c r="I14" s="3"/>
      <c r="J14" s="3"/>
      <c r="K14" s="3"/>
      <c r="L14" s="2"/>
      <c r="M14" s="2"/>
      <c r="N14" s="2"/>
      <c r="O14" s="2"/>
    </row>
    <row r="15" spans="1:25" ht="13.5" customHeight="1" x14ac:dyDescent="0.2">
      <c r="A15" s="12">
        <v>12</v>
      </c>
      <c r="B15" s="133" t="s">
        <v>311</v>
      </c>
      <c r="D15" s="199"/>
      <c r="E15" s="201"/>
    </row>
    <row r="16" spans="1:25" ht="40.5" customHeight="1" x14ac:dyDescent="0.2">
      <c r="A16" s="12">
        <v>13</v>
      </c>
      <c r="B16" s="235" t="s">
        <v>36</v>
      </c>
      <c r="D16" s="199"/>
      <c r="E16" s="46"/>
    </row>
    <row r="17" spans="1:13" ht="27" customHeight="1" x14ac:dyDescent="0.2">
      <c r="A17" s="12">
        <v>14</v>
      </c>
      <c r="B17" s="236" t="s">
        <v>312</v>
      </c>
      <c r="D17" s="199"/>
      <c r="E17" s="46"/>
    </row>
    <row r="18" spans="1:13" ht="13.5" customHeight="1" x14ac:dyDescent="0.2">
      <c r="A18" s="12">
        <v>15</v>
      </c>
      <c r="B18" s="133" t="s">
        <v>282</v>
      </c>
      <c r="C18" s="44"/>
      <c r="D18" s="199"/>
      <c r="E18" s="200"/>
      <c r="F18" s="44"/>
      <c r="G18" s="44"/>
      <c r="H18" s="44"/>
      <c r="I18" s="44"/>
      <c r="J18" s="44"/>
      <c r="K18" s="44"/>
      <c r="L18" s="44"/>
      <c r="M18" s="44"/>
    </row>
    <row r="19" spans="1:13" ht="13.5" customHeight="1" x14ac:dyDescent="0.2">
      <c r="A19" s="12">
        <v>16</v>
      </c>
      <c r="B19" s="236" t="s">
        <v>269</v>
      </c>
      <c r="C19" s="40"/>
      <c r="D19" s="199"/>
      <c r="E19" s="200"/>
      <c r="F19" s="40"/>
      <c r="G19" s="40"/>
      <c r="H19" s="40"/>
      <c r="I19" s="40"/>
      <c r="J19" s="40"/>
      <c r="K19" s="40"/>
      <c r="L19" s="40"/>
      <c r="M19" s="40"/>
    </row>
    <row r="20" spans="1:13" ht="27" customHeight="1" x14ac:dyDescent="0.2">
      <c r="A20" s="12">
        <v>17</v>
      </c>
      <c r="B20" s="236" t="s">
        <v>289</v>
      </c>
      <c r="C20" s="40"/>
      <c r="D20" s="199"/>
      <c r="E20" s="202"/>
      <c r="F20" s="40"/>
      <c r="G20" s="40"/>
      <c r="H20" s="40"/>
      <c r="I20" s="40"/>
      <c r="J20" s="40"/>
      <c r="K20" s="40"/>
      <c r="L20" s="40"/>
      <c r="M20" s="40"/>
    </row>
    <row r="21" spans="1:13" ht="27" customHeight="1" x14ac:dyDescent="0.2">
      <c r="A21" s="12">
        <v>18</v>
      </c>
      <c r="B21" s="236" t="s">
        <v>309</v>
      </c>
      <c r="C21" s="40"/>
      <c r="D21" s="199"/>
      <c r="E21" s="47"/>
      <c r="F21" s="40"/>
      <c r="G21" s="40"/>
      <c r="H21" s="40"/>
      <c r="I21" s="40"/>
      <c r="J21" s="40"/>
      <c r="K21" s="40"/>
      <c r="L21" s="40"/>
      <c r="M21" s="40"/>
    </row>
    <row r="22" spans="1:13" ht="67.5" customHeight="1" x14ac:dyDescent="0.2">
      <c r="A22" s="12">
        <v>19</v>
      </c>
      <c r="B22" s="133" t="s">
        <v>301</v>
      </c>
      <c r="C22" s="45"/>
      <c r="D22" s="45"/>
      <c r="E22" s="45"/>
      <c r="F22" s="45"/>
      <c r="G22" s="45"/>
      <c r="H22" s="45"/>
      <c r="I22" s="45"/>
      <c r="J22" s="45"/>
      <c r="K22" s="45"/>
      <c r="L22" s="45"/>
      <c r="M22" s="45"/>
    </row>
    <row r="23" spans="1:13" ht="13.5" customHeight="1" x14ac:dyDescent="0.2">
      <c r="B23" s="41"/>
      <c r="C23" s="40"/>
      <c r="D23" s="40"/>
      <c r="E23" s="40"/>
      <c r="F23" s="40"/>
      <c r="G23" s="40"/>
      <c r="H23" s="40"/>
      <c r="I23" s="40"/>
      <c r="J23" s="40"/>
      <c r="K23" s="40"/>
      <c r="L23" s="40"/>
      <c r="M23" s="40"/>
    </row>
    <row r="24" spans="1:13" ht="12.6" customHeight="1" x14ac:dyDescent="0.2">
      <c r="B24" s="41"/>
      <c r="C24" s="41"/>
      <c r="D24" s="41"/>
      <c r="E24" s="41"/>
      <c r="F24" s="41"/>
      <c r="G24" s="41"/>
      <c r="H24" s="41"/>
      <c r="I24" s="41"/>
      <c r="J24" s="41"/>
      <c r="K24" s="41"/>
      <c r="L24" s="41"/>
      <c r="M24" s="41"/>
    </row>
    <row r="25" spans="1:13" x14ac:dyDescent="0.2">
      <c r="B25" s="40"/>
      <c r="C25" s="41"/>
      <c r="D25" s="41"/>
      <c r="E25" s="41"/>
      <c r="F25" s="41"/>
      <c r="G25" s="41"/>
      <c r="H25" s="41"/>
      <c r="I25" s="41"/>
      <c r="J25" s="41"/>
      <c r="K25" s="41"/>
      <c r="L25" s="41"/>
      <c r="M25" s="41"/>
    </row>
    <row r="26" spans="1:13" x14ac:dyDescent="0.2">
      <c r="B26" s="44"/>
      <c r="C26" s="40"/>
      <c r="D26" s="40"/>
      <c r="E26" s="40"/>
      <c r="F26" s="40"/>
      <c r="G26" s="40"/>
      <c r="H26" s="40"/>
      <c r="I26" s="40"/>
      <c r="J26" s="40"/>
      <c r="K26" s="40"/>
      <c r="L26" s="40"/>
      <c r="M26" s="40"/>
    </row>
    <row r="27" spans="1:13" ht="12.6" customHeight="1" x14ac:dyDescent="0.2">
      <c r="C27" s="44"/>
      <c r="D27" s="44"/>
      <c r="E27" s="44"/>
      <c r="F27" s="44"/>
      <c r="G27" s="44"/>
      <c r="H27" s="44"/>
      <c r="I27" s="44"/>
      <c r="J27" s="44"/>
      <c r="K27" s="44"/>
      <c r="L27" s="44"/>
      <c r="M27" s="44"/>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7"/>
  <sheetViews>
    <sheetView zoomScaleNormal="100" workbookViewId="0"/>
  </sheetViews>
  <sheetFormatPr defaultColWidth="9.33203125" defaultRowHeight="12" x14ac:dyDescent="0.2"/>
  <cols>
    <col min="1" max="1" width="31.6640625" style="5" customWidth="1"/>
    <col min="2" max="6" width="10.109375" style="48" customWidth="1"/>
    <col min="7" max="7" width="10.33203125" style="48" customWidth="1"/>
    <col min="8" max="8" width="10.109375" style="48" customWidth="1"/>
    <col min="9" max="9" width="11" style="48" customWidth="1"/>
    <col min="10" max="16384" width="9.33203125" style="5"/>
  </cols>
  <sheetData>
    <row r="1" spans="1:9" ht="15.75" x14ac:dyDescent="0.2">
      <c r="A1" s="29" t="s">
        <v>290</v>
      </c>
    </row>
    <row r="2" spans="1:9" ht="15.75" x14ac:dyDescent="0.2">
      <c r="A2" s="29" t="s">
        <v>254</v>
      </c>
    </row>
    <row r="3" spans="1:9" ht="15" x14ac:dyDescent="0.2">
      <c r="A3" s="16" t="s">
        <v>37</v>
      </c>
    </row>
    <row r="4" spans="1:9" ht="15" x14ac:dyDescent="0.2">
      <c r="A4" s="10" t="s">
        <v>38</v>
      </c>
    </row>
    <row r="5" spans="1:9" s="6" customFormat="1" ht="52.35" customHeight="1" x14ac:dyDescent="0.2">
      <c r="A5" s="186" t="s">
        <v>39</v>
      </c>
      <c r="B5" s="181" t="s">
        <v>40</v>
      </c>
      <c r="C5" s="181" t="s">
        <v>41</v>
      </c>
      <c r="D5" s="211" t="s">
        <v>42</v>
      </c>
      <c r="E5" s="212" t="s">
        <v>43</v>
      </c>
      <c r="F5" s="213" t="s">
        <v>44</v>
      </c>
      <c r="G5" s="181" t="s">
        <v>291</v>
      </c>
      <c r="H5" s="181" t="s">
        <v>292</v>
      </c>
      <c r="I5" s="181" t="s">
        <v>293</v>
      </c>
    </row>
    <row r="6" spans="1:9" ht="15" customHeight="1" x14ac:dyDescent="0.2">
      <c r="A6" s="20" t="s">
        <v>45</v>
      </c>
      <c r="B6" s="35">
        <v>10666</v>
      </c>
      <c r="C6" s="35">
        <v>24895</v>
      </c>
      <c r="D6" s="214">
        <v>7596</v>
      </c>
      <c r="E6" s="215">
        <f>SUM(B6:D6)</f>
        <v>43157</v>
      </c>
      <c r="F6" s="216">
        <v>70654</v>
      </c>
      <c r="G6" s="35">
        <f>SUM(E6:F6)</f>
        <v>113811</v>
      </c>
      <c r="H6" s="35">
        <v>1748</v>
      </c>
      <c r="I6" s="49">
        <f>SUM(H6,G6)</f>
        <v>115559</v>
      </c>
    </row>
    <row r="7" spans="1:9" ht="15" customHeight="1" x14ac:dyDescent="0.2">
      <c r="A7" s="20" t="s">
        <v>46</v>
      </c>
      <c r="B7" s="35">
        <v>7952</v>
      </c>
      <c r="C7" s="35">
        <v>18780</v>
      </c>
      <c r="D7" s="214">
        <v>6117</v>
      </c>
      <c r="E7" s="215">
        <f t="shared" ref="E7:E9" si="0">SUM(B7:D7)</f>
        <v>32849</v>
      </c>
      <c r="F7" s="216">
        <v>60808</v>
      </c>
      <c r="G7" s="35">
        <f t="shared" ref="G7:G9" si="1">SUM(E7:F7)</f>
        <v>93657</v>
      </c>
      <c r="H7" s="35">
        <v>1376</v>
      </c>
      <c r="I7" s="49">
        <f>SUM(H7,G7)</f>
        <v>95033</v>
      </c>
    </row>
    <row r="8" spans="1:9" ht="15" customHeight="1" x14ac:dyDescent="0.2">
      <c r="A8" s="20" t="s">
        <v>47</v>
      </c>
      <c r="B8" s="35">
        <v>8238</v>
      </c>
      <c r="C8" s="35">
        <v>21229</v>
      </c>
      <c r="D8" s="214">
        <v>6998</v>
      </c>
      <c r="E8" s="215">
        <f t="shared" si="0"/>
        <v>36465</v>
      </c>
      <c r="F8" s="216">
        <v>69402</v>
      </c>
      <c r="G8" s="35">
        <f t="shared" si="1"/>
        <v>105867</v>
      </c>
      <c r="H8" s="35">
        <v>1897</v>
      </c>
      <c r="I8" s="49">
        <f>SUM(H8,G8)</f>
        <v>107764</v>
      </c>
    </row>
    <row r="9" spans="1:9" ht="15" customHeight="1" x14ac:dyDescent="0.2">
      <c r="A9" s="187" t="s">
        <v>244</v>
      </c>
      <c r="B9" s="50">
        <v>7543</v>
      </c>
      <c r="C9" s="50">
        <v>19166</v>
      </c>
      <c r="D9" s="217">
        <v>7425</v>
      </c>
      <c r="E9" s="237">
        <f t="shared" si="0"/>
        <v>34134</v>
      </c>
      <c r="F9" s="218">
        <v>67243</v>
      </c>
      <c r="G9" s="208">
        <f t="shared" si="1"/>
        <v>101377</v>
      </c>
      <c r="H9" s="50">
        <v>1758</v>
      </c>
      <c r="I9" s="50">
        <f>SUM(H9,G9)</f>
        <v>103135</v>
      </c>
    </row>
    <row r="10" spans="1:9" ht="15" customHeight="1" x14ac:dyDescent="0.2">
      <c r="A10" s="21" t="s">
        <v>48</v>
      </c>
      <c r="B10" s="51">
        <f t="shared" ref="B10:F13" si="2">B6/$G6</f>
        <v>9.3716776058553219E-2</v>
      </c>
      <c r="C10" s="51">
        <f t="shared" si="2"/>
        <v>0.21873984061294602</v>
      </c>
      <c r="D10" s="219">
        <f t="shared" si="2"/>
        <v>6.674223054010596E-2</v>
      </c>
      <c r="E10" s="220">
        <f t="shared" si="2"/>
        <v>0.37919884721160518</v>
      </c>
      <c r="F10" s="92">
        <f t="shared" si="2"/>
        <v>0.62080115278839476</v>
      </c>
      <c r="G10" s="52" t="s">
        <v>49</v>
      </c>
      <c r="H10" s="52" t="s">
        <v>49</v>
      </c>
      <c r="I10" s="52" t="s">
        <v>49</v>
      </c>
    </row>
    <row r="11" spans="1:9" ht="15" customHeight="1" x14ac:dyDescent="0.2">
      <c r="A11" s="20" t="s">
        <v>50</v>
      </c>
      <c r="B11" s="72">
        <f t="shared" si="2"/>
        <v>8.4905559648504644E-2</v>
      </c>
      <c r="C11" s="72">
        <f t="shared" si="2"/>
        <v>0.20051891476344533</v>
      </c>
      <c r="D11" s="170">
        <f t="shared" si="2"/>
        <v>6.5312790287965661E-2</v>
      </c>
      <c r="E11" s="145">
        <f t="shared" si="2"/>
        <v>0.35073726469991567</v>
      </c>
      <c r="F11" s="91">
        <f t="shared" si="2"/>
        <v>0.64926273530008438</v>
      </c>
      <c r="G11" s="59" t="s">
        <v>49</v>
      </c>
      <c r="H11" s="59" t="s">
        <v>49</v>
      </c>
      <c r="I11" s="59" t="s">
        <v>49</v>
      </c>
    </row>
    <row r="12" spans="1:9" ht="15" customHeight="1" x14ac:dyDescent="0.2">
      <c r="A12" s="20" t="s">
        <v>51</v>
      </c>
      <c r="B12" s="72">
        <f t="shared" si="2"/>
        <v>7.7814616452718977E-2</v>
      </c>
      <c r="C12" s="72">
        <f t="shared" si="2"/>
        <v>0.20052518726326429</v>
      </c>
      <c r="D12" s="170">
        <f t="shared" si="2"/>
        <v>6.6101806984234943E-2</v>
      </c>
      <c r="E12" s="145">
        <f t="shared" si="2"/>
        <v>0.34444161070021823</v>
      </c>
      <c r="F12" s="91">
        <f t="shared" si="2"/>
        <v>0.65555838929978183</v>
      </c>
      <c r="G12" s="59" t="s">
        <v>49</v>
      </c>
      <c r="H12" s="59" t="s">
        <v>49</v>
      </c>
      <c r="I12" s="59" t="s">
        <v>49</v>
      </c>
    </row>
    <row r="13" spans="1:9" ht="15" customHeight="1" x14ac:dyDescent="0.2">
      <c r="A13" s="20" t="s">
        <v>245</v>
      </c>
      <c r="B13" s="72">
        <f t="shared" si="2"/>
        <v>7.4405437130710128E-2</v>
      </c>
      <c r="C13" s="72">
        <f t="shared" si="2"/>
        <v>0.1890566893871391</v>
      </c>
      <c r="D13" s="170">
        <f t="shared" si="2"/>
        <v>7.3241465026583935E-2</v>
      </c>
      <c r="E13" s="145">
        <f t="shared" si="2"/>
        <v>0.33670359154443313</v>
      </c>
      <c r="F13" s="91">
        <f t="shared" si="2"/>
        <v>0.66329640845556681</v>
      </c>
      <c r="G13" s="56" t="s">
        <v>49</v>
      </c>
      <c r="H13" s="56" t="s">
        <v>49</v>
      </c>
      <c r="I13" s="56" t="s">
        <v>49</v>
      </c>
    </row>
    <row r="14" spans="1:9" ht="15" customHeight="1" x14ac:dyDescent="0.2">
      <c r="A14" s="22" t="s">
        <v>265</v>
      </c>
      <c r="B14" s="54">
        <v>663829</v>
      </c>
      <c r="C14" s="54">
        <v>333602</v>
      </c>
      <c r="D14" s="221">
        <v>475847</v>
      </c>
      <c r="E14" s="222">
        <f>SUM(B14:D14)</f>
        <v>1473278</v>
      </c>
      <c r="F14" s="223">
        <v>4162164</v>
      </c>
      <c r="G14" s="35">
        <f>SUM(E14:F14)</f>
        <v>5635442</v>
      </c>
      <c r="H14" s="55" t="s">
        <v>49</v>
      </c>
      <c r="I14" s="55" t="s">
        <v>49</v>
      </c>
    </row>
    <row r="15" spans="1:9" ht="15" customHeight="1" x14ac:dyDescent="0.2">
      <c r="A15" s="23" t="s">
        <v>52</v>
      </c>
      <c r="B15" s="53">
        <f t="shared" ref="B15:G15" si="3">B14/$G$14</f>
        <v>0.11779537434685691</v>
      </c>
      <c r="C15" s="53">
        <f t="shared" si="3"/>
        <v>5.9197131298662997E-2</v>
      </c>
      <c r="D15" s="224">
        <f t="shared" si="3"/>
        <v>8.4438274761766685E-2</v>
      </c>
      <c r="E15" s="209">
        <f t="shared" si="3"/>
        <v>0.26143078040728662</v>
      </c>
      <c r="F15" s="225">
        <f t="shared" si="3"/>
        <v>0.73856921959271338</v>
      </c>
      <c r="G15" s="53">
        <f t="shared" si="3"/>
        <v>1</v>
      </c>
      <c r="H15" s="56" t="s">
        <v>49</v>
      </c>
      <c r="I15" s="56" t="s">
        <v>49</v>
      </c>
    </row>
    <row r="16" spans="1:9" ht="15" customHeight="1" x14ac:dyDescent="0.2">
      <c r="A16" s="21" t="s">
        <v>53</v>
      </c>
      <c r="B16" s="57">
        <f>1000*B6/B$14</f>
        <v>16.067390849149405</v>
      </c>
      <c r="C16" s="57">
        <f t="shared" ref="C16:G16" si="4">1000*C6/C$14</f>
        <v>74.624852368990588</v>
      </c>
      <c r="D16" s="226">
        <f t="shared" si="4"/>
        <v>15.963114194268325</v>
      </c>
      <c r="E16" s="227">
        <f t="shared" si="4"/>
        <v>29.29318159912793</v>
      </c>
      <c r="F16" s="228">
        <f t="shared" si="4"/>
        <v>16.975304192722824</v>
      </c>
      <c r="G16" s="57">
        <f t="shared" si="4"/>
        <v>20.195576496040594</v>
      </c>
      <c r="H16" s="52" t="s">
        <v>49</v>
      </c>
      <c r="I16" s="52" t="s">
        <v>49</v>
      </c>
    </row>
    <row r="17" spans="1:9" ht="15" customHeight="1" x14ac:dyDescent="0.2">
      <c r="A17" s="20" t="s">
        <v>54</v>
      </c>
      <c r="B17" s="58">
        <f t="shared" ref="B17:G17" si="5">1000*B7/B$14</f>
        <v>11.978988564826183</v>
      </c>
      <c r="C17" s="58">
        <f t="shared" si="5"/>
        <v>56.294626531016</v>
      </c>
      <c r="D17" s="229">
        <f t="shared" si="5"/>
        <v>12.854972291513869</v>
      </c>
      <c r="E17" s="230">
        <f t="shared" si="5"/>
        <v>22.296538738785213</v>
      </c>
      <c r="F17" s="231">
        <f t="shared" si="5"/>
        <v>14.609707834674463</v>
      </c>
      <c r="G17" s="58">
        <f t="shared" si="5"/>
        <v>16.619282036794985</v>
      </c>
      <c r="H17" s="59" t="s">
        <v>49</v>
      </c>
      <c r="I17" s="59" t="s">
        <v>49</v>
      </c>
    </row>
    <row r="18" spans="1:9" ht="15" customHeight="1" x14ac:dyDescent="0.2">
      <c r="A18" s="20" t="s">
        <v>55</v>
      </c>
      <c r="B18" s="58">
        <f>1000*B8/B$14</f>
        <v>12.409822409084267</v>
      </c>
      <c r="C18" s="58">
        <f t="shared" ref="C18:G19" si="6">1000*C8/C$14</f>
        <v>63.635709618047855</v>
      </c>
      <c r="D18" s="229">
        <f t="shared" si="6"/>
        <v>14.706407731897018</v>
      </c>
      <c r="E18" s="230">
        <f t="shared" si="6"/>
        <v>24.750929559797946</v>
      </c>
      <c r="F18" s="231">
        <f t="shared" si="6"/>
        <v>16.674499130740642</v>
      </c>
      <c r="G18" s="58">
        <f t="shared" si="6"/>
        <v>18.785926640714251</v>
      </c>
      <c r="H18" s="59" t="s">
        <v>49</v>
      </c>
      <c r="I18" s="59" t="s">
        <v>49</v>
      </c>
    </row>
    <row r="19" spans="1:9" ht="15" customHeight="1" x14ac:dyDescent="0.2">
      <c r="A19" s="187" t="s">
        <v>249</v>
      </c>
      <c r="B19" s="188">
        <f>1000*B9/B$14</f>
        <v>11.362866039296264</v>
      </c>
      <c r="C19" s="188">
        <f t="shared" si="6"/>
        <v>57.451693934688642</v>
      </c>
      <c r="D19" s="232">
        <f t="shared" si="6"/>
        <v>15.603754988473186</v>
      </c>
      <c r="E19" s="233">
        <f t="shared" si="6"/>
        <v>23.168743441495767</v>
      </c>
      <c r="F19" s="234">
        <f t="shared" si="6"/>
        <v>16.1557785805653</v>
      </c>
      <c r="G19" s="188">
        <f t="shared" si="6"/>
        <v>17.989183457127233</v>
      </c>
      <c r="H19" s="56" t="s">
        <v>49</v>
      </c>
      <c r="I19" s="56" t="s">
        <v>49</v>
      </c>
    </row>
    <row r="20" spans="1:9" ht="12.75" x14ac:dyDescent="0.2">
      <c r="A20" s="20"/>
      <c r="B20" s="58"/>
      <c r="C20" s="58"/>
      <c r="D20" s="58"/>
      <c r="E20" s="58"/>
      <c r="F20" s="58"/>
      <c r="G20" s="58"/>
      <c r="H20" s="59"/>
      <c r="I20" s="59"/>
    </row>
    <row r="22" spans="1:9" x14ac:dyDescent="0.2">
      <c r="A22" s="9"/>
    </row>
    <row r="23" spans="1:9" x14ac:dyDescent="0.2">
      <c r="G23" s="171"/>
      <c r="H23" s="191"/>
      <c r="I23" s="171"/>
    </row>
    <row r="24" spans="1:9" x14ac:dyDescent="0.2">
      <c r="B24" s="206"/>
      <c r="C24" s="206"/>
      <c r="D24" s="206"/>
      <c r="E24" s="206"/>
      <c r="F24" s="206"/>
    </row>
    <row r="25" spans="1:9" x14ac:dyDescent="0.2">
      <c r="A25" s="7"/>
      <c r="I25" s="206"/>
    </row>
    <row r="26" spans="1:9" x14ac:dyDescent="0.2">
      <c r="A26" s="8"/>
      <c r="I26" s="206"/>
    </row>
    <row r="27" spans="1:9" x14ac:dyDescent="0.2">
      <c r="H27" s="191"/>
    </row>
  </sheetData>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80866-B5DF-46E2-BBAF-CF8486C4DA24}">
  <dimension ref="A1:G9"/>
  <sheetViews>
    <sheetView workbookViewId="0"/>
  </sheetViews>
  <sheetFormatPr defaultColWidth="8.6640625" defaultRowHeight="15" x14ac:dyDescent="0.2"/>
  <cols>
    <col min="2" max="2" width="22.6640625" bestFit="1" customWidth="1"/>
    <col min="7" max="7" width="11.33203125" customWidth="1"/>
  </cols>
  <sheetData>
    <row r="1" spans="1:7" ht="15.75" x14ac:dyDescent="0.2">
      <c r="A1" s="29" t="s">
        <v>275</v>
      </c>
      <c r="B1" s="29"/>
      <c r="C1" s="48"/>
      <c r="D1" s="48"/>
      <c r="E1" s="48"/>
      <c r="F1" s="48"/>
    </row>
    <row r="2" spans="1:7" x14ac:dyDescent="0.2">
      <c r="A2" s="16" t="s">
        <v>56</v>
      </c>
      <c r="B2" s="16"/>
      <c r="C2" s="48"/>
      <c r="D2" s="48"/>
      <c r="E2" s="48"/>
      <c r="F2" s="48"/>
    </row>
    <row r="3" spans="1:7" ht="51" x14ac:dyDescent="0.2">
      <c r="A3" s="186" t="s">
        <v>57</v>
      </c>
      <c r="B3" s="186" t="s">
        <v>58</v>
      </c>
      <c r="C3" s="181">
        <v>2021</v>
      </c>
      <c r="D3" s="181">
        <v>2022</v>
      </c>
      <c r="E3" s="181">
        <v>2023</v>
      </c>
      <c r="F3" s="181">
        <v>2024</v>
      </c>
      <c r="G3" s="181" t="s">
        <v>259</v>
      </c>
    </row>
    <row r="4" spans="1:7" x14ac:dyDescent="0.2">
      <c r="A4" s="17" t="s">
        <v>59</v>
      </c>
      <c r="B4" s="17" t="s">
        <v>60</v>
      </c>
      <c r="C4" s="35">
        <v>115559</v>
      </c>
      <c r="D4" s="35">
        <v>95033</v>
      </c>
      <c r="E4" s="35">
        <v>107764</v>
      </c>
      <c r="F4" s="35">
        <v>103135</v>
      </c>
      <c r="G4" s="182">
        <f>F4/E4-1</f>
        <v>-4.2954975687613639E-2</v>
      </c>
    </row>
    <row r="5" spans="1:7" x14ac:dyDescent="0.2">
      <c r="A5" s="251" t="s">
        <v>59</v>
      </c>
      <c r="B5" s="251" t="s">
        <v>61</v>
      </c>
      <c r="C5" s="248">
        <v>562552</v>
      </c>
      <c r="D5" s="248">
        <v>403674</v>
      </c>
      <c r="E5" s="248">
        <v>402124</v>
      </c>
      <c r="F5" s="248">
        <v>391148</v>
      </c>
      <c r="G5" s="258">
        <f t="shared" ref="G5:G6" si="0">F5/E5-1</f>
        <v>-2.7295063214331949E-2</v>
      </c>
    </row>
    <row r="6" spans="1:7" x14ac:dyDescent="0.2">
      <c r="A6" s="252" t="s">
        <v>59</v>
      </c>
      <c r="B6" s="252" t="s">
        <v>62</v>
      </c>
      <c r="C6" s="253">
        <v>678111</v>
      </c>
      <c r="D6" s="253">
        <v>498707</v>
      </c>
      <c r="E6" s="253">
        <v>509889</v>
      </c>
      <c r="F6" s="253">
        <v>494283</v>
      </c>
      <c r="G6" s="259">
        <f t="shared" si="0"/>
        <v>-3.0606661449844919E-2</v>
      </c>
    </row>
    <row r="7" spans="1:7" x14ac:dyDescent="0.2">
      <c r="A7" s="22" t="s">
        <v>63</v>
      </c>
      <c r="B7" s="22" t="s">
        <v>60</v>
      </c>
      <c r="C7" s="189">
        <f>C4/C$6</f>
        <v>0.17041310345946312</v>
      </c>
      <c r="D7" s="189">
        <f t="shared" ref="D7:E7" si="1">D4/D$6</f>
        <v>0.1905587850180567</v>
      </c>
      <c r="E7" s="189">
        <f t="shared" si="1"/>
        <v>0.21134796004620612</v>
      </c>
      <c r="F7" s="189">
        <f t="shared" ref="F7" si="2">F4/F$6</f>
        <v>0.20865577007503799</v>
      </c>
      <c r="G7" s="190">
        <f>100*(F7-E7)</f>
        <v>-0.26921899711681296</v>
      </c>
    </row>
    <row r="8" spans="1:7" x14ac:dyDescent="0.2">
      <c r="A8" s="251" t="s">
        <v>63</v>
      </c>
      <c r="B8" s="251" t="s">
        <v>61</v>
      </c>
      <c r="C8" s="254">
        <f t="shared" ref="C8:E9" si="3">C5/C$6</f>
        <v>0.82958689654053686</v>
      </c>
      <c r="D8" s="254">
        <f t="shared" si="3"/>
        <v>0.80944121498194332</v>
      </c>
      <c r="E8" s="254">
        <f t="shared" si="3"/>
        <v>0.78865007874262827</v>
      </c>
      <c r="F8" s="254">
        <f t="shared" ref="F8" si="4">F5/F$6</f>
        <v>0.79134422992496201</v>
      </c>
      <c r="G8" s="255">
        <f t="shared" ref="G8" si="5">100*(F8-E8)</f>
        <v>0.26941511823337372</v>
      </c>
    </row>
    <row r="9" spans="1:7" x14ac:dyDescent="0.2">
      <c r="A9" s="252" t="s">
        <v>63</v>
      </c>
      <c r="B9" s="252" t="s">
        <v>62</v>
      </c>
      <c r="C9" s="256">
        <f t="shared" si="3"/>
        <v>1</v>
      </c>
      <c r="D9" s="256">
        <f t="shared" si="3"/>
        <v>1</v>
      </c>
      <c r="E9" s="256">
        <f t="shared" si="3"/>
        <v>1</v>
      </c>
      <c r="F9" s="256">
        <f t="shared" ref="F9" si="6">F6/F$6</f>
        <v>1</v>
      </c>
      <c r="G9" s="257" t="s">
        <v>49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6"/>
  <sheetViews>
    <sheetView workbookViewId="0"/>
  </sheetViews>
  <sheetFormatPr defaultColWidth="9.33203125" defaultRowHeight="12" x14ac:dyDescent="0.2"/>
  <cols>
    <col min="1" max="1" width="18.33203125" style="5" customWidth="1"/>
    <col min="2" max="2" width="43.6640625" style="5" bestFit="1" customWidth="1"/>
    <col min="3" max="6" width="9.33203125" style="48" customWidth="1"/>
    <col min="7" max="7" width="11.33203125" style="5" customWidth="1"/>
    <col min="8" max="16384" width="9.33203125" style="5"/>
  </cols>
  <sheetData>
    <row r="1" spans="1:7" ht="15.75" x14ac:dyDescent="0.2">
      <c r="A1" s="29" t="s">
        <v>246</v>
      </c>
      <c r="B1" s="29"/>
    </row>
    <row r="2" spans="1:7" ht="15" x14ac:dyDescent="0.2">
      <c r="A2" s="16" t="s">
        <v>56</v>
      </c>
      <c r="B2" s="16"/>
    </row>
    <row r="3" spans="1:7" s="6" customFormat="1" ht="51" x14ac:dyDescent="0.2">
      <c r="A3" s="186" t="s">
        <v>57</v>
      </c>
      <c r="B3" s="186" t="s">
        <v>64</v>
      </c>
      <c r="C3" s="181">
        <v>2021</v>
      </c>
      <c r="D3" s="181">
        <v>2022</v>
      </c>
      <c r="E3" s="181">
        <v>2023</v>
      </c>
      <c r="F3" s="181">
        <v>2024</v>
      </c>
      <c r="G3" s="181" t="s">
        <v>259</v>
      </c>
    </row>
    <row r="4" spans="1:7" ht="15" customHeight="1" x14ac:dyDescent="0.2">
      <c r="A4" s="17" t="s">
        <v>59</v>
      </c>
      <c r="B4" s="17" t="s">
        <v>65</v>
      </c>
      <c r="C4" s="35">
        <v>1756</v>
      </c>
      <c r="D4" s="35">
        <v>1297</v>
      </c>
      <c r="E4" s="35">
        <v>1294</v>
      </c>
      <c r="F4" s="35">
        <v>1464</v>
      </c>
      <c r="G4" s="182">
        <f>F4/E4-1</f>
        <v>0.13137557959814528</v>
      </c>
    </row>
    <row r="5" spans="1:7" ht="15" customHeight="1" x14ac:dyDescent="0.2">
      <c r="A5" s="17" t="s">
        <v>59</v>
      </c>
      <c r="B5" s="17" t="s">
        <v>66</v>
      </c>
      <c r="C5" s="35">
        <v>2636</v>
      </c>
      <c r="D5" s="35">
        <v>3093</v>
      </c>
      <c r="E5" s="35">
        <v>4385</v>
      </c>
      <c r="F5" s="35">
        <v>4408</v>
      </c>
      <c r="G5" s="182">
        <f t="shared" ref="G5:G13" si="0">F5/E5-1</f>
        <v>5.2451539338653763E-3</v>
      </c>
    </row>
    <row r="6" spans="1:7" ht="15" customHeight="1" x14ac:dyDescent="0.2">
      <c r="A6" s="17" t="s">
        <v>59</v>
      </c>
      <c r="B6" s="17" t="s">
        <v>67</v>
      </c>
      <c r="C6" s="35">
        <v>60548</v>
      </c>
      <c r="D6" s="35">
        <v>41886</v>
      </c>
      <c r="E6" s="35">
        <v>42895</v>
      </c>
      <c r="F6" s="35">
        <v>38322</v>
      </c>
      <c r="G6" s="182">
        <f t="shared" si="0"/>
        <v>-0.10660916190698222</v>
      </c>
    </row>
    <row r="7" spans="1:7" ht="15" customHeight="1" x14ac:dyDescent="0.2">
      <c r="A7" s="17" t="s">
        <v>59</v>
      </c>
      <c r="B7" s="17" t="s">
        <v>68</v>
      </c>
      <c r="C7" s="35">
        <v>768</v>
      </c>
      <c r="D7" s="35">
        <v>1044</v>
      </c>
      <c r="E7" s="35">
        <v>1352</v>
      </c>
      <c r="F7" s="35">
        <v>1228</v>
      </c>
      <c r="G7" s="182">
        <f t="shared" si="0"/>
        <v>-9.1715976331360971E-2</v>
      </c>
    </row>
    <row r="8" spans="1:7" ht="15" customHeight="1" x14ac:dyDescent="0.2">
      <c r="A8" s="17" t="s">
        <v>59</v>
      </c>
      <c r="B8" s="17" t="s">
        <v>69</v>
      </c>
      <c r="C8" s="35">
        <v>10061</v>
      </c>
      <c r="D8" s="35">
        <v>7576</v>
      </c>
      <c r="E8" s="35">
        <v>10647</v>
      </c>
      <c r="F8" s="35">
        <v>11402</v>
      </c>
      <c r="G8" s="182">
        <f t="shared" si="0"/>
        <v>7.0911993988917121E-2</v>
      </c>
    </row>
    <row r="9" spans="1:7" ht="15" customHeight="1" x14ac:dyDescent="0.2">
      <c r="A9" s="17" t="s">
        <v>59</v>
      </c>
      <c r="B9" s="17" t="s">
        <v>250</v>
      </c>
      <c r="C9" s="35">
        <v>0</v>
      </c>
      <c r="D9" s="35">
        <v>0</v>
      </c>
      <c r="E9" s="35">
        <v>0</v>
      </c>
      <c r="F9" s="35">
        <v>13</v>
      </c>
      <c r="G9" s="204" t="s">
        <v>49</v>
      </c>
    </row>
    <row r="10" spans="1:7" ht="15" customHeight="1" x14ac:dyDescent="0.2">
      <c r="A10" s="17" t="s">
        <v>59</v>
      </c>
      <c r="B10" s="17" t="s">
        <v>70</v>
      </c>
      <c r="C10" s="35">
        <v>25099</v>
      </c>
      <c r="D10" s="35">
        <v>27144</v>
      </c>
      <c r="E10" s="35">
        <v>30947</v>
      </c>
      <c r="F10" s="35">
        <v>29524</v>
      </c>
      <c r="G10" s="182">
        <f t="shared" si="0"/>
        <v>-4.5981839919863043E-2</v>
      </c>
    </row>
    <row r="11" spans="1:7" ht="15" customHeight="1" x14ac:dyDescent="0.2">
      <c r="A11" s="17" t="s">
        <v>59</v>
      </c>
      <c r="B11" s="17" t="s">
        <v>71</v>
      </c>
      <c r="C11" s="35">
        <v>4093</v>
      </c>
      <c r="D11" s="35">
        <v>2629</v>
      </c>
      <c r="E11" s="35">
        <v>3112</v>
      </c>
      <c r="F11" s="35">
        <v>3314</v>
      </c>
      <c r="G11" s="182">
        <f t="shared" si="0"/>
        <v>6.4910025706940822E-2</v>
      </c>
    </row>
    <row r="12" spans="1:7" ht="15" customHeight="1" x14ac:dyDescent="0.2">
      <c r="A12" s="17" t="s">
        <v>59</v>
      </c>
      <c r="B12" s="17" t="s">
        <v>72</v>
      </c>
      <c r="C12" s="35">
        <v>10557</v>
      </c>
      <c r="D12" s="35">
        <v>10337</v>
      </c>
      <c r="E12" s="35">
        <v>13112</v>
      </c>
      <c r="F12" s="35">
        <v>13452</v>
      </c>
      <c r="G12" s="182">
        <f t="shared" si="0"/>
        <v>2.5930445393532731E-2</v>
      </c>
    </row>
    <row r="13" spans="1:7" ht="15" customHeight="1" x14ac:dyDescent="0.2">
      <c r="A13" s="251" t="s">
        <v>59</v>
      </c>
      <c r="B13" s="251" t="s">
        <v>73</v>
      </c>
      <c r="C13" s="248">
        <v>41</v>
      </c>
      <c r="D13" s="248">
        <v>27</v>
      </c>
      <c r="E13" s="248">
        <v>20</v>
      </c>
      <c r="F13" s="248">
        <v>8</v>
      </c>
      <c r="G13" s="258">
        <f t="shared" si="0"/>
        <v>-0.6</v>
      </c>
    </row>
    <row r="14" spans="1:7" ht="15" customHeight="1" x14ac:dyDescent="0.2">
      <c r="A14" s="252" t="s">
        <v>59</v>
      </c>
      <c r="B14" s="252" t="s">
        <v>74</v>
      </c>
      <c r="C14" s="253">
        <v>115559</v>
      </c>
      <c r="D14" s="253">
        <v>95033</v>
      </c>
      <c r="E14" s="253">
        <v>107763</v>
      </c>
      <c r="F14" s="253">
        <v>103135</v>
      </c>
      <c r="G14" s="259">
        <f t="shared" ref="G14" si="1">E14/D14-1</f>
        <v>0.1339534687950501</v>
      </c>
    </row>
    <row r="15" spans="1:7" ht="15" customHeight="1" x14ac:dyDescent="0.2">
      <c r="A15" s="17" t="s">
        <v>63</v>
      </c>
      <c r="B15" s="17" t="s">
        <v>65</v>
      </c>
      <c r="C15" s="36">
        <f>C4/C$14</f>
        <v>1.5195700897377097E-2</v>
      </c>
      <c r="D15" s="36">
        <f t="shared" ref="D15:E15" si="2">D4/D$14</f>
        <v>1.3647890732692854E-2</v>
      </c>
      <c r="E15" s="36">
        <f t="shared" si="2"/>
        <v>1.2007832001707451E-2</v>
      </c>
      <c r="F15" s="36">
        <f t="shared" ref="F15" si="3">F4/F$14</f>
        <v>1.4194987152760944E-2</v>
      </c>
      <c r="G15" s="190">
        <f>100*(F15-E15)</f>
        <v>0.21871551510534923</v>
      </c>
    </row>
    <row r="16" spans="1:7" ht="15" customHeight="1" x14ac:dyDescent="0.2">
      <c r="A16" s="17" t="s">
        <v>63</v>
      </c>
      <c r="B16" s="17" t="s">
        <v>66</v>
      </c>
      <c r="C16" s="36">
        <f t="shared" ref="C16:E16" si="4">C5/C$14</f>
        <v>2.2810858522486349E-2</v>
      </c>
      <c r="D16" s="36">
        <f t="shared" si="4"/>
        <v>3.2546589079582883E-2</v>
      </c>
      <c r="E16" s="36">
        <f t="shared" si="4"/>
        <v>4.0691146311813885E-2</v>
      </c>
      <c r="F16" s="36">
        <f t="shared" ref="F16" si="5">F5/F$14</f>
        <v>4.2740097929897705E-2</v>
      </c>
      <c r="G16" s="190">
        <f t="shared" ref="G16:G24" si="6">100*(F16-E16)</f>
        <v>0.20489516180838205</v>
      </c>
    </row>
    <row r="17" spans="1:7" ht="15" customHeight="1" x14ac:dyDescent="0.2">
      <c r="A17" s="17" t="s">
        <v>63</v>
      </c>
      <c r="B17" s="17" t="s">
        <v>67</v>
      </c>
      <c r="C17" s="36">
        <f t="shared" ref="C17:E17" si="7">C6/C$14</f>
        <v>0.52395745896035795</v>
      </c>
      <c r="D17" s="36">
        <f t="shared" si="7"/>
        <v>0.44075215977607779</v>
      </c>
      <c r="E17" s="36">
        <f t="shared" si="7"/>
        <v>0.39804942327143827</v>
      </c>
      <c r="F17" s="36">
        <f t="shared" ref="F17" si="8">F6/F$14</f>
        <v>0.3715712415765744</v>
      </c>
      <c r="G17" s="190">
        <f t="shared" si="6"/>
        <v>-2.6478181694863876</v>
      </c>
    </row>
    <row r="18" spans="1:7" ht="15" customHeight="1" x14ac:dyDescent="0.2">
      <c r="A18" s="17" t="s">
        <v>63</v>
      </c>
      <c r="B18" s="17" t="s">
        <v>68</v>
      </c>
      <c r="C18" s="36">
        <f t="shared" ref="C18:E18" si="9">C7/C$14</f>
        <v>6.6459557455498921E-3</v>
      </c>
      <c r="D18" s="36">
        <f t="shared" si="9"/>
        <v>1.098565761367104E-2</v>
      </c>
      <c r="E18" s="36">
        <f t="shared" si="9"/>
        <v>1.2546050128522777E-2</v>
      </c>
      <c r="F18" s="36">
        <f t="shared" ref="F18" si="10">F7/F$14</f>
        <v>1.1906724196441558E-2</v>
      </c>
      <c r="G18" s="190">
        <f t="shared" si="6"/>
        <v>-6.3932593208121918E-2</v>
      </c>
    </row>
    <row r="19" spans="1:7" ht="15" customHeight="1" x14ac:dyDescent="0.2">
      <c r="A19" s="17" t="s">
        <v>63</v>
      </c>
      <c r="B19" s="17" t="s">
        <v>69</v>
      </c>
      <c r="C19" s="36">
        <f t="shared" ref="C19:F20" si="11">C8/C$14</f>
        <v>8.7063750984345656E-2</v>
      </c>
      <c r="D19" s="36">
        <f t="shared" si="11"/>
        <v>7.9719676322961494E-2</v>
      </c>
      <c r="E19" s="36">
        <f t="shared" si="11"/>
        <v>9.8800144762116862E-2</v>
      </c>
      <c r="F19" s="36">
        <f t="shared" ref="F19" si="12">F8/F$14</f>
        <v>0.11055412808454938</v>
      </c>
      <c r="G19" s="190">
        <f t="shared" si="6"/>
        <v>1.175398332243252</v>
      </c>
    </row>
    <row r="20" spans="1:7" ht="15" customHeight="1" x14ac:dyDescent="0.2">
      <c r="A20" s="17" t="s">
        <v>63</v>
      </c>
      <c r="B20" s="17" t="s">
        <v>250</v>
      </c>
      <c r="C20" s="36">
        <f t="shared" si="11"/>
        <v>0</v>
      </c>
      <c r="D20" s="36">
        <f t="shared" si="11"/>
        <v>0</v>
      </c>
      <c r="E20" s="36">
        <f t="shared" si="11"/>
        <v>0</v>
      </c>
      <c r="F20" s="36">
        <f t="shared" si="11"/>
        <v>1.260483831870849E-4</v>
      </c>
      <c r="G20" s="190">
        <f t="shared" si="6"/>
        <v>1.260483831870849E-2</v>
      </c>
    </row>
    <row r="21" spans="1:7" ht="15" customHeight="1" x14ac:dyDescent="0.2">
      <c r="A21" s="17" t="s">
        <v>63</v>
      </c>
      <c r="B21" s="17" t="s">
        <v>70</v>
      </c>
      <c r="C21" s="36">
        <f t="shared" ref="C21:E21" si="13">C10/C$14</f>
        <v>0.21719641049161034</v>
      </c>
      <c r="D21" s="36">
        <f t="shared" si="13"/>
        <v>0.28562709795544705</v>
      </c>
      <c r="E21" s="36">
        <f t="shared" si="13"/>
        <v>0.28717648914748106</v>
      </c>
      <c r="F21" s="36">
        <f t="shared" ref="F21" si="14">F10/F$14</f>
        <v>0.28626557424734572</v>
      </c>
      <c r="G21" s="190">
        <f t="shared" si="6"/>
        <v>-9.1091490013534004E-2</v>
      </c>
    </row>
    <row r="22" spans="1:7" ht="15" customHeight="1" x14ac:dyDescent="0.2">
      <c r="A22" s="17" t="s">
        <v>63</v>
      </c>
      <c r="B22" s="17" t="s">
        <v>71</v>
      </c>
      <c r="C22" s="36">
        <f t="shared" ref="C22:E22" si="15">C11/C$14</f>
        <v>3.5419136544968373E-2</v>
      </c>
      <c r="D22" s="36">
        <f t="shared" si="15"/>
        <v>2.7664074584617976E-2</v>
      </c>
      <c r="E22" s="36">
        <f t="shared" si="15"/>
        <v>2.887818639050509E-2</v>
      </c>
      <c r="F22" s="36">
        <f t="shared" ref="F22" si="16">F11/F$14</f>
        <v>3.2132641683230719E-2</v>
      </c>
      <c r="G22" s="190">
        <f t="shared" si="6"/>
        <v>0.32544552927256282</v>
      </c>
    </row>
    <row r="23" spans="1:7" ht="15" customHeight="1" x14ac:dyDescent="0.2">
      <c r="A23" s="17" t="s">
        <v>63</v>
      </c>
      <c r="B23" s="17" t="s">
        <v>72</v>
      </c>
      <c r="C23" s="36">
        <f t="shared" ref="C23:E23" si="17">C12/C$14</f>
        <v>9.1355930736679969E-2</v>
      </c>
      <c r="D23" s="36">
        <f t="shared" si="17"/>
        <v>0.10877274210011259</v>
      </c>
      <c r="E23" s="36">
        <f t="shared" si="17"/>
        <v>0.12167441515176823</v>
      </c>
      <c r="F23" s="36">
        <f t="shared" ref="F23" si="18">F12/F$14</f>
        <v>0.13043098851020507</v>
      </c>
      <c r="G23" s="190">
        <f t="shared" si="6"/>
        <v>0.87565733584368388</v>
      </c>
    </row>
    <row r="24" spans="1:7" ht="15" customHeight="1" x14ac:dyDescent="0.2">
      <c r="A24" s="251" t="s">
        <v>63</v>
      </c>
      <c r="B24" s="251" t="s">
        <v>73</v>
      </c>
      <c r="C24" s="254">
        <f t="shared" ref="C24:E24" si="19">C13/C$14</f>
        <v>3.5479711662440833E-4</v>
      </c>
      <c r="D24" s="254">
        <f t="shared" si="19"/>
        <v>2.8411183483632001E-4</v>
      </c>
      <c r="E24" s="254">
        <f t="shared" si="19"/>
        <v>1.8559245752252629E-4</v>
      </c>
      <c r="F24" s="254">
        <f t="shared" ref="F24" si="20">F13/F$14</f>
        <v>7.756823580743685E-5</v>
      </c>
      <c r="G24" s="255">
        <f t="shared" si="6"/>
        <v>-1.0802422171508943E-2</v>
      </c>
    </row>
    <row r="25" spans="1:7" ht="15" customHeight="1" x14ac:dyDescent="0.2">
      <c r="A25" s="252" t="s">
        <v>63</v>
      </c>
      <c r="B25" s="252" t="s">
        <v>74</v>
      </c>
      <c r="C25" s="256">
        <f t="shared" ref="C25:E25" si="21">C14/C$14</f>
        <v>1</v>
      </c>
      <c r="D25" s="256">
        <f t="shared" si="21"/>
        <v>1</v>
      </c>
      <c r="E25" s="256">
        <f t="shared" si="21"/>
        <v>1</v>
      </c>
      <c r="F25" s="256">
        <f t="shared" ref="F25" si="22">F14/F$14</f>
        <v>1</v>
      </c>
      <c r="G25" s="253" t="s">
        <v>49</v>
      </c>
    </row>
    <row r="26" spans="1:7" x14ac:dyDescent="0.2">
      <c r="A26" s="14"/>
      <c r="B26" s="14"/>
      <c r="C26" s="60"/>
      <c r="D26" s="60"/>
      <c r="E26" s="60"/>
      <c r="F26" s="60"/>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09F6F-4AC1-4621-908F-0B24D764F7F8}">
  <dimension ref="A1:G29"/>
  <sheetViews>
    <sheetView workbookViewId="0"/>
  </sheetViews>
  <sheetFormatPr defaultColWidth="8.6640625" defaultRowHeight="15" x14ac:dyDescent="0.2"/>
  <cols>
    <col min="1" max="1" width="11.6640625" customWidth="1"/>
    <col min="2" max="2" width="24.6640625" customWidth="1"/>
    <col min="3" max="6" width="9.6640625" customWidth="1"/>
    <col min="7" max="7" width="11.33203125" customWidth="1"/>
  </cols>
  <sheetData>
    <row r="1" spans="1:7" ht="15.75" x14ac:dyDescent="0.2">
      <c r="A1" s="29" t="s">
        <v>251</v>
      </c>
      <c r="B1" s="29"/>
      <c r="C1" s="48"/>
      <c r="D1" s="48"/>
      <c r="E1" s="48"/>
      <c r="F1" s="48"/>
      <c r="G1" s="5"/>
    </row>
    <row r="2" spans="1:7" x14ac:dyDescent="0.2">
      <c r="A2" s="16" t="s">
        <v>56</v>
      </c>
      <c r="B2" s="16"/>
      <c r="C2" s="48"/>
      <c r="D2" s="48"/>
      <c r="E2" s="48"/>
      <c r="F2" s="48"/>
      <c r="G2" s="5"/>
    </row>
    <row r="3" spans="1:7" ht="51" x14ac:dyDescent="0.2">
      <c r="A3" s="186" t="s">
        <v>57</v>
      </c>
      <c r="B3" s="186" t="s">
        <v>75</v>
      </c>
      <c r="C3" s="181">
        <v>2021</v>
      </c>
      <c r="D3" s="181">
        <v>2022</v>
      </c>
      <c r="E3" s="181">
        <v>2023</v>
      </c>
      <c r="F3" s="181">
        <v>2024</v>
      </c>
      <c r="G3" s="181" t="s">
        <v>259</v>
      </c>
    </row>
    <row r="4" spans="1:7" x14ac:dyDescent="0.2">
      <c r="A4" s="17" t="s">
        <v>59</v>
      </c>
      <c r="B4" s="17" t="s">
        <v>76</v>
      </c>
      <c r="C4" s="35">
        <v>9784</v>
      </c>
      <c r="D4" s="35">
        <v>8543</v>
      </c>
      <c r="E4" s="35">
        <v>10382</v>
      </c>
      <c r="F4" s="35">
        <v>10215</v>
      </c>
      <c r="G4" s="182">
        <f>F4/E4-1</f>
        <v>-1.60855326526681E-2</v>
      </c>
    </row>
    <row r="5" spans="1:7" x14ac:dyDescent="0.2">
      <c r="A5" s="17" t="s">
        <v>59</v>
      </c>
      <c r="B5" s="17" t="s">
        <v>77</v>
      </c>
      <c r="C5" s="35">
        <v>389</v>
      </c>
      <c r="D5" s="35">
        <v>296</v>
      </c>
      <c r="E5" s="35">
        <v>243</v>
      </c>
      <c r="F5" s="35">
        <v>193</v>
      </c>
      <c r="G5" s="182">
        <f t="shared" ref="G5:G16" si="0">F5/E5-1</f>
        <v>-0.20576131687242794</v>
      </c>
    </row>
    <row r="6" spans="1:7" x14ac:dyDescent="0.2">
      <c r="A6" s="17" t="s">
        <v>59</v>
      </c>
      <c r="B6" s="17" t="s">
        <v>78</v>
      </c>
      <c r="C6" s="35">
        <v>3950</v>
      </c>
      <c r="D6" s="35">
        <v>5137</v>
      </c>
      <c r="E6" s="35">
        <v>6236</v>
      </c>
      <c r="F6" s="35">
        <v>5813</v>
      </c>
      <c r="G6" s="182">
        <f t="shared" si="0"/>
        <v>-6.7831943553559926E-2</v>
      </c>
    </row>
    <row r="7" spans="1:7" x14ac:dyDescent="0.2">
      <c r="A7" s="17" t="s">
        <v>59</v>
      </c>
      <c r="B7" s="17" t="s">
        <v>79</v>
      </c>
      <c r="C7" s="35">
        <v>0</v>
      </c>
      <c r="D7" s="35">
        <v>10</v>
      </c>
      <c r="E7" s="35">
        <v>72</v>
      </c>
      <c r="F7" s="35">
        <v>99</v>
      </c>
      <c r="G7" s="182">
        <f t="shared" si="0"/>
        <v>0.375</v>
      </c>
    </row>
    <row r="8" spans="1:7" x14ac:dyDescent="0.2">
      <c r="A8" s="17" t="s">
        <v>59</v>
      </c>
      <c r="B8" s="17" t="s">
        <v>80</v>
      </c>
      <c r="C8" s="35">
        <v>896</v>
      </c>
      <c r="D8" s="35">
        <v>542</v>
      </c>
      <c r="E8" s="35">
        <v>433</v>
      </c>
      <c r="F8" s="35">
        <v>348</v>
      </c>
      <c r="G8" s="182">
        <f t="shared" si="0"/>
        <v>-0.19630484988452657</v>
      </c>
    </row>
    <row r="9" spans="1:7" x14ac:dyDescent="0.2">
      <c r="A9" s="17" t="s">
        <v>59</v>
      </c>
      <c r="B9" s="17" t="s">
        <v>81</v>
      </c>
      <c r="C9" s="35">
        <v>1172</v>
      </c>
      <c r="D9" s="35">
        <v>990</v>
      </c>
      <c r="E9" s="35">
        <v>1406</v>
      </c>
      <c r="F9" s="35">
        <v>1630</v>
      </c>
      <c r="G9" s="182">
        <f t="shared" si="0"/>
        <v>0.15931721194879089</v>
      </c>
    </row>
    <row r="10" spans="1:7" x14ac:dyDescent="0.2">
      <c r="A10" s="17" t="s">
        <v>59</v>
      </c>
      <c r="B10" s="17" t="s">
        <v>82</v>
      </c>
      <c r="C10" s="35">
        <v>257</v>
      </c>
      <c r="D10" s="35">
        <v>211</v>
      </c>
      <c r="E10" s="35">
        <v>186</v>
      </c>
      <c r="F10" s="35">
        <v>154</v>
      </c>
      <c r="G10" s="182">
        <f t="shared" si="0"/>
        <v>-0.17204301075268813</v>
      </c>
    </row>
    <row r="11" spans="1:7" x14ac:dyDescent="0.2">
      <c r="A11" s="17" t="s">
        <v>59</v>
      </c>
      <c r="B11" s="17" t="s">
        <v>83</v>
      </c>
      <c r="C11" s="35">
        <v>642</v>
      </c>
      <c r="D11" s="35">
        <v>623</v>
      </c>
      <c r="E11" s="35">
        <v>825</v>
      </c>
      <c r="F11" s="35">
        <v>695</v>
      </c>
      <c r="G11" s="182">
        <f t="shared" si="0"/>
        <v>-0.15757575757575759</v>
      </c>
    </row>
    <row r="12" spans="1:7" x14ac:dyDescent="0.2">
      <c r="A12" s="17" t="s">
        <v>59</v>
      </c>
      <c r="B12" s="17" t="s">
        <v>84</v>
      </c>
      <c r="C12" s="35">
        <v>1620</v>
      </c>
      <c r="D12" s="35">
        <v>1129</v>
      </c>
      <c r="E12" s="35">
        <v>800</v>
      </c>
      <c r="F12" s="35">
        <v>745</v>
      </c>
      <c r="G12" s="182">
        <f t="shared" si="0"/>
        <v>-6.8749999999999978E-2</v>
      </c>
    </row>
    <row r="13" spans="1:7" x14ac:dyDescent="0.2">
      <c r="A13" s="17" t="s">
        <v>59</v>
      </c>
      <c r="B13" s="17" t="s">
        <v>85</v>
      </c>
      <c r="C13" s="35">
        <v>1845</v>
      </c>
      <c r="D13" s="35">
        <v>2059</v>
      </c>
      <c r="E13" s="35">
        <v>1870</v>
      </c>
      <c r="F13" s="35">
        <v>2619</v>
      </c>
      <c r="G13" s="182">
        <f t="shared" si="0"/>
        <v>0.40053475935828886</v>
      </c>
    </row>
    <row r="14" spans="1:7" x14ac:dyDescent="0.2">
      <c r="A14" s="17" t="s">
        <v>59</v>
      </c>
      <c r="B14" s="17" t="s">
        <v>86</v>
      </c>
      <c r="C14" s="35">
        <v>1293</v>
      </c>
      <c r="D14" s="35">
        <v>1239</v>
      </c>
      <c r="E14" s="35">
        <v>1986</v>
      </c>
      <c r="F14" s="35">
        <v>2223</v>
      </c>
      <c r="G14" s="182">
        <f t="shared" si="0"/>
        <v>0.11933534743202423</v>
      </c>
    </row>
    <row r="15" spans="1:7" x14ac:dyDescent="0.2">
      <c r="A15" s="251" t="s">
        <v>59</v>
      </c>
      <c r="B15" s="251" t="s">
        <v>87</v>
      </c>
      <c r="C15" s="248">
        <v>93711</v>
      </c>
      <c r="D15" s="248">
        <v>74254</v>
      </c>
      <c r="E15" s="248">
        <v>83325</v>
      </c>
      <c r="F15" s="248">
        <v>78401</v>
      </c>
      <c r="G15" s="258">
        <f t="shared" si="0"/>
        <v>-5.9093909390939059E-2</v>
      </c>
    </row>
    <row r="16" spans="1:7" x14ac:dyDescent="0.2">
      <c r="A16" s="252" t="s">
        <v>59</v>
      </c>
      <c r="B16" s="252" t="s">
        <v>74</v>
      </c>
      <c r="C16" s="260">
        <v>115559</v>
      </c>
      <c r="D16" s="260">
        <v>95033</v>
      </c>
      <c r="E16" s="261">
        <v>107764</v>
      </c>
      <c r="F16" s="253">
        <v>103135</v>
      </c>
      <c r="G16" s="262">
        <f t="shared" si="0"/>
        <v>-4.2954975687613639E-2</v>
      </c>
    </row>
    <row r="17" spans="1:7" x14ac:dyDescent="0.2">
      <c r="A17" s="17" t="s">
        <v>63</v>
      </c>
      <c r="B17" s="17" t="s">
        <v>76</v>
      </c>
      <c r="C17" s="36">
        <f t="shared" ref="C17:F29" si="1">C4/C$16</f>
        <v>8.466670705007831E-2</v>
      </c>
      <c r="D17" s="36">
        <f t="shared" si="1"/>
        <v>8.9895089074321546E-2</v>
      </c>
      <c r="E17" s="36">
        <f t="shared" si="1"/>
        <v>9.6340150699677066E-2</v>
      </c>
      <c r="F17" s="36">
        <f t="shared" si="1"/>
        <v>9.9044941096620931E-2</v>
      </c>
      <c r="G17" s="190">
        <f>(F17-E17)*100</f>
        <v>0.27047903969438652</v>
      </c>
    </row>
    <row r="18" spans="1:7" x14ac:dyDescent="0.2">
      <c r="A18" s="17" t="s">
        <v>63</v>
      </c>
      <c r="B18" s="17" t="s">
        <v>77</v>
      </c>
      <c r="C18" s="36">
        <f t="shared" si="1"/>
        <v>3.3662458138267034E-3</v>
      </c>
      <c r="D18" s="36">
        <f t="shared" si="1"/>
        <v>3.114707522650027E-3</v>
      </c>
      <c r="E18" s="36">
        <f t="shared" si="1"/>
        <v>2.2549274340224936E-3</v>
      </c>
      <c r="F18" s="36">
        <f t="shared" si="1"/>
        <v>1.871333688854414E-3</v>
      </c>
      <c r="G18" s="190">
        <f t="shared" ref="G18:G28" si="2">(F18-E18)*100</f>
        <v>-3.8359374516807959E-2</v>
      </c>
    </row>
    <row r="19" spans="1:7" x14ac:dyDescent="0.2">
      <c r="A19" s="17" t="s">
        <v>63</v>
      </c>
      <c r="B19" s="17" t="s">
        <v>78</v>
      </c>
      <c r="C19" s="36">
        <f t="shared" si="1"/>
        <v>3.418167343088812E-2</v>
      </c>
      <c r="D19" s="36">
        <f t="shared" si="1"/>
        <v>5.4054907242747259E-2</v>
      </c>
      <c r="E19" s="36">
        <f t="shared" si="1"/>
        <v>5.786719126981181E-2</v>
      </c>
      <c r="F19" s="36">
        <f t="shared" si="1"/>
        <v>5.6363019343578805E-2</v>
      </c>
      <c r="G19" s="190">
        <f t="shared" si="2"/>
        <v>-0.15041719262330056</v>
      </c>
    </row>
    <row r="20" spans="1:7" x14ac:dyDescent="0.2">
      <c r="A20" s="17" t="s">
        <v>63</v>
      </c>
      <c r="B20" s="17" t="s">
        <v>79</v>
      </c>
      <c r="C20" s="36">
        <f t="shared" si="1"/>
        <v>0</v>
      </c>
      <c r="D20" s="36">
        <f t="shared" si="1"/>
        <v>1.0522660549493334E-4</v>
      </c>
      <c r="E20" s="36">
        <f t="shared" si="1"/>
        <v>6.6812664711777593E-4</v>
      </c>
      <c r="F20" s="36">
        <f t="shared" si="1"/>
        <v>9.5990691811703103E-4</v>
      </c>
      <c r="G20" s="190">
        <f t="shared" si="2"/>
        <v>2.9178027099925511E-2</v>
      </c>
    </row>
    <row r="21" spans="1:7" x14ac:dyDescent="0.2">
      <c r="A21" s="17" t="s">
        <v>63</v>
      </c>
      <c r="B21" s="17" t="s">
        <v>80</v>
      </c>
      <c r="C21" s="36">
        <f t="shared" si="1"/>
        <v>7.7536150364748745E-3</v>
      </c>
      <c r="D21" s="36">
        <f t="shared" si="1"/>
        <v>5.7032820178253866E-3</v>
      </c>
      <c r="E21" s="36">
        <f t="shared" si="1"/>
        <v>4.0180394194721802E-3</v>
      </c>
      <c r="F21" s="36">
        <f t="shared" si="1"/>
        <v>3.3742182576235033E-3</v>
      </c>
      <c r="G21" s="190">
        <f t="shared" si="2"/>
        <v>-6.4382116184867694E-2</v>
      </c>
    </row>
    <row r="22" spans="1:7" x14ac:dyDescent="0.2">
      <c r="A22" s="17" t="s">
        <v>63</v>
      </c>
      <c r="B22" s="17" t="s">
        <v>81</v>
      </c>
      <c r="C22" s="36">
        <f t="shared" si="1"/>
        <v>1.0142005382531866E-2</v>
      </c>
      <c r="D22" s="36">
        <f t="shared" si="1"/>
        <v>1.0417433943998401E-2</v>
      </c>
      <c r="E22" s="36">
        <f t="shared" si="1"/>
        <v>1.3047028692327678E-2</v>
      </c>
      <c r="F22" s="36">
        <f t="shared" si="1"/>
        <v>1.5804528045765258E-2</v>
      </c>
      <c r="G22" s="190">
        <f t="shared" si="2"/>
        <v>0.27574993534375797</v>
      </c>
    </row>
    <row r="23" spans="1:7" x14ac:dyDescent="0.2">
      <c r="A23" s="17" t="s">
        <v>63</v>
      </c>
      <c r="B23" s="17" t="s">
        <v>82</v>
      </c>
      <c r="C23" s="36">
        <f t="shared" si="1"/>
        <v>2.2239721700603155E-3</v>
      </c>
      <c r="D23" s="36">
        <f t="shared" si="1"/>
        <v>2.2202813759430937E-3</v>
      </c>
      <c r="E23" s="36">
        <f t="shared" si="1"/>
        <v>1.7259938383875878E-3</v>
      </c>
      <c r="F23" s="36">
        <f t="shared" si="1"/>
        <v>1.4931885392931595E-3</v>
      </c>
      <c r="G23" s="190">
        <f t="shared" si="2"/>
        <v>-2.3280529909442824E-2</v>
      </c>
    </row>
    <row r="24" spans="1:7" x14ac:dyDescent="0.2">
      <c r="A24" s="17" t="s">
        <v>63</v>
      </c>
      <c r="B24" s="17" t="s">
        <v>83</v>
      </c>
      <c r="C24" s="36">
        <f t="shared" si="1"/>
        <v>5.5556036310456134E-3</v>
      </c>
      <c r="D24" s="36">
        <f t="shared" si="1"/>
        <v>6.5556175223343473E-3</v>
      </c>
      <c r="E24" s="36">
        <f t="shared" si="1"/>
        <v>7.6556178315578486E-3</v>
      </c>
      <c r="F24" s="36">
        <f t="shared" si="1"/>
        <v>6.738740485771077E-3</v>
      </c>
      <c r="G24" s="190">
        <f t="shared" si="2"/>
        <v>-9.1687734578677155E-2</v>
      </c>
    </row>
    <row r="25" spans="1:7" x14ac:dyDescent="0.2">
      <c r="A25" s="17" t="s">
        <v>63</v>
      </c>
      <c r="B25" s="17" t="s">
        <v>84</v>
      </c>
      <c r="C25" s="36">
        <f t="shared" si="1"/>
        <v>1.4018812900769303E-2</v>
      </c>
      <c r="D25" s="36">
        <f t="shared" si="1"/>
        <v>1.1880083760377974E-2</v>
      </c>
      <c r="E25" s="36">
        <f t="shared" si="1"/>
        <v>7.4236294124197322E-3</v>
      </c>
      <c r="F25" s="36">
        <f t="shared" si="1"/>
        <v>7.2235419595675573E-3</v>
      </c>
      <c r="G25" s="190">
        <f t="shared" si="2"/>
        <v>-2.0008745285217486E-2</v>
      </c>
    </row>
    <row r="26" spans="1:7" x14ac:dyDescent="0.2">
      <c r="A26" s="17" t="s">
        <v>63</v>
      </c>
      <c r="B26" s="17" t="s">
        <v>85</v>
      </c>
      <c r="C26" s="36">
        <f t="shared" si="1"/>
        <v>1.5965870248098375E-2</v>
      </c>
      <c r="D26" s="36">
        <f t="shared" si="1"/>
        <v>2.1666158071406774E-2</v>
      </c>
      <c r="E26" s="36">
        <f t="shared" si="1"/>
        <v>1.7352733751531124E-2</v>
      </c>
      <c r="F26" s="36">
        <f t="shared" si="1"/>
        <v>2.5393901197459639E-2</v>
      </c>
      <c r="G26" s="190">
        <f t="shared" si="2"/>
        <v>0.80411674459285143</v>
      </c>
    </row>
    <row r="27" spans="1:7" x14ac:dyDescent="0.2">
      <c r="A27" s="17" t="s">
        <v>63</v>
      </c>
      <c r="B27" s="17" t="s">
        <v>86</v>
      </c>
      <c r="C27" s="36">
        <f t="shared" si="1"/>
        <v>1.118908955598439E-2</v>
      </c>
      <c r="D27" s="36">
        <f t="shared" si="1"/>
        <v>1.303757642082224E-2</v>
      </c>
      <c r="E27" s="36">
        <f t="shared" si="1"/>
        <v>1.8429160016331984E-2</v>
      </c>
      <c r="F27" s="36">
        <f t="shared" si="1"/>
        <v>2.1554273524991514E-2</v>
      </c>
      <c r="G27" s="190">
        <f t="shared" si="2"/>
        <v>0.312511350865953</v>
      </c>
    </row>
    <row r="28" spans="1:7" x14ac:dyDescent="0.2">
      <c r="A28" s="251" t="s">
        <v>63</v>
      </c>
      <c r="B28" s="251" t="s">
        <v>87</v>
      </c>
      <c r="C28" s="254">
        <f t="shared" si="1"/>
        <v>0.81093640478024209</v>
      </c>
      <c r="D28" s="254">
        <f t="shared" si="1"/>
        <v>0.781349636442078</v>
      </c>
      <c r="E28" s="254">
        <f t="shared" si="1"/>
        <v>0.77321740098734271</v>
      </c>
      <c r="F28" s="254">
        <f t="shared" si="1"/>
        <v>0.76017840694235705</v>
      </c>
      <c r="G28" s="255">
        <f t="shared" si="2"/>
        <v>-1.3038994044985652</v>
      </c>
    </row>
    <row r="29" spans="1:7" x14ac:dyDescent="0.2">
      <c r="A29" s="252" t="s">
        <v>63</v>
      </c>
      <c r="B29" s="252" t="s">
        <v>74</v>
      </c>
      <c r="C29" s="256">
        <f t="shared" si="1"/>
        <v>1</v>
      </c>
      <c r="D29" s="256">
        <f t="shared" si="1"/>
        <v>1</v>
      </c>
      <c r="E29" s="256">
        <f t="shared" si="1"/>
        <v>1</v>
      </c>
      <c r="F29" s="256">
        <f t="shared" si="1"/>
        <v>1</v>
      </c>
      <c r="G29" s="253" t="s">
        <v>49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0D1E1-D6C8-4490-9EFB-F492AD469EC9}">
  <dimension ref="A1:L36"/>
  <sheetViews>
    <sheetView workbookViewId="0"/>
  </sheetViews>
  <sheetFormatPr defaultColWidth="8.6640625" defaultRowHeight="15" x14ac:dyDescent="0.2"/>
  <cols>
    <col min="1" max="1" width="49.88671875" bestFit="1" customWidth="1"/>
    <col min="2" max="2" width="21.109375" bestFit="1" customWidth="1"/>
    <col min="8" max="8" width="11.33203125" customWidth="1"/>
  </cols>
  <sheetData>
    <row r="1" spans="1:12" ht="15.75" x14ac:dyDescent="0.2">
      <c r="A1" s="29" t="s">
        <v>252</v>
      </c>
    </row>
    <row r="2" spans="1:12" x14ac:dyDescent="0.2">
      <c r="A2" s="16" t="s">
        <v>56</v>
      </c>
    </row>
    <row r="3" spans="1:12" ht="51" x14ac:dyDescent="0.2">
      <c r="A3" s="149" t="s">
        <v>57</v>
      </c>
      <c r="B3" s="183" t="s">
        <v>88</v>
      </c>
      <c r="C3" s="181" t="s">
        <v>262</v>
      </c>
      <c r="D3" s="181" t="s">
        <v>89</v>
      </c>
      <c r="E3" s="181" t="s">
        <v>90</v>
      </c>
      <c r="F3" s="181" t="s">
        <v>91</v>
      </c>
      <c r="G3" s="181" t="s">
        <v>247</v>
      </c>
      <c r="H3" s="181" t="s">
        <v>259</v>
      </c>
    </row>
    <row r="4" spans="1:12" x14ac:dyDescent="0.2">
      <c r="A4" s="32" t="s">
        <v>59</v>
      </c>
      <c r="B4" s="32" t="s">
        <v>92</v>
      </c>
      <c r="C4" s="121">
        <v>454260</v>
      </c>
      <c r="D4" s="121">
        <v>2794</v>
      </c>
      <c r="E4" s="121">
        <v>2959</v>
      </c>
      <c r="F4" s="121">
        <v>3772</v>
      </c>
      <c r="G4" s="121">
        <v>3811</v>
      </c>
      <c r="H4" s="196">
        <f>G4/F4-1</f>
        <v>1.033934252386004E-2</v>
      </c>
      <c r="J4" s="193"/>
      <c r="K4" s="193"/>
      <c r="L4" s="194"/>
    </row>
    <row r="5" spans="1:12" x14ac:dyDescent="0.2">
      <c r="A5" s="32" t="s">
        <v>59</v>
      </c>
      <c r="B5" s="32" t="s">
        <v>93</v>
      </c>
      <c r="C5" s="121">
        <v>600684</v>
      </c>
      <c r="D5" s="121">
        <v>9655</v>
      </c>
      <c r="E5" s="121">
        <v>8085</v>
      </c>
      <c r="F5" s="121">
        <v>8190</v>
      </c>
      <c r="G5" s="121">
        <v>7008</v>
      </c>
      <c r="H5" s="196">
        <f t="shared" ref="H5:H14" si="0">G5/F5-1</f>
        <v>-0.14432234432234436</v>
      </c>
      <c r="J5" s="193"/>
      <c r="K5" s="193"/>
      <c r="L5" s="194"/>
    </row>
    <row r="6" spans="1:12" x14ac:dyDescent="0.2">
      <c r="A6" s="32" t="s">
        <v>59</v>
      </c>
      <c r="B6" s="32" t="s">
        <v>94</v>
      </c>
      <c r="C6" s="121">
        <v>837633</v>
      </c>
      <c r="D6" s="121">
        <v>50413</v>
      </c>
      <c r="E6" s="121">
        <v>35395</v>
      </c>
      <c r="F6" s="121">
        <v>33902</v>
      </c>
      <c r="G6" s="121">
        <v>26031</v>
      </c>
      <c r="H6" s="196">
        <f t="shared" si="0"/>
        <v>-0.23216919355790222</v>
      </c>
      <c r="J6" s="193"/>
      <c r="K6" s="193"/>
      <c r="L6" s="194"/>
    </row>
    <row r="7" spans="1:12" x14ac:dyDescent="0.2">
      <c r="A7" s="32" t="s">
        <v>59</v>
      </c>
      <c r="B7" s="32" t="s">
        <v>95</v>
      </c>
      <c r="C7" s="121">
        <v>240498</v>
      </c>
      <c r="D7" s="121">
        <v>1746</v>
      </c>
      <c r="E7" s="121">
        <v>2016</v>
      </c>
      <c r="F7" s="121">
        <v>3230</v>
      </c>
      <c r="G7" s="121">
        <v>3814</v>
      </c>
      <c r="H7" s="196">
        <f t="shared" si="0"/>
        <v>0.18080495356037152</v>
      </c>
      <c r="J7" s="193"/>
      <c r="K7" s="193"/>
      <c r="L7" s="194"/>
    </row>
    <row r="8" spans="1:12" x14ac:dyDescent="0.2">
      <c r="A8" s="32" t="s">
        <v>59</v>
      </c>
      <c r="B8" s="32" t="s">
        <v>96</v>
      </c>
      <c r="C8" s="121">
        <v>710479</v>
      </c>
      <c r="D8" s="121">
        <v>13459</v>
      </c>
      <c r="E8" s="121">
        <v>13818</v>
      </c>
      <c r="F8" s="121">
        <v>21965</v>
      </c>
      <c r="G8" s="121">
        <v>25888</v>
      </c>
      <c r="H8" s="196">
        <f t="shared" si="0"/>
        <v>0.17860232187571135</v>
      </c>
      <c r="J8" s="193"/>
      <c r="K8" s="193"/>
      <c r="L8" s="194"/>
    </row>
    <row r="9" spans="1:12" x14ac:dyDescent="0.2">
      <c r="A9" s="32" t="s">
        <v>59</v>
      </c>
      <c r="B9" s="32" t="s">
        <v>97</v>
      </c>
      <c r="C9" s="121">
        <v>890511</v>
      </c>
      <c r="D9" s="121">
        <v>11522</v>
      </c>
      <c r="E9" s="121">
        <v>9606</v>
      </c>
      <c r="F9" s="121">
        <v>11125</v>
      </c>
      <c r="G9" s="121">
        <v>11567</v>
      </c>
      <c r="H9" s="196">
        <f t="shared" si="0"/>
        <v>3.9730337078651701E-2</v>
      </c>
      <c r="J9" s="193"/>
      <c r="K9" s="193"/>
      <c r="L9" s="194"/>
    </row>
    <row r="10" spans="1:12" x14ac:dyDescent="0.2">
      <c r="A10" s="32" t="s">
        <v>59</v>
      </c>
      <c r="B10" s="32" t="s">
        <v>98</v>
      </c>
      <c r="C10" s="121">
        <v>502227</v>
      </c>
      <c r="D10" s="121">
        <v>4612</v>
      </c>
      <c r="E10" s="121">
        <v>4023</v>
      </c>
      <c r="F10" s="121">
        <v>4198</v>
      </c>
      <c r="G10" s="121">
        <v>3977</v>
      </c>
      <c r="H10" s="196">
        <f t="shared" si="0"/>
        <v>-5.2644116245831318E-2</v>
      </c>
      <c r="J10" s="193"/>
      <c r="K10" s="193"/>
      <c r="L10" s="194"/>
    </row>
    <row r="11" spans="1:12" x14ac:dyDescent="0.2">
      <c r="A11" s="32" t="s">
        <v>59</v>
      </c>
      <c r="B11" s="32" t="s">
        <v>99</v>
      </c>
      <c r="C11" s="121">
        <v>286589</v>
      </c>
      <c r="D11" s="121">
        <v>4964</v>
      </c>
      <c r="E11" s="121">
        <v>3697</v>
      </c>
      <c r="F11" s="121">
        <v>4261</v>
      </c>
      <c r="G11" s="121">
        <v>3402</v>
      </c>
      <c r="H11" s="196">
        <f t="shared" si="0"/>
        <v>-0.2015958695141985</v>
      </c>
      <c r="J11" s="193"/>
      <c r="K11" s="193"/>
      <c r="L11" s="194"/>
    </row>
    <row r="12" spans="1:12" x14ac:dyDescent="0.2">
      <c r="A12" s="32" t="s">
        <v>59</v>
      </c>
      <c r="B12" s="32" t="s">
        <v>100</v>
      </c>
      <c r="C12" s="121">
        <v>589571</v>
      </c>
      <c r="D12" s="121">
        <v>5286</v>
      </c>
      <c r="E12" s="121">
        <v>6047</v>
      </c>
      <c r="F12" s="121">
        <v>6733</v>
      </c>
      <c r="G12" s="121">
        <v>7027</v>
      </c>
      <c r="H12" s="196">
        <f t="shared" si="0"/>
        <v>4.3665527996435527E-2</v>
      </c>
      <c r="J12" s="193"/>
      <c r="K12" s="193"/>
      <c r="L12" s="194"/>
    </row>
    <row r="13" spans="1:12" x14ac:dyDescent="0.2">
      <c r="A13" s="263" t="s">
        <v>59</v>
      </c>
      <c r="B13" s="263" t="s">
        <v>101</v>
      </c>
      <c r="C13" s="264">
        <v>522990</v>
      </c>
      <c r="D13" s="264">
        <v>8255</v>
      </c>
      <c r="E13" s="264">
        <v>7105</v>
      </c>
      <c r="F13" s="264">
        <v>7652</v>
      </c>
      <c r="G13" s="264">
        <v>7055</v>
      </c>
      <c r="H13" s="265">
        <f t="shared" si="0"/>
        <v>-7.8018818609513874E-2</v>
      </c>
      <c r="J13" s="193"/>
      <c r="K13" s="193"/>
      <c r="L13" s="194"/>
    </row>
    <row r="14" spans="1:12" x14ac:dyDescent="0.2">
      <c r="A14" s="266" t="s">
        <v>59</v>
      </c>
      <c r="B14" s="266" t="s">
        <v>263</v>
      </c>
      <c r="C14" s="267">
        <v>5635442</v>
      </c>
      <c r="D14" s="267">
        <f>SUM(D4:D13)</f>
        <v>112706</v>
      </c>
      <c r="E14" s="267">
        <f>SUM(E4:E13)</f>
        <v>92751</v>
      </c>
      <c r="F14" s="267">
        <f>SUM(F4:F13)</f>
        <v>105028</v>
      </c>
      <c r="G14" s="267">
        <f>SUM(G4:G13)</f>
        <v>99580</v>
      </c>
      <c r="H14" s="268">
        <f t="shared" si="0"/>
        <v>-5.1871881783905227E-2</v>
      </c>
      <c r="J14" s="193"/>
      <c r="K14" s="193"/>
      <c r="L14" s="194"/>
    </row>
    <row r="15" spans="1:12" x14ac:dyDescent="0.2">
      <c r="A15" s="32" t="s">
        <v>63</v>
      </c>
      <c r="B15" s="32" t="s">
        <v>92</v>
      </c>
      <c r="C15" s="182">
        <f>C4/C$14</f>
        <v>8.0607696787581173E-2</v>
      </c>
      <c r="D15" s="182">
        <f>D4/D$14</f>
        <v>2.4790162014444662E-2</v>
      </c>
      <c r="E15" s="182">
        <f t="shared" ref="E15:G25" si="1">E4/E$14</f>
        <v>3.1902620996000046E-2</v>
      </c>
      <c r="F15" s="182">
        <f t="shared" si="1"/>
        <v>3.591423239517081E-2</v>
      </c>
      <c r="G15" s="182">
        <f t="shared" si="1"/>
        <v>3.8270737095802372E-2</v>
      </c>
      <c r="H15" s="205">
        <f>(G15-F15)*100</f>
        <v>0.2356504700631562</v>
      </c>
      <c r="J15" s="192"/>
      <c r="K15" s="192"/>
    </row>
    <row r="16" spans="1:12" x14ac:dyDescent="0.2">
      <c r="A16" s="32" t="s">
        <v>63</v>
      </c>
      <c r="B16" s="32" t="s">
        <v>93</v>
      </c>
      <c r="C16" s="182">
        <f t="shared" ref="C16:C25" si="2">C5/C$14</f>
        <v>0.10659039699104347</v>
      </c>
      <c r="D16" s="182">
        <f t="shared" ref="D16:F25" si="3">D5/D$14</f>
        <v>8.566535943073128E-2</v>
      </c>
      <c r="E16" s="182">
        <f t="shared" si="3"/>
        <v>8.7168871494646957E-2</v>
      </c>
      <c r="F16" s="182">
        <f t="shared" si="3"/>
        <v>7.7979205545187946E-2</v>
      </c>
      <c r="G16" s="182">
        <f t="shared" si="1"/>
        <v>7.0375577425185784E-2</v>
      </c>
      <c r="H16" s="190">
        <f t="shared" ref="H16:H24" si="4">(G16-F16)*100</f>
        <v>-0.76036281200021616</v>
      </c>
      <c r="J16" s="192"/>
      <c r="K16" s="192"/>
    </row>
    <row r="17" spans="1:11" x14ac:dyDescent="0.2">
      <c r="A17" s="32" t="s">
        <v>63</v>
      </c>
      <c r="B17" s="32" t="s">
        <v>94</v>
      </c>
      <c r="C17" s="182">
        <f t="shared" si="2"/>
        <v>0.14863661093486544</v>
      </c>
      <c r="D17" s="182">
        <f t="shared" si="3"/>
        <v>0.44729650595354287</v>
      </c>
      <c r="E17" s="182">
        <f t="shared" si="3"/>
        <v>0.3816131362465095</v>
      </c>
      <c r="F17" s="182">
        <f t="shared" si="3"/>
        <v>0.32279011311269373</v>
      </c>
      <c r="G17" s="182">
        <f t="shared" si="1"/>
        <v>0.26140791323558948</v>
      </c>
      <c r="H17" s="190">
        <f t="shared" si="4"/>
        <v>-6.1382199877104249</v>
      </c>
      <c r="J17" s="192"/>
      <c r="K17" s="192"/>
    </row>
    <row r="18" spans="1:11" x14ac:dyDescent="0.2">
      <c r="A18" s="32" t="s">
        <v>63</v>
      </c>
      <c r="B18" s="32" t="s">
        <v>95</v>
      </c>
      <c r="C18" s="182">
        <f t="shared" si="2"/>
        <v>4.2675978210759691E-2</v>
      </c>
      <c r="D18" s="182">
        <f t="shared" si="3"/>
        <v>1.5491633098504072E-2</v>
      </c>
      <c r="E18" s="182">
        <f t="shared" si="3"/>
        <v>2.1735614710353526E-2</v>
      </c>
      <c r="F18" s="182">
        <f t="shared" si="3"/>
        <v>3.0753703774231634E-2</v>
      </c>
      <c r="G18" s="182">
        <f t="shared" si="1"/>
        <v>3.8300863627234387E-2</v>
      </c>
      <c r="H18" s="190">
        <f t="shared" si="4"/>
        <v>0.75471598530027528</v>
      </c>
      <c r="J18" s="192"/>
      <c r="K18" s="192"/>
    </row>
    <row r="19" spans="1:11" x14ac:dyDescent="0.2">
      <c r="A19" s="32" t="s">
        <v>63</v>
      </c>
      <c r="B19" s="32" t="s">
        <v>96</v>
      </c>
      <c r="C19" s="182">
        <f t="shared" si="2"/>
        <v>0.12607334083111849</v>
      </c>
      <c r="D19" s="182">
        <f t="shared" si="3"/>
        <v>0.11941688996149273</v>
      </c>
      <c r="E19" s="182">
        <f t="shared" si="3"/>
        <v>0.1489795258272148</v>
      </c>
      <c r="F19" s="182">
        <f t="shared" si="3"/>
        <v>0.20913470693529346</v>
      </c>
      <c r="G19" s="182">
        <f t="shared" si="1"/>
        <v>0.25997188190399678</v>
      </c>
      <c r="H19" s="190">
        <f t="shared" si="4"/>
        <v>5.0837174968703325</v>
      </c>
      <c r="J19" s="192"/>
      <c r="K19" s="192"/>
    </row>
    <row r="20" spans="1:11" x14ac:dyDescent="0.2">
      <c r="A20" s="32" t="s">
        <v>63</v>
      </c>
      <c r="B20" s="32" t="s">
        <v>97</v>
      </c>
      <c r="C20" s="182">
        <f t="shared" si="2"/>
        <v>0.15801972587065929</v>
      </c>
      <c r="D20" s="182">
        <f t="shared" si="3"/>
        <v>0.1022305822227743</v>
      </c>
      <c r="E20" s="182">
        <f t="shared" si="3"/>
        <v>0.10356761652165475</v>
      </c>
      <c r="F20" s="182">
        <f t="shared" si="3"/>
        <v>0.10592413451650988</v>
      </c>
      <c r="G20" s="182">
        <f t="shared" si="1"/>
        <v>0.11615786302470375</v>
      </c>
      <c r="H20" s="190">
        <f t="shared" si="4"/>
        <v>1.0233728508193873</v>
      </c>
      <c r="J20" s="192"/>
      <c r="K20" s="192"/>
    </row>
    <row r="21" spans="1:11" x14ac:dyDescent="0.2">
      <c r="A21" s="32" t="s">
        <v>63</v>
      </c>
      <c r="B21" s="32" t="s">
        <v>98</v>
      </c>
      <c r="C21" s="182">
        <f t="shared" si="2"/>
        <v>8.9119362775803568E-2</v>
      </c>
      <c r="D21" s="182">
        <f t="shared" si="3"/>
        <v>4.0920625343814881E-2</v>
      </c>
      <c r="E21" s="182">
        <f t="shared" si="3"/>
        <v>4.3374195426464403E-2</v>
      </c>
      <c r="F21" s="182">
        <f t="shared" si="3"/>
        <v>3.9970293635982784E-2</v>
      </c>
      <c r="G21" s="182">
        <f t="shared" si="1"/>
        <v>3.9937738501707169E-2</v>
      </c>
      <c r="H21" s="190">
        <f t="shared" si="4"/>
        <v>-3.2555134275615016E-3</v>
      </c>
      <c r="J21" s="192"/>
      <c r="K21" s="192"/>
    </row>
    <row r="22" spans="1:11" x14ac:dyDescent="0.2">
      <c r="A22" s="32" t="s">
        <v>63</v>
      </c>
      <c r="B22" s="32" t="s">
        <v>99</v>
      </c>
      <c r="C22" s="182">
        <f t="shared" si="2"/>
        <v>5.0854751055906526E-2</v>
      </c>
      <c r="D22" s="182">
        <f t="shared" si="3"/>
        <v>4.4043795361382712E-2</v>
      </c>
      <c r="E22" s="182">
        <f t="shared" si="3"/>
        <v>3.9859408523897313E-2</v>
      </c>
      <c r="F22" s="182">
        <f t="shared" si="3"/>
        <v>4.0570133678638078E-2</v>
      </c>
      <c r="G22" s="182">
        <f t="shared" si="1"/>
        <v>3.4163486643904402E-2</v>
      </c>
      <c r="H22" s="190">
        <f t="shared" si="4"/>
        <v>-0.64066470347336757</v>
      </c>
      <c r="J22" s="192"/>
      <c r="K22" s="192"/>
    </row>
    <row r="23" spans="1:11" x14ac:dyDescent="0.2">
      <c r="A23" s="32" t="s">
        <v>63</v>
      </c>
      <c r="B23" s="32" t="s">
        <v>100</v>
      </c>
      <c r="C23" s="182">
        <f t="shared" si="2"/>
        <v>0.10461841324957297</v>
      </c>
      <c r="D23" s="182">
        <f t="shared" si="3"/>
        <v>4.6900786116089652E-2</v>
      </c>
      <c r="E23" s="182">
        <f t="shared" si="3"/>
        <v>6.5196062576144728E-2</v>
      </c>
      <c r="F23" s="182">
        <f t="shared" si="3"/>
        <v>6.4106714399969539E-2</v>
      </c>
      <c r="G23" s="182">
        <f t="shared" si="1"/>
        <v>7.0566378790921869E-2</v>
      </c>
      <c r="H23" s="190">
        <f t="shared" si="4"/>
        <v>0.64596643909523299</v>
      </c>
      <c r="J23" s="192"/>
      <c r="K23" s="192"/>
    </row>
    <row r="24" spans="1:11" x14ac:dyDescent="0.2">
      <c r="A24" s="263" t="s">
        <v>63</v>
      </c>
      <c r="B24" s="263" t="s">
        <v>101</v>
      </c>
      <c r="C24" s="258">
        <f t="shared" si="2"/>
        <v>9.2803723292689377E-2</v>
      </c>
      <c r="D24" s="258">
        <f t="shared" si="3"/>
        <v>7.3243660497222862E-2</v>
      </c>
      <c r="E24" s="258">
        <f t="shared" si="3"/>
        <v>7.6602947677113994E-2</v>
      </c>
      <c r="F24" s="258">
        <f t="shared" si="3"/>
        <v>7.2856762006322129E-2</v>
      </c>
      <c r="G24" s="258">
        <f t="shared" si="1"/>
        <v>7.0847559750954012E-2</v>
      </c>
      <c r="H24" s="255">
        <f t="shared" si="4"/>
        <v>-0.20092022553681171</v>
      </c>
      <c r="J24" s="192"/>
      <c r="K24" s="192"/>
    </row>
    <row r="25" spans="1:11" x14ac:dyDescent="0.2">
      <c r="A25" s="266" t="s">
        <v>63</v>
      </c>
      <c r="B25" s="266" t="s">
        <v>263</v>
      </c>
      <c r="C25" s="259">
        <f t="shared" si="2"/>
        <v>1</v>
      </c>
      <c r="D25" s="259">
        <f t="shared" si="3"/>
        <v>1</v>
      </c>
      <c r="E25" s="259">
        <f t="shared" si="3"/>
        <v>1</v>
      </c>
      <c r="F25" s="259">
        <f t="shared" si="3"/>
        <v>1</v>
      </c>
      <c r="G25" s="259">
        <f t="shared" si="1"/>
        <v>1</v>
      </c>
      <c r="H25" s="269" t="s">
        <v>49</v>
      </c>
      <c r="J25" s="192"/>
      <c r="K25" s="192"/>
    </row>
    <row r="26" spans="1:11" x14ac:dyDescent="0.2">
      <c r="A26" s="151" t="s">
        <v>103</v>
      </c>
      <c r="B26" s="151" t="s">
        <v>92</v>
      </c>
      <c r="C26" s="184" t="s">
        <v>49</v>
      </c>
      <c r="D26" s="184">
        <f t="shared" ref="D26:G36" si="5">(D4/$C4)*10000</f>
        <v>61.506626161229256</v>
      </c>
      <c r="E26" s="184">
        <f t="shared" si="5"/>
        <v>65.138907233742799</v>
      </c>
      <c r="F26" s="184">
        <f t="shared" si="5"/>
        <v>83.036146700127688</v>
      </c>
      <c r="G26" s="184">
        <f t="shared" si="5"/>
        <v>83.894685862721786</v>
      </c>
      <c r="H26" s="184" t="s">
        <v>49</v>
      </c>
    </row>
    <row r="27" spans="1:11" x14ac:dyDescent="0.2">
      <c r="A27" s="4" t="s">
        <v>103</v>
      </c>
      <c r="B27" s="4" t="s">
        <v>93</v>
      </c>
      <c r="C27" s="121" t="s">
        <v>49</v>
      </c>
      <c r="D27" s="121">
        <f t="shared" si="5"/>
        <v>160.73343055583302</v>
      </c>
      <c r="E27" s="121">
        <f t="shared" si="5"/>
        <v>134.59655992168928</v>
      </c>
      <c r="F27" s="121">
        <f t="shared" si="5"/>
        <v>136.34456719339951</v>
      </c>
      <c r="G27" s="121">
        <f t="shared" si="5"/>
        <v>116.6669996204327</v>
      </c>
      <c r="H27" s="121" t="s">
        <v>49</v>
      </c>
    </row>
    <row r="28" spans="1:11" x14ac:dyDescent="0.2">
      <c r="A28" s="4" t="s">
        <v>103</v>
      </c>
      <c r="B28" s="4" t="s">
        <v>94</v>
      </c>
      <c r="C28" s="121" t="s">
        <v>49</v>
      </c>
      <c r="D28" s="121">
        <f t="shared" si="5"/>
        <v>601.85069117381954</v>
      </c>
      <c r="E28" s="121">
        <f t="shared" si="5"/>
        <v>422.55976065890434</v>
      </c>
      <c r="F28" s="121">
        <f t="shared" si="5"/>
        <v>404.7357255504499</v>
      </c>
      <c r="G28" s="121">
        <f t="shared" si="5"/>
        <v>310.76855854532954</v>
      </c>
      <c r="H28" s="121" t="s">
        <v>49</v>
      </c>
    </row>
    <row r="29" spans="1:11" x14ac:dyDescent="0.2">
      <c r="A29" s="4" t="s">
        <v>103</v>
      </c>
      <c r="B29" s="4" t="s">
        <v>95</v>
      </c>
      <c r="C29" s="121" t="s">
        <v>49</v>
      </c>
      <c r="D29" s="121">
        <f t="shared" si="5"/>
        <v>72.59935633560363</v>
      </c>
      <c r="E29" s="121">
        <f t="shared" si="5"/>
        <v>83.826060923583555</v>
      </c>
      <c r="F29" s="121">
        <f t="shared" si="5"/>
        <v>134.30465118213041</v>
      </c>
      <c r="G29" s="121">
        <f t="shared" si="5"/>
        <v>158.58759740205741</v>
      </c>
      <c r="H29" s="121" t="s">
        <v>49</v>
      </c>
    </row>
    <row r="30" spans="1:11" x14ac:dyDescent="0.2">
      <c r="A30" s="4" t="s">
        <v>103</v>
      </c>
      <c r="B30" s="4" t="s">
        <v>96</v>
      </c>
      <c r="C30" s="121" t="s">
        <v>49</v>
      </c>
      <c r="D30" s="121">
        <f t="shared" si="5"/>
        <v>189.4355779692292</v>
      </c>
      <c r="E30" s="121">
        <f t="shared" si="5"/>
        <v>194.48850704946943</v>
      </c>
      <c r="F30" s="121">
        <f t="shared" si="5"/>
        <v>309.15762464478189</v>
      </c>
      <c r="G30" s="121">
        <f t="shared" si="5"/>
        <v>364.37389423191962</v>
      </c>
      <c r="H30" s="121" t="s">
        <v>49</v>
      </c>
    </row>
    <row r="31" spans="1:11" x14ac:dyDescent="0.2">
      <c r="A31" s="4" t="s">
        <v>103</v>
      </c>
      <c r="B31" s="4" t="s">
        <v>97</v>
      </c>
      <c r="C31" s="121" t="s">
        <v>49</v>
      </c>
      <c r="D31" s="121">
        <f t="shared" si="5"/>
        <v>129.38638601881394</v>
      </c>
      <c r="E31" s="121">
        <f t="shared" si="5"/>
        <v>107.87064954840535</v>
      </c>
      <c r="F31" s="121">
        <f t="shared" si="5"/>
        <v>124.92827152050901</v>
      </c>
      <c r="G31" s="121">
        <f t="shared" si="5"/>
        <v>129.89171385867215</v>
      </c>
      <c r="H31" s="121" t="s">
        <v>49</v>
      </c>
    </row>
    <row r="32" spans="1:11" x14ac:dyDescent="0.2">
      <c r="A32" s="4" t="s">
        <v>103</v>
      </c>
      <c r="B32" s="4" t="s">
        <v>98</v>
      </c>
      <c r="C32" s="121" t="s">
        <v>49</v>
      </c>
      <c r="D32" s="121">
        <f t="shared" si="5"/>
        <v>91.830984793728732</v>
      </c>
      <c r="E32" s="121">
        <f t="shared" si="5"/>
        <v>80.103220256975433</v>
      </c>
      <c r="F32" s="121">
        <f t="shared" si="5"/>
        <v>83.587700382496365</v>
      </c>
      <c r="G32" s="121">
        <f t="shared" si="5"/>
        <v>79.187299766838493</v>
      </c>
      <c r="H32" s="121" t="s">
        <v>49</v>
      </c>
    </row>
    <row r="33" spans="1:8" x14ac:dyDescent="0.2">
      <c r="A33" s="4" t="s">
        <v>103</v>
      </c>
      <c r="B33" s="4" t="s">
        <v>99</v>
      </c>
      <c r="C33" s="121" t="s">
        <v>49</v>
      </c>
      <c r="D33" s="121">
        <f t="shared" si="5"/>
        <v>173.20971844697459</v>
      </c>
      <c r="E33" s="121">
        <f t="shared" si="5"/>
        <v>129.00006629703162</v>
      </c>
      <c r="F33" s="121">
        <f t="shared" si="5"/>
        <v>148.67981674104729</v>
      </c>
      <c r="G33" s="121">
        <f t="shared" si="5"/>
        <v>118.70657980592416</v>
      </c>
      <c r="H33" s="121" t="s">
        <v>49</v>
      </c>
    </row>
    <row r="34" spans="1:8" x14ac:dyDescent="0.2">
      <c r="A34" s="4" t="s">
        <v>103</v>
      </c>
      <c r="B34" s="4" t="s">
        <v>100</v>
      </c>
      <c r="C34" s="121" t="s">
        <v>49</v>
      </c>
      <c r="D34" s="121">
        <f t="shared" si="5"/>
        <v>89.65841264241287</v>
      </c>
      <c r="E34" s="121">
        <f t="shared" si="5"/>
        <v>102.56610314957825</v>
      </c>
      <c r="F34" s="121">
        <f t="shared" si="5"/>
        <v>114.20168224013733</v>
      </c>
      <c r="G34" s="121">
        <f t="shared" si="5"/>
        <v>119.18835899323406</v>
      </c>
      <c r="H34" s="121" t="s">
        <v>49</v>
      </c>
    </row>
    <row r="35" spans="1:8" x14ac:dyDescent="0.2">
      <c r="A35" s="270" t="s">
        <v>103</v>
      </c>
      <c r="B35" s="270" t="s">
        <v>101</v>
      </c>
      <c r="C35" s="264" t="s">
        <v>49</v>
      </c>
      <c r="D35" s="264">
        <f t="shared" si="5"/>
        <v>157.84240616455381</v>
      </c>
      <c r="E35" s="264">
        <f t="shared" si="5"/>
        <v>135.853458001109</v>
      </c>
      <c r="F35" s="264">
        <f t="shared" si="5"/>
        <v>146.31254899711277</v>
      </c>
      <c r="G35" s="264">
        <f t="shared" si="5"/>
        <v>134.89741677661141</v>
      </c>
      <c r="H35" s="264" t="s">
        <v>49</v>
      </c>
    </row>
    <row r="36" spans="1:8" x14ac:dyDescent="0.2">
      <c r="A36" s="271" t="s">
        <v>103</v>
      </c>
      <c r="B36" s="271" t="s">
        <v>263</v>
      </c>
      <c r="C36" s="267" t="s">
        <v>49</v>
      </c>
      <c r="D36" s="267">
        <f t="shared" si="5"/>
        <v>199.99496046627752</v>
      </c>
      <c r="E36" s="267">
        <f t="shared" si="5"/>
        <v>164.58513813113504</v>
      </c>
      <c r="F36" s="267">
        <f t="shared" si="5"/>
        <v>186.37047457856897</v>
      </c>
      <c r="G36" s="267">
        <f t="shared" si="5"/>
        <v>176.70308735321913</v>
      </c>
      <c r="H36" s="267" t="s">
        <v>49</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86A77-C692-4EF8-86F6-5C2E6083F5FA}">
  <dimension ref="A1:H58"/>
  <sheetViews>
    <sheetView workbookViewId="0">
      <pane xSplit="1" ySplit="3" topLeftCell="B4" activePane="bottomRight" state="frozen"/>
      <selection pane="topRight" activeCell="B1" sqref="B1"/>
      <selection pane="bottomLeft" activeCell="A4" sqref="A4"/>
      <selection pane="bottomRight"/>
    </sheetView>
  </sheetViews>
  <sheetFormatPr defaultColWidth="8.6640625" defaultRowHeight="15" x14ac:dyDescent="0.2"/>
  <cols>
    <col min="1" max="1" width="25.88671875" bestFit="1" customWidth="1"/>
    <col min="2" max="5" width="7.5546875" customWidth="1"/>
    <col min="6" max="6" width="11.6640625" customWidth="1"/>
  </cols>
  <sheetData>
    <row r="1" spans="1:6" ht="15.75" x14ac:dyDescent="0.2">
      <c r="A1" s="29" t="s">
        <v>253</v>
      </c>
    </row>
    <row r="2" spans="1:6" x14ac:dyDescent="0.2">
      <c r="A2" s="16" t="s">
        <v>56</v>
      </c>
    </row>
    <row r="3" spans="1:6" ht="51" x14ac:dyDescent="0.2">
      <c r="A3" s="180" t="s">
        <v>104</v>
      </c>
      <c r="B3" s="180">
        <v>2021</v>
      </c>
      <c r="C3" s="180">
        <v>2022</v>
      </c>
      <c r="D3" s="180">
        <v>2023</v>
      </c>
      <c r="E3" s="180">
        <v>2024</v>
      </c>
      <c r="F3" s="181" t="s">
        <v>259</v>
      </c>
    </row>
    <row r="4" spans="1:6" x14ac:dyDescent="0.2">
      <c r="A4" s="4" t="s">
        <v>105</v>
      </c>
      <c r="B4" s="121">
        <v>390</v>
      </c>
      <c r="C4" s="121">
        <v>449</v>
      </c>
      <c r="D4" s="121">
        <v>534</v>
      </c>
      <c r="E4" s="121">
        <v>566</v>
      </c>
      <c r="F4" s="177">
        <f>E4/D4-1</f>
        <v>5.9925093632958726E-2</v>
      </c>
    </row>
    <row r="5" spans="1:6" x14ac:dyDescent="0.2">
      <c r="A5" s="4" t="s">
        <v>106</v>
      </c>
      <c r="B5" s="121">
        <v>1056</v>
      </c>
      <c r="C5" s="121">
        <v>873</v>
      </c>
      <c r="D5" s="121">
        <v>1117</v>
      </c>
      <c r="E5" s="121">
        <v>1031</v>
      </c>
      <c r="F5" s="177">
        <f t="shared" ref="F5:F58" si="0">E5/D5-1</f>
        <v>-7.6991942703670491E-2</v>
      </c>
    </row>
    <row r="6" spans="1:6" x14ac:dyDescent="0.2">
      <c r="A6" s="4" t="s">
        <v>107</v>
      </c>
      <c r="B6" s="121">
        <v>345</v>
      </c>
      <c r="C6" s="121">
        <v>358</v>
      </c>
      <c r="D6" s="121">
        <v>575</v>
      </c>
      <c r="E6" s="121">
        <v>529</v>
      </c>
      <c r="F6" s="177">
        <f t="shared" si="0"/>
        <v>-7.999999999999996E-2</v>
      </c>
    </row>
    <row r="7" spans="1:6" x14ac:dyDescent="0.2">
      <c r="A7" s="4" t="s">
        <v>108</v>
      </c>
      <c r="B7" s="121">
        <v>388</v>
      </c>
      <c r="C7" s="121">
        <v>604</v>
      </c>
      <c r="D7" s="121">
        <v>834</v>
      </c>
      <c r="E7" s="121">
        <v>875</v>
      </c>
      <c r="F7" s="177">
        <f t="shared" si="0"/>
        <v>4.9160671462829653E-2</v>
      </c>
    </row>
    <row r="8" spans="1:6" x14ac:dyDescent="0.2">
      <c r="A8" s="270" t="s">
        <v>109</v>
      </c>
      <c r="B8" s="264">
        <v>615</v>
      </c>
      <c r="C8" s="264">
        <v>675</v>
      </c>
      <c r="D8" s="264">
        <v>712</v>
      </c>
      <c r="E8" s="264">
        <v>810</v>
      </c>
      <c r="F8" s="272">
        <f t="shared" si="0"/>
        <v>0.13764044943820219</v>
      </c>
    </row>
    <row r="9" spans="1:6" x14ac:dyDescent="0.2">
      <c r="A9" s="271" t="s">
        <v>110</v>
      </c>
      <c r="B9" s="267">
        <v>2794</v>
      </c>
      <c r="C9" s="267">
        <v>2959</v>
      </c>
      <c r="D9" s="267">
        <v>3772</v>
      </c>
      <c r="E9" s="267">
        <v>3811</v>
      </c>
      <c r="F9" s="273">
        <f t="shared" si="0"/>
        <v>1.033934252386004E-2</v>
      </c>
    </row>
    <row r="10" spans="1:6" x14ac:dyDescent="0.2">
      <c r="A10" s="4" t="s">
        <v>111</v>
      </c>
      <c r="B10" s="121">
        <v>706</v>
      </c>
      <c r="C10" s="121">
        <v>599</v>
      </c>
      <c r="D10" s="121">
        <v>612</v>
      </c>
      <c r="E10" s="121">
        <v>642</v>
      </c>
      <c r="F10" s="177">
        <f t="shared" si="0"/>
        <v>4.9019607843137303E-2</v>
      </c>
    </row>
    <row r="11" spans="1:6" x14ac:dyDescent="0.2">
      <c r="A11" s="4" t="s">
        <v>112</v>
      </c>
      <c r="B11" s="121">
        <v>725</v>
      </c>
      <c r="C11" s="121">
        <v>520</v>
      </c>
      <c r="D11" s="121">
        <v>627</v>
      </c>
      <c r="E11" s="121">
        <v>458</v>
      </c>
      <c r="F11" s="177">
        <f t="shared" si="0"/>
        <v>-0.26953748006379585</v>
      </c>
    </row>
    <row r="12" spans="1:6" x14ac:dyDescent="0.2">
      <c r="A12" s="4" t="s">
        <v>113</v>
      </c>
      <c r="B12" s="121">
        <v>4662</v>
      </c>
      <c r="C12" s="121">
        <v>3815</v>
      </c>
      <c r="D12" s="121">
        <v>3718</v>
      </c>
      <c r="E12" s="121">
        <v>3347</v>
      </c>
      <c r="F12" s="177">
        <f t="shared" si="0"/>
        <v>-9.9784830554061288E-2</v>
      </c>
    </row>
    <row r="13" spans="1:6" x14ac:dyDescent="0.2">
      <c r="A13" s="4" t="s">
        <v>114</v>
      </c>
      <c r="B13" s="121">
        <v>1779</v>
      </c>
      <c r="C13" s="121">
        <v>1516</v>
      </c>
      <c r="D13" s="121">
        <v>1557</v>
      </c>
      <c r="E13" s="121">
        <v>1446</v>
      </c>
      <c r="F13" s="177">
        <f t="shared" si="0"/>
        <v>-7.1290944123314048E-2</v>
      </c>
    </row>
    <row r="14" spans="1:6" x14ac:dyDescent="0.2">
      <c r="A14" s="4" t="s">
        <v>115</v>
      </c>
      <c r="B14" s="121">
        <v>953</v>
      </c>
      <c r="C14" s="121">
        <v>829</v>
      </c>
      <c r="D14" s="121">
        <v>750</v>
      </c>
      <c r="E14" s="121">
        <v>560</v>
      </c>
      <c r="F14" s="177">
        <f t="shared" si="0"/>
        <v>-0.2533333333333333</v>
      </c>
    </row>
    <row r="15" spans="1:6" x14ac:dyDescent="0.2">
      <c r="A15" s="270" t="s">
        <v>116</v>
      </c>
      <c r="B15" s="264">
        <v>830</v>
      </c>
      <c r="C15" s="264">
        <v>806</v>
      </c>
      <c r="D15" s="264">
        <v>926</v>
      </c>
      <c r="E15" s="264">
        <v>555</v>
      </c>
      <c r="F15" s="272">
        <f t="shared" si="0"/>
        <v>-0.40064794816414684</v>
      </c>
    </row>
    <row r="16" spans="1:6" x14ac:dyDescent="0.2">
      <c r="A16" s="271" t="s">
        <v>117</v>
      </c>
      <c r="B16" s="267">
        <v>9655</v>
      </c>
      <c r="C16" s="267">
        <v>8085</v>
      </c>
      <c r="D16" s="267">
        <v>8190</v>
      </c>
      <c r="E16" s="267">
        <v>7008</v>
      </c>
      <c r="F16" s="273">
        <f t="shared" si="0"/>
        <v>-0.14432234432234436</v>
      </c>
    </row>
    <row r="17" spans="1:8" x14ac:dyDescent="0.2">
      <c r="A17" s="4" t="s">
        <v>118</v>
      </c>
      <c r="B17" s="121">
        <v>214</v>
      </c>
      <c r="C17" s="121">
        <v>161</v>
      </c>
      <c r="D17" s="121">
        <v>176</v>
      </c>
      <c r="E17" s="121">
        <v>223</v>
      </c>
      <c r="F17" s="177">
        <f t="shared" si="0"/>
        <v>0.26704545454545459</v>
      </c>
    </row>
    <row r="18" spans="1:8" x14ac:dyDescent="0.2">
      <c r="A18" s="270" t="s">
        <v>119</v>
      </c>
      <c r="B18" s="264">
        <v>50199</v>
      </c>
      <c r="C18" s="264">
        <v>35234</v>
      </c>
      <c r="D18" s="264">
        <v>33726</v>
      </c>
      <c r="E18" s="264">
        <v>25808</v>
      </c>
      <c r="F18" s="272">
        <f t="shared" si="0"/>
        <v>-0.23477435806202929</v>
      </c>
    </row>
    <row r="19" spans="1:8" x14ac:dyDescent="0.2">
      <c r="A19" s="271" t="s">
        <v>120</v>
      </c>
      <c r="B19" s="267">
        <v>50413</v>
      </c>
      <c r="C19" s="267">
        <v>35395</v>
      </c>
      <c r="D19" s="267">
        <v>33902</v>
      </c>
      <c r="E19" s="267">
        <v>26031</v>
      </c>
      <c r="F19" s="273">
        <f t="shared" si="0"/>
        <v>-0.23216919355790222</v>
      </c>
    </row>
    <row r="20" spans="1:8" x14ac:dyDescent="0.2">
      <c r="A20" s="4" t="s">
        <v>121</v>
      </c>
      <c r="B20" s="121">
        <v>760</v>
      </c>
      <c r="C20" s="121">
        <v>873</v>
      </c>
      <c r="D20" s="121">
        <v>1294</v>
      </c>
      <c r="E20" s="121">
        <v>1335</v>
      </c>
      <c r="F20" s="177">
        <f t="shared" si="0"/>
        <v>3.1684698608964501E-2</v>
      </c>
    </row>
    <row r="21" spans="1:8" x14ac:dyDescent="0.2">
      <c r="A21" s="4" t="s">
        <v>122</v>
      </c>
      <c r="B21" s="121">
        <v>267</v>
      </c>
      <c r="C21" s="121">
        <v>329</v>
      </c>
      <c r="D21" s="121">
        <v>609</v>
      </c>
      <c r="E21" s="121">
        <v>652</v>
      </c>
      <c r="F21" s="177">
        <f t="shared" si="0"/>
        <v>7.0607553366174081E-2</v>
      </c>
    </row>
    <row r="22" spans="1:8" x14ac:dyDescent="0.2">
      <c r="A22" s="270" t="s">
        <v>123</v>
      </c>
      <c r="B22" s="264">
        <v>719</v>
      </c>
      <c r="C22" s="264">
        <v>814</v>
      </c>
      <c r="D22" s="264">
        <v>1327</v>
      </c>
      <c r="E22" s="264">
        <v>1827</v>
      </c>
      <c r="F22" s="272">
        <f t="shared" si="0"/>
        <v>0.37678975131876413</v>
      </c>
    </row>
    <row r="23" spans="1:8" x14ac:dyDescent="0.2">
      <c r="A23" s="271" t="s">
        <v>124</v>
      </c>
      <c r="B23" s="267">
        <v>1746</v>
      </c>
      <c r="C23" s="267">
        <v>2016</v>
      </c>
      <c r="D23" s="267">
        <v>3230</v>
      </c>
      <c r="E23" s="267">
        <v>3814</v>
      </c>
      <c r="F23" s="273">
        <f t="shared" si="0"/>
        <v>0.18080495356037152</v>
      </c>
    </row>
    <row r="24" spans="1:8" x14ac:dyDescent="0.2">
      <c r="A24" s="4" t="s">
        <v>125</v>
      </c>
      <c r="B24" s="121">
        <v>977</v>
      </c>
      <c r="C24" s="121">
        <v>1271</v>
      </c>
      <c r="D24" s="121">
        <v>2798</v>
      </c>
      <c r="E24" s="121">
        <v>3134</v>
      </c>
      <c r="F24" s="177">
        <f t="shared" si="0"/>
        <v>0.12008577555396704</v>
      </c>
      <c r="H24" s="207"/>
    </row>
    <row r="25" spans="1:8" x14ac:dyDescent="0.2">
      <c r="A25" s="4" t="s">
        <v>126</v>
      </c>
      <c r="B25" s="121">
        <v>455</v>
      </c>
      <c r="C25" s="121">
        <v>480</v>
      </c>
      <c r="D25" s="121">
        <v>692</v>
      </c>
      <c r="E25" s="121">
        <v>1254</v>
      </c>
      <c r="F25" s="177">
        <f t="shared" si="0"/>
        <v>0.81213872832369938</v>
      </c>
      <c r="H25" s="207"/>
    </row>
    <row r="26" spans="1:8" x14ac:dyDescent="0.2">
      <c r="A26" s="4" t="s">
        <v>127</v>
      </c>
      <c r="B26" s="121">
        <v>2304</v>
      </c>
      <c r="C26" s="121">
        <v>2459</v>
      </c>
      <c r="D26" s="121">
        <v>7132</v>
      </c>
      <c r="E26" s="121">
        <v>10671</v>
      </c>
      <c r="F26" s="177">
        <f t="shared" si="0"/>
        <v>0.49621424565339312</v>
      </c>
      <c r="H26" s="207"/>
    </row>
    <row r="27" spans="1:8" x14ac:dyDescent="0.2">
      <c r="A27" s="4" t="s">
        <v>128</v>
      </c>
      <c r="B27" s="121">
        <v>1891</v>
      </c>
      <c r="C27" s="121">
        <v>2121</v>
      </c>
      <c r="D27" s="121">
        <v>2594</v>
      </c>
      <c r="E27" s="121">
        <v>3325</v>
      </c>
      <c r="F27" s="177">
        <f t="shared" si="0"/>
        <v>0.28180416345412485</v>
      </c>
    </row>
    <row r="28" spans="1:8" x14ac:dyDescent="0.2">
      <c r="A28" s="270" t="s">
        <v>129</v>
      </c>
      <c r="B28" s="264">
        <v>7832</v>
      </c>
      <c r="C28" s="264">
        <v>7487</v>
      </c>
      <c r="D28" s="264">
        <v>8749</v>
      </c>
      <c r="E28" s="264">
        <v>7504</v>
      </c>
      <c r="F28" s="272">
        <f t="shared" si="0"/>
        <v>-0.1423019773688422</v>
      </c>
    </row>
    <row r="29" spans="1:8" x14ac:dyDescent="0.2">
      <c r="A29" s="271" t="s">
        <v>130</v>
      </c>
      <c r="B29" s="267">
        <v>13459</v>
      </c>
      <c r="C29" s="267">
        <v>13818</v>
      </c>
      <c r="D29" s="267">
        <v>21965</v>
      </c>
      <c r="E29" s="267">
        <v>25888</v>
      </c>
      <c r="F29" s="273">
        <f t="shared" si="0"/>
        <v>0.17860232187571135</v>
      </c>
    </row>
    <row r="30" spans="1:8" x14ac:dyDescent="0.2">
      <c r="A30" s="4" t="s">
        <v>131</v>
      </c>
      <c r="B30" s="121">
        <v>2865</v>
      </c>
      <c r="C30" s="121">
        <v>1995</v>
      </c>
      <c r="D30" s="121">
        <v>2467</v>
      </c>
      <c r="E30" s="121">
        <v>2683</v>
      </c>
      <c r="F30" s="177">
        <f t="shared" si="0"/>
        <v>8.7555735711390303E-2</v>
      </c>
    </row>
    <row r="31" spans="1:8" x14ac:dyDescent="0.2">
      <c r="A31" s="4" t="s">
        <v>132</v>
      </c>
      <c r="B31" s="121">
        <v>1981</v>
      </c>
      <c r="C31" s="121">
        <v>2274</v>
      </c>
      <c r="D31" s="121">
        <v>2918</v>
      </c>
      <c r="E31" s="121">
        <v>2718</v>
      </c>
      <c r="F31" s="177">
        <f t="shared" si="0"/>
        <v>-6.8540095956134306E-2</v>
      </c>
    </row>
    <row r="32" spans="1:8" x14ac:dyDescent="0.2">
      <c r="A32" s="4" t="s">
        <v>133</v>
      </c>
      <c r="B32" s="121">
        <v>1567</v>
      </c>
      <c r="C32" s="121">
        <v>1248</v>
      </c>
      <c r="D32" s="121">
        <v>1226</v>
      </c>
      <c r="E32" s="121">
        <v>1305</v>
      </c>
      <c r="F32" s="177">
        <f t="shared" si="0"/>
        <v>6.4437194127243025E-2</v>
      </c>
    </row>
    <row r="33" spans="1:6" x14ac:dyDescent="0.2">
      <c r="A33" s="4" t="s">
        <v>134</v>
      </c>
      <c r="B33" s="121">
        <v>1870</v>
      </c>
      <c r="C33" s="121">
        <v>1404</v>
      </c>
      <c r="D33" s="121">
        <v>1445</v>
      </c>
      <c r="E33" s="121">
        <v>1731</v>
      </c>
      <c r="F33" s="177">
        <f t="shared" si="0"/>
        <v>0.19792387543252588</v>
      </c>
    </row>
    <row r="34" spans="1:6" x14ac:dyDescent="0.2">
      <c r="A34" s="270" t="s">
        <v>135</v>
      </c>
      <c r="B34" s="264">
        <v>3239</v>
      </c>
      <c r="C34" s="264">
        <v>2685</v>
      </c>
      <c r="D34" s="264">
        <v>3069</v>
      </c>
      <c r="E34" s="264">
        <v>3130</v>
      </c>
      <c r="F34" s="272">
        <f t="shared" si="0"/>
        <v>1.9876181166503804E-2</v>
      </c>
    </row>
    <row r="35" spans="1:6" x14ac:dyDescent="0.2">
      <c r="A35" s="271" t="s">
        <v>136</v>
      </c>
      <c r="B35" s="267">
        <v>11522</v>
      </c>
      <c r="C35" s="267">
        <v>9606</v>
      </c>
      <c r="D35" s="267">
        <v>11125</v>
      </c>
      <c r="E35" s="267">
        <v>11567</v>
      </c>
      <c r="F35" s="273">
        <f t="shared" si="0"/>
        <v>3.9730337078651701E-2</v>
      </c>
    </row>
    <row r="36" spans="1:6" x14ac:dyDescent="0.2">
      <c r="A36" s="4" t="s">
        <v>137</v>
      </c>
      <c r="B36" s="121">
        <v>1681</v>
      </c>
      <c r="C36" s="121">
        <v>1490</v>
      </c>
      <c r="D36" s="121">
        <v>1479</v>
      </c>
      <c r="E36" s="121">
        <v>1545</v>
      </c>
      <c r="F36" s="177">
        <f t="shared" si="0"/>
        <v>4.4624746450304231E-2</v>
      </c>
    </row>
    <row r="37" spans="1:6" x14ac:dyDescent="0.2">
      <c r="A37" s="4" t="s">
        <v>138</v>
      </c>
      <c r="B37" s="121">
        <v>1304</v>
      </c>
      <c r="C37" s="121">
        <v>1046</v>
      </c>
      <c r="D37" s="121">
        <v>1261</v>
      </c>
      <c r="E37" s="121">
        <v>1145</v>
      </c>
      <c r="F37" s="177">
        <f t="shared" si="0"/>
        <v>-9.1990483743061069E-2</v>
      </c>
    </row>
    <row r="38" spans="1:6" x14ac:dyDescent="0.2">
      <c r="A38" s="4" t="s">
        <v>139</v>
      </c>
      <c r="B38" s="121">
        <v>555</v>
      </c>
      <c r="C38" s="121">
        <v>589</v>
      </c>
      <c r="D38" s="121">
        <v>482</v>
      </c>
      <c r="E38" s="121">
        <v>366</v>
      </c>
      <c r="F38" s="177">
        <f t="shared" si="0"/>
        <v>-0.24066390041493779</v>
      </c>
    </row>
    <row r="39" spans="1:6" x14ac:dyDescent="0.2">
      <c r="A39" s="4" t="s">
        <v>140</v>
      </c>
      <c r="B39" s="121">
        <v>576</v>
      </c>
      <c r="C39" s="121">
        <v>435</v>
      </c>
      <c r="D39" s="121">
        <v>480</v>
      </c>
      <c r="E39" s="121">
        <v>425</v>
      </c>
      <c r="F39" s="177">
        <f t="shared" si="0"/>
        <v>-0.11458333333333337</v>
      </c>
    </row>
    <row r="40" spans="1:6" x14ac:dyDescent="0.2">
      <c r="A40" s="270" t="s">
        <v>141</v>
      </c>
      <c r="B40" s="264">
        <v>496</v>
      </c>
      <c r="C40" s="264">
        <v>463</v>
      </c>
      <c r="D40" s="264">
        <v>496</v>
      </c>
      <c r="E40" s="264">
        <v>496</v>
      </c>
      <c r="F40" s="272">
        <f t="shared" si="0"/>
        <v>0</v>
      </c>
    </row>
    <row r="41" spans="1:6" x14ac:dyDescent="0.2">
      <c r="A41" s="271" t="s">
        <v>142</v>
      </c>
      <c r="B41" s="267">
        <v>4612</v>
      </c>
      <c r="C41" s="267">
        <v>4023</v>
      </c>
      <c r="D41" s="267">
        <v>4198</v>
      </c>
      <c r="E41" s="267">
        <v>3977</v>
      </c>
      <c r="F41" s="273">
        <f t="shared" si="0"/>
        <v>-5.2644116245831318E-2</v>
      </c>
    </row>
    <row r="42" spans="1:6" x14ac:dyDescent="0.2">
      <c r="A42" s="4" t="s">
        <v>143</v>
      </c>
      <c r="B42" s="121">
        <v>470</v>
      </c>
      <c r="C42" s="121">
        <v>454</v>
      </c>
      <c r="D42" s="121">
        <v>1521</v>
      </c>
      <c r="E42" s="121">
        <v>1136</v>
      </c>
      <c r="F42" s="177">
        <f t="shared" si="0"/>
        <v>-0.25312294543063774</v>
      </c>
    </row>
    <row r="43" spans="1:6" x14ac:dyDescent="0.2">
      <c r="A43" s="4" t="s">
        <v>144</v>
      </c>
      <c r="B43" s="121">
        <v>668</v>
      </c>
      <c r="C43" s="121">
        <v>400</v>
      </c>
      <c r="D43" s="121">
        <v>443</v>
      </c>
      <c r="E43" s="121">
        <v>570</v>
      </c>
      <c r="F43" s="177">
        <f t="shared" si="0"/>
        <v>0.28668171557562072</v>
      </c>
    </row>
    <row r="44" spans="1:6" x14ac:dyDescent="0.2">
      <c r="A44" s="4" t="s">
        <v>145</v>
      </c>
      <c r="B44" s="121">
        <v>1133</v>
      </c>
      <c r="C44" s="121">
        <v>828</v>
      </c>
      <c r="D44" s="121">
        <v>872</v>
      </c>
      <c r="E44" s="121">
        <v>669</v>
      </c>
      <c r="F44" s="177">
        <f t="shared" si="0"/>
        <v>-0.23279816513761464</v>
      </c>
    </row>
    <row r="45" spans="1:6" x14ac:dyDescent="0.2">
      <c r="A45" s="270" t="s">
        <v>146</v>
      </c>
      <c r="B45" s="264">
        <v>2693</v>
      </c>
      <c r="C45" s="264">
        <v>2015</v>
      </c>
      <c r="D45" s="264">
        <v>1425</v>
      </c>
      <c r="E45" s="264">
        <v>1027</v>
      </c>
      <c r="F45" s="272">
        <f t="shared" si="0"/>
        <v>-0.27929824561403505</v>
      </c>
    </row>
    <row r="46" spans="1:6" x14ac:dyDescent="0.2">
      <c r="A46" s="271" t="s">
        <v>99</v>
      </c>
      <c r="B46" s="267">
        <v>4964</v>
      </c>
      <c r="C46" s="267">
        <v>3697</v>
      </c>
      <c r="D46" s="267">
        <v>4261</v>
      </c>
      <c r="E46" s="267">
        <v>3402</v>
      </c>
      <c r="F46" s="273">
        <f t="shared" si="0"/>
        <v>-0.2015958695141985</v>
      </c>
    </row>
    <row r="47" spans="1:6" x14ac:dyDescent="0.2">
      <c r="A47" s="4" t="s">
        <v>147</v>
      </c>
      <c r="B47" s="121">
        <v>757</v>
      </c>
      <c r="C47" s="121">
        <v>597</v>
      </c>
      <c r="D47" s="121">
        <v>718</v>
      </c>
      <c r="E47" s="121">
        <v>885</v>
      </c>
      <c r="F47" s="177">
        <f t="shared" si="0"/>
        <v>0.2325905292479109</v>
      </c>
    </row>
    <row r="48" spans="1:6" x14ac:dyDescent="0.2">
      <c r="A48" s="4" t="s">
        <v>148</v>
      </c>
      <c r="B48" s="121">
        <v>352</v>
      </c>
      <c r="C48" s="121">
        <v>336</v>
      </c>
      <c r="D48" s="121">
        <v>225</v>
      </c>
      <c r="E48" s="121">
        <v>209</v>
      </c>
      <c r="F48" s="177">
        <f t="shared" si="0"/>
        <v>-7.1111111111111125E-2</v>
      </c>
    </row>
    <row r="49" spans="1:6" x14ac:dyDescent="0.2">
      <c r="A49" s="4" t="s">
        <v>149</v>
      </c>
      <c r="B49" s="121">
        <v>749</v>
      </c>
      <c r="C49" s="121">
        <v>821</v>
      </c>
      <c r="D49" s="121">
        <v>901</v>
      </c>
      <c r="E49" s="121">
        <v>849</v>
      </c>
      <c r="F49" s="177">
        <f t="shared" si="0"/>
        <v>-5.7713651498335183E-2</v>
      </c>
    </row>
    <row r="50" spans="1:6" x14ac:dyDescent="0.2">
      <c r="A50" s="270" t="s">
        <v>100</v>
      </c>
      <c r="B50" s="264">
        <v>3428</v>
      </c>
      <c r="C50" s="264">
        <v>4293</v>
      </c>
      <c r="D50" s="264">
        <v>4889</v>
      </c>
      <c r="E50" s="264">
        <v>5084</v>
      </c>
      <c r="F50" s="272">
        <f t="shared" si="0"/>
        <v>3.9885457148701065E-2</v>
      </c>
    </row>
    <row r="51" spans="1:6" x14ac:dyDescent="0.2">
      <c r="A51" s="271" t="s">
        <v>150</v>
      </c>
      <c r="B51" s="267">
        <v>5286</v>
      </c>
      <c r="C51" s="267">
        <v>6047</v>
      </c>
      <c r="D51" s="267">
        <v>6733</v>
      </c>
      <c r="E51" s="267">
        <v>7027</v>
      </c>
      <c r="F51" s="273">
        <f t="shared" si="0"/>
        <v>4.3665527996435527E-2</v>
      </c>
    </row>
    <row r="52" spans="1:6" x14ac:dyDescent="0.2">
      <c r="A52" s="4" t="s">
        <v>151</v>
      </c>
      <c r="B52" s="121">
        <v>1289</v>
      </c>
      <c r="C52" s="121">
        <v>1277</v>
      </c>
      <c r="D52" s="121">
        <v>1294</v>
      </c>
      <c r="E52" s="121">
        <v>1110</v>
      </c>
      <c r="F52" s="177">
        <f t="shared" si="0"/>
        <v>-0.14219474497681606</v>
      </c>
    </row>
    <row r="53" spans="1:6" x14ac:dyDescent="0.2">
      <c r="A53" s="4" t="s">
        <v>152</v>
      </c>
      <c r="B53" s="121">
        <v>794</v>
      </c>
      <c r="C53" s="121">
        <v>459</v>
      </c>
      <c r="D53" s="121">
        <v>623</v>
      </c>
      <c r="E53" s="121">
        <v>626</v>
      </c>
      <c r="F53" s="177">
        <f t="shared" si="0"/>
        <v>4.8154093097914075E-3</v>
      </c>
    </row>
    <row r="54" spans="1:6" x14ac:dyDescent="0.2">
      <c r="A54" s="4" t="s">
        <v>153</v>
      </c>
      <c r="B54" s="121">
        <v>2643</v>
      </c>
      <c r="C54" s="121">
        <v>2153</v>
      </c>
      <c r="D54" s="121">
        <v>2064</v>
      </c>
      <c r="E54" s="121">
        <v>1899</v>
      </c>
      <c r="F54" s="177">
        <f t="shared" si="0"/>
        <v>-7.994186046511631E-2</v>
      </c>
    </row>
    <row r="55" spans="1:6" x14ac:dyDescent="0.2">
      <c r="A55" s="270" t="s">
        <v>154</v>
      </c>
      <c r="B55" s="264">
        <v>3529</v>
      </c>
      <c r="C55" s="264">
        <v>3216</v>
      </c>
      <c r="D55" s="264">
        <v>3671</v>
      </c>
      <c r="E55" s="264">
        <v>3420</v>
      </c>
      <c r="F55" s="272">
        <f t="shared" si="0"/>
        <v>-6.8373740125306504E-2</v>
      </c>
    </row>
    <row r="56" spans="1:6" x14ac:dyDescent="0.2">
      <c r="A56" s="271" t="s">
        <v>155</v>
      </c>
      <c r="B56" s="267">
        <v>8255</v>
      </c>
      <c r="C56" s="267">
        <v>7105</v>
      </c>
      <c r="D56" s="267">
        <v>7652</v>
      </c>
      <c r="E56" s="267">
        <v>7055</v>
      </c>
      <c r="F56" s="273">
        <f t="shared" si="0"/>
        <v>-7.8018818609513874E-2</v>
      </c>
    </row>
    <row r="57" spans="1:6" x14ac:dyDescent="0.2">
      <c r="A57" s="155" t="s">
        <v>156</v>
      </c>
      <c r="B57" s="174">
        <v>2853</v>
      </c>
      <c r="C57" s="174">
        <v>2282</v>
      </c>
      <c r="D57" s="174">
        <v>2736</v>
      </c>
      <c r="E57" s="174">
        <v>3555</v>
      </c>
      <c r="F57" s="176">
        <f t="shared" si="0"/>
        <v>0.29934210526315796</v>
      </c>
    </row>
    <row r="58" spans="1:6" x14ac:dyDescent="0.2">
      <c r="A58" s="179" t="s">
        <v>102</v>
      </c>
      <c r="B58" s="175">
        <v>115559</v>
      </c>
      <c r="C58" s="175">
        <v>95033</v>
      </c>
      <c r="D58" s="175">
        <v>107764</v>
      </c>
      <c r="E58" s="175">
        <v>103135</v>
      </c>
      <c r="F58" s="178">
        <f t="shared" si="0"/>
        <v>-4.2954975687613639E-2</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A3FF72-4789-4098-844F-10B698F4C8DA}">
  <dimension ref="A1:P28"/>
  <sheetViews>
    <sheetView workbookViewId="0">
      <selection activeCell="A28" sqref="A28"/>
    </sheetView>
  </sheetViews>
  <sheetFormatPr defaultColWidth="8.6640625" defaultRowHeight="15" x14ac:dyDescent="0.2"/>
  <cols>
    <col min="1" max="1" width="30.88671875" customWidth="1"/>
    <col min="2" max="2" width="18.33203125" customWidth="1"/>
    <col min="14" max="16" width="11.6640625" customWidth="1"/>
  </cols>
  <sheetData>
    <row r="1" spans="1:16" ht="15.75" x14ac:dyDescent="0.2">
      <c r="A1" s="29" t="s">
        <v>294</v>
      </c>
      <c r="B1" s="29"/>
      <c r="C1" s="61"/>
      <c r="D1" s="61"/>
      <c r="E1" s="61"/>
      <c r="F1" s="61"/>
      <c r="G1" s="61"/>
      <c r="H1" s="61"/>
      <c r="I1" s="61"/>
      <c r="J1" s="61"/>
      <c r="K1" s="61"/>
      <c r="L1" s="62"/>
      <c r="M1" s="61"/>
      <c r="N1" s="61"/>
      <c r="O1" s="61"/>
      <c r="P1" s="61"/>
    </row>
    <row r="2" spans="1:16" x14ac:dyDescent="0.2">
      <c r="A2" s="25" t="s">
        <v>157</v>
      </c>
      <c r="B2" s="25"/>
      <c r="C2" s="61"/>
      <c r="D2" s="61"/>
      <c r="E2" s="61"/>
      <c r="F2" s="61"/>
      <c r="G2" s="61"/>
      <c r="H2" s="61"/>
      <c r="I2" s="61"/>
      <c r="J2" s="61"/>
      <c r="K2" s="61"/>
      <c r="L2" s="61"/>
      <c r="M2" s="61"/>
      <c r="N2" s="61"/>
      <c r="O2" s="61"/>
      <c r="P2" s="61"/>
    </row>
    <row r="3" spans="1:16" x14ac:dyDescent="0.2">
      <c r="A3" s="30" t="s">
        <v>158</v>
      </c>
      <c r="B3" s="30"/>
      <c r="C3" s="61"/>
      <c r="D3" s="61"/>
      <c r="E3" s="61"/>
      <c r="F3" s="61"/>
      <c r="G3" s="61"/>
      <c r="H3" s="61"/>
      <c r="I3" s="61"/>
      <c r="J3" s="61"/>
      <c r="K3" s="61"/>
      <c r="L3" s="61"/>
      <c r="M3" s="61"/>
      <c r="N3" s="61"/>
      <c r="O3" s="61"/>
      <c r="P3" s="61"/>
    </row>
    <row r="4" spans="1:16" ht="51" x14ac:dyDescent="0.2">
      <c r="A4" s="33" t="s">
        <v>57</v>
      </c>
      <c r="B4" s="33" t="s">
        <v>159</v>
      </c>
      <c r="C4" s="74" t="s">
        <v>160</v>
      </c>
      <c r="D4" s="74" t="s">
        <v>161</v>
      </c>
      <c r="E4" s="74" t="s">
        <v>162</v>
      </c>
      <c r="F4" s="74" t="s">
        <v>163</v>
      </c>
      <c r="G4" s="74" t="s">
        <v>164</v>
      </c>
      <c r="H4" s="74" t="s">
        <v>165</v>
      </c>
      <c r="I4" s="74" t="s">
        <v>166</v>
      </c>
      <c r="J4" s="74" t="s">
        <v>167</v>
      </c>
      <c r="K4" s="74" t="s">
        <v>168</v>
      </c>
      <c r="L4" s="74" t="s">
        <v>169</v>
      </c>
      <c r="M4" s="74" t="s">
        <v>248</v>
      </c>
      <c r="N4" s="19" t="s">
        <v>260</v>
      </c>
      <c r="O4" s="19" t="s">
        <v>261</v>
      </c>
      <c r="P4" s="19" t="s">
        <v>259</v>
      </c>
    </row>
    <row r="5" spans="1:16" x14ac:dyDescent="0.2">
      <c r="A5" s="73" t="s">
        <v>170</v>
      </c>
      <c r="B5" s="73" t="s">
        <v>171</v>
      </c>
      <c r="C5" s="63">
        <v>90699</v>
      </c>
      <c r="D5" s="63">
        <v>78587</v>
      </c>
      <c r="E5" s="63">
        <v>71392</v>
      </c>
      <c r="F5" s="63">
        <v>61203</v>
      </c>
      <c r="G5" s="63">
        <v>55908</v>
      </c>
      <c r="H5" s="63">
        <v>52851</v>
      </c>
      <c r="I5" s="63">
        <v>52719</v>
      </c>
      <c r="J5" s="63">
        <v>42799</v>
      </c>
      <c r="K5" s="63">
        <v>45023</v>
      </c>
      <c r="L5" s="63">
        <v>49478</v>
      </c>
      <c r="M5" s="64">
        <v>48705</v>
      </c>
      <c r="N5" s="65">
        <f>$M5/C5-1</f>
        <v>-0.46300400224919791</v>
      </c>
      <c r="O5" s="65">
        <f>$M5/H5-1</f>
        <v>-7.8446954646080536E-2</v>
      </c>
      <c r="P5" s="65">
        <f>$M5/L5-1</f>
        <v>-1.5623105218480982E-2</v>
      </c>
    </row>
    <row r="6" spans="1:16" x14ac:dyDescent="0.2">
      <c r="A6" s="73" t="s">
        <v>170</v>
      </c>
      <c r="B6" s="73" t="s">
        <v>172</v>
      </c>
      <c r="C6" s="63">
        <v>18220</v>
      </c>
      <c r="D6" s="63">
        <v>15490</v>
      </c>
      <c r="E6" s="63">
        <v>14480</v>
      </c>
      <c r="F6" s="63">
        <v>11840</v>
      </c>
      <c r="G6" s="63">
        <v>10552</v>
      </c>
      <c r="H6" s="63">
        <v>9855</v>
      </c>
      <c r="I6" s="63">
        <v>9724</v>
      </c>
      <c r="J6" s="63">
        <v>7572</v>
      </c>
      <c r="K6" s="63">
        <v>8396</v>
      </c>
      <c r="L6" s="63">
        <v>9108</v>
      </c>
      <c r="M6" s="64">
        <v>9866</v>
      </c>
      <c r="N6" s="65">
        <f>$M6/C6-1</f>
        <v>-0.45850713501646545</v>
      </c>
      <c r="O6" s="65">
        <f>$M6/H6-1</f>
        <v>1.1161846778284801E-3</v>
      </c>
      <c r="P6" s="65">
        <f>$M6/L6-1</f>
        <v>8.3223539745278963E-2</v>
      </c>
    </row>
    <row r="7" spans="1:16" x14ac:dyDescent="0.2">
      <c r="A7" s="73" t="s">
        <v>170</v>
      </c>
      <c r="B7" s="73" t="s">
        <v>71</v>
      </c>
      <c r="C7" s="65" t="s">
        <v>49</v>
      </c>
      <c r="D7" s="65" t="s">
        <v>49</v>
      </c>
      <c r="E7" s="65" t="s">
        <v>49</v>
      </c>
      <c r="F7" s="65" t="s">
        <v>49</v>
      </c>
      <c r="G7" s="65" t="s">
        <v>49</v>
      </c>
      <c r="H7" s="65" t="s">
        <v>49</v>
      </c>
      <c r="I7" s="65" t="s">
        <v>49</v>
      </c>
      <c r="J7" s="63">
        <v>12</v>
      </c>
      <c r="K7" s="63">
        <v>22</v>
      </c>
      <c r="L7" s="63">
        <v>31</v>
      </c>
      <c r="M7" s="64">
        <v>26</v>
      </c>
      <c r="N7" s="65" t="s">
        <v>49</v>
      </c>
      <c r="O7" s="65" t="s">
        <v>49</v>
      </c>
      <c r="P7" s="65" t="s">
        <v>49</v>
      </c>
    </row>
    <row r="8" spans="1:16" x14ac:dyDescent="0.2">
      <c r="A8" s="147" t="s">
        <v>170</v>
      </c>
      <c r="B8" s="147" t="s">
        <v>173</v>
      </c>
      <c r="C8" s="274" t="s">
        <v>49</v>
      </c>
      <c r="D8" s="274" t="s">
        <v>49</v>
      </c>
      <c r="E8" s="274" t="s">
        <v>49</v>
      </c>
      <c r="F8" s="274" t="s">
        <v>49</v>
      </c>
      <c r="G8" s="274" t="s">
        <v>49</v>
      </c>
      <c r="H8" s="274" t="s">
        <v>49</v>
      </c>
      <c r="I8" s="274" t="s">
        <v>49</v>
      </c>
      <c r="J8" s="275">
        <v>122</v>
      </c>
      <c r="K8" s="275">
        <v>377</v>
      </c>
      <c r="L8" s="275">
        <v>227</v>
      </c>
      <c r="M8" s="276">
        <v>302</v>
      </c>
      <c r="N8" s="274" t="s">
        <v>49</v>
      </c>
      <c r="O8" s="274" t="s">
        <v>49</v>
      </c>
      <c r="P8" s="274" t="s">
        <v>49</v>
      </c>
    </row>
    <row r="9" spans="1:16" x14ac:dyDescent="0.2">
      <c r="A9" s="277" t="s">
        <v>174</v>
      </c>
      <c r="B9" s="277" t="s">
        <v>175</v>
      </c>
      <c r="C9" s="278">
        <f t="shared" ref="C9:L9" si="0">SUM(C5:C8)</f>
        <v>108919</v>
      </c>
      <c r="D9" s="278">
        <f t="shared" si="0"/>
        <v>94077</v>
      </c>
      <c r="E9" s="278">
        <f t="shared" si="0"/>
        <v>85872</v>
      </c>
      <c r="F9" s="278">
        <f t="shared" si="0"/>
        <v>73043</v>
      </c>
      <c r="G9" s="278">
        <f t="shared" si="0"/>
        <v>66460</v>
      </c>
      <c r="H9" s="278">
        <f t="shared" si="0"/>
        <v>62706</v>
      </c>
      <c r="I9" s="278">
        <f t="shared" si="0"/>
        <v>62443</v>
      </c>
      <c r="J9" s="278">
        <f t="shared" si="0"/>
        <v>50505</v>
      </c>
      <c r="K9" s="278">
        <f t="shared" si="0"/>
        <v>53818</v>
      </c>
      <c r="L9" s="278">
        <f t="shared" si="0"/>
        <v>58844</v>
      </c>
      <c r="M9" s="279">
        <f t="shared" ref="M9" si="1">SUM(M5:M8)</f>
        <v>58899</v>
      </c>
      <c r="N9" s="280">
        <f>$M9/C9-1</f>
        <v>-0.45924035292281418</v>
      </c>
      <c r="O9" s="280">
        <f>$M9/H9-1</f>
        <v>-6.0711893598698663E-2</v>
      </c>
      <c r="P9" s="280">
        <f>$M9/L9-1</f>
        <v>9.3467473319286398E-4</v>
      </c>
    </row>
    <row r="10" spans="1:16" x14ac:dyDescent="0.2">
      <c r="A10" s="73" t="s">
        <v>295</v>
      </c>
      <c r="B10" s="73" t="s">
        <v>44</v>
      </c>
      <c r="C10" s="63">
        <v>82559</v>
      </c>
      <c r="D10" s="63">
        <v>70368</v>
      </c>
      <c r="E10" s="63">
        <v>60284</v>
      </c>
      <c r="F10" s="63">
        <v>49406</v>
      </c>
      <c r="G10" s="63">
        <v>43559</v>
      </c>
      <c r="H10" s="63">
        <v>39500</v>
      </c>
      <c r="I10" s="63">
        <v>37043</v>
      </c>
      <c r="J10" s="63">
        <v>30451</v>
      </c>
      <c r="K10" s="63">
        <v>33621</v>
      </c>
      <c r="L10" s="63">
        <v>37430</v>
      </c>
      <c r="M10" s="64">
        <v>37835</v>
      </c>
      <c r="N10" s="65">
        <f t="shared" ref="N10:N15" si="2">$M10/C10-1</f>
        <v>-0.54172167783040015</v>
      </c>
      <c r="O10" s="65">
        <f t="shared" ref="O10:O15" si="3">$M10/H10-1</f>
        <v>-4.215189873417724E-2</v>
      </c>
      <c r="P10" s="65">
        <f t="shared" ref="P10:P15" si="4">$M10/L10-1</f>
        <v>1.0820197702377854E-2</v>
      </c>
    </row>
    <row r="11" spans="1:16" x14ac:dyDescent="0.2">
      <c r="A11" s="73" t="s">
        <v>295</v>
      </c>
      <c r="B11" s="73" t="s">
        <v>176</v>
      </c>
      <c r="C11" s="63">
        <v>11673</v>
      </c>
      <c r="D11" s="63">
        <v>10565</v>
      </c>
      <c r="E11" s="63">
        <v>10627</v>
      </c>
      <c r="F11" s="63">
        <v>10044</v>
      </c>
      <c r="G11" s="63">
        <v>9653</v>
      </c>
      <c r="H11" s="63">
        <v>8457</v>
      </c>
      <c r="I11" s="63">
        <v>8957</v>
      </c>
      <c r="J11" s="63">
        <v>6653</v>
      </c>
      <c r="K11" s="63">
        <v>5883</v>
      </c>
      <c r="L11" s="63">
        <v>6410</v>
      </c>
      <c r="M11" s="64">
        <v>4831</v>
      </c>
      <c r="N11" s="65">
        <f t="shared" si="2"/>
        <v>-0.58613895313972408</v>
      </c>
      <c r="O11" s="65">
        <f t="shared" si="3"/>
        <v>-0.42875724252098857</v>
      </c>
      <c r="P11" s="65">
        <f t="shared" si="4"/>
        <v>-0.24633385335413416</v>
      </c>
    </row>
    <row r="12" spans="1:16" x14ac:dyDescent="0.2">
      <c r="A12" s="73" t="s">
        <v>295</v>
      </c>
      <c r="B12" s="73" t="s">
        <v>177</v>
      </c>
      <c r="C12" s="63">
        <v>6437</v>
      </c>
      <c r="D12" s="63">
        <v>5529</v>
      </c>
      <c r="E12" s="63">
        <v>5591</v>
      </c>
      <c r="F12" s="63">
        <v>4928</v>
      </c>
      <c r="G12" s="63">
        <v>4886</v>
      </c>
      <c r="H12" s="63">
        <v>4436</v>
      </c>
      <c r="I12" s="63">
        <v>4326</v>
      </c>
      <c r="J12" s="63">
        <v>3650</v>
      </c>
      <c r="K12" s="63">
        <v>3125</v>
      </c>
      <c r="L12" s="63">
        <v>3598</v>
      </c>
      <c r="M12" s="64">
        <v>3654</v>
      </c>
      <c r="N12" s="65">
        <f t="shared" si="2"/>
        <v>-0.43234425974833002</v>
      </c>
      <c r="O12" s="65">
        <f t="shared" si="3"/>
        <v>-0.17628494138863837</v>
      </c>
      <c r="P12" s="65">
        <f t="shared" si="4"/>
        <v>1.5564202334630295E-2</v>
      </c>
    </row>
    <row r="13" spans="1:16" x14ac:dyDescent="0.2">
      <c r="A13" s="147" t="s">
        <v>295</v>
      </c>
      <c r="B13" s="73" t="s">
        <v>178</v>
      </c>
      <c r="C13" s="63">
        <v>5990</v>
      </c>
      <c r="D13" s="63">
        <v>5511</v>
      </c>
      <c r="E13" s="63">
        <v>5241</v>
      </c>
      <c r="F13" s="63">
        <v>4394</v>
      </c>
      <c r="G13" s="63">
        <v>4456</v>
      </c>
      <c r="H13" s="63">
        <v>3979</v>
      </c>
      <c r="I13" s="63">
        <v>4273</v>
      </c>
      <c r="J13" s="63">
        <v>3306</v>
      </c>
      <c r="K13" s="63">
        <v>3364</v>
      </c>
      <c r="L13" s="63">
        <v>3914</v>
      </c>
      <c r="M13" s="64">
        <v>3374</v>
      </c>
      <c r="N13" s="65">
        <f t="shared" si="2"/>
        <v>-0.4367278797996661</v>
      </c>
      <c r="O13" s="65">
        <f t="shared" si="3"/>
        <v>-0.1520482533299824</v>
      </c>
      <c r="P13" s="65">
        <f t="shared" si="4"/>
        <v>-0.13796627491057745</v>
      </c>
    </row>
    <row r="14" spans="1:16" x14ac:dyDescent="0.2">
      <c r="A14" s="148" t="s">
        <v>295</v>
      </c>
      <c r="B14" s="148" t="s">
        <v>43</v>
      </c>
      <c r="C14" s="66">
        <f t="shared" ref="C14:J14" si="5">SUM(C11:C13)</f>
        <v>24100</v>
      </c>
      <c r="D14" s="66">
        <f t="shared" si="5"/>
        <v>21605</v>
      </c>
      <c r="E14" s="66">
        <f t="shared" si="5"/>
        <v>21459</v>
      </c>
      <c r="F14" s="66">
        <f t="shared" si="5"/>
        <v>19366</v>
      </c>
      <c r="G14" s="66">
        <f t="shared" si="5"/>
        <v>18995</v>
      </c>
      <c r="H14" s="66">
        <f t="shared" si="5"/>
        <v>16872</v>
      </c>
      <c r="I14" s="66">
        <f t="shared" si="5"/>
        <v>17556</v>
      </c>
      <c r="J14" s="66">
        <f t="shared" si="5"/>
        <v>13609</v>
      </c>
      <c r="K14" s="66">
        <f>SUM(K11:K13)</f>
        <v>12372</v>
      </c>
      <c r="L14" s="66">
        <f>SUM(L11:L13)</f>
        <v>13922</v>
      </c>
      <c r="M14" s="67">
        <f>SUM(M11:M13)</f>
        <v>11859</v>
      </c>
      <c r="N14" s="68">
        <f t="shared" si="2"/>
        <v>-0.50792531120331952</v>
      </c>
      <c r="O14" s="68">
        <f t="shared" si="3"/>
        <v>-0.29711948790896159</v>
      </c>
      <c r="P14" s="68">
        <f t="shared" si="4"/>
        <v>-0.1481827323660394</v>
      </c>
    </row>
    <row r="15" spans="1:16" x14ac:dyDescent="0.2">
      <c r="A15" s="73" t="s">
        <v>295</v>
      </c>
      <c r="B15" s="73" t="s">
        <v>173</v>
      </c>
      <c r="C15" s="63">
        <v>2260</v>
      </c>
      <c r="D15" s="63">
        <v>2104</v>
      </c>
      <c r="E15" s="63">
        <v>4129</v>
      </c>
      <c r="F15" s="63">
        <v>4271</v>
      </c>
      <c r="G15" s="63">
        <v>3906</v>
      </c>
      <c r="H15" s="63">
        <v>6334</v>
      </c>
      <c r="I15" s="63">
        <v>7844</v>
      </c>
      <c r="J15" s="63">
        <v>6445</v>
      </c>
      <c r="K15" s="63">
        <v>7825</v>
      </c>
      <c r="L15" s="63">
        <v>7492</v>
      </c>
      <c r="M15" s="64">
        <v>9205</v>
      </c>
      <c r="N15" s="65">
        <f t="shared" si="2"/>
        <v>3.0730088495575218</v>
      </c>
      <c r="O15" s="65">
        <f t="shared" si="3"/>
        <v>0.45326807704452166</v>
      </c>
      <c r="P15" s="65">
        <f t="shared" si="4"/>
        <v>0.22864388681260017</v>
      </c>
    </row>
    <row r="16" spans="1:16" x14ac:dyDescent="0.2">
      <c r="A16" s="277" t="s">
        <v>296</v>
      </c>
      <c r="B16" s="277" t="s">
        <v>74</v>
      </c>
      <c r="C16" s="278">
        <f t="shared" ref="C16:M16" si="6">SUM(C10,C14,C15)</f>
        <v>108919</v>
      </c>
      <c r="D16" s="278">
        <f t="shared" si="6"/>
        <v>94077</v>
      </c>
      <c r="E16" s="278">
        <f t="shared" si="6"/>
        <v>85872</v>
      </c>
      <c r="F16" s="278">
        <f t="shared" si="6"/>
        <v>73043</v>
      </c>
      <c r="G16" s="278">
        <f t="shared" si="6"/>
        <v>66460</v>
      </c>
      <c r="H16" s="278">
        <f t="shared" si="6"/>
        <v>62706</v>
      </c>
      <c r="I16" s="278">
        <f t="shared" si="6"/>
        <v>62443</v>
      </c>
      <c r="J16" s="278">
        <f t="shared" si="6"/>
        <v>50505</v>
      </c>
      <c r="K16" s="278">
        <f t="shared" si="6"/>
        <v>53818</v>
      </c>
      <c r="L16" s="278">
        <f t="shared" si="6"/>
        <v>58844</v>
      </c>
      <c r="M16" s="279">
        <f t="shared" si="6"/>
        <v>58899</v>
      </c>
      <c r="N16" s="280">
        <f>$M16/C16-1</f>
        <v>-0.45924035292281418</v>
      </c>
      <c r="O16" s="280">
        <f>$M16/H16-1</f>
        <v>-6.0711893598698663E-2</v>
      </c>
      <c r="P16" s="280">
        <f>$M16/L16-1</f>
        <v>9.3467473319286398E-4</v>
      </c>
    </row>
    <row r="17" spans="1:16" x14ac:dyDescent="0.2">
      <c r="A17" s="73" t="s">
        <v>179</v>
      </c>
      <c r="B17" s="73" t="s">
        <v>171</v>
      </c>
      <c r="C17" s="72">
        <f t="shared" ref="C17:M17" si="7">C5/C$9</f>
        <v>0.83271972750392498</v>
      </c>
      <c r="D17" s="72">
        <f t="shared" si="7"/>
        <v>0.83534764076235424</v>
      </c>
      <c r="E17" s="72">
        <f t="shared" si="7"/>
        <v>0.8313769331097447</v>
      </c>
      <c r="F17" s="72">
        <f t="shared" si="7"/>
        <v>0.83790370055994412</v>
      </c>
      <c r="G17" s="72">
        <f t="shared" si="7"/>
        <v>0.84122780619921755</v>
      </c>
      <c r="H17" s="72">
        <f t="shared" si="7"/>
        <v>0.84283800593244662</v>
      </c>
      <c r="I17" s="72">
        <f t="shared" si="7"/>
        <v>0.84427397786781544</v>
      </c>
      <c r="J17" s="69">
        <f t="shared" si="7"/>
        <v>0.8474210474210474</v>
      </c>
      <c r="K17" s="72">
        <f t="shared" si="7"/>
        <v>0.83657883979337766</v>
      </c>
      <c r="L17" s="72">
        <f t="shared" si="7"/>
        <v>0.84083338998028689</v>
      </c>
      <c r="M17" s="70">
        <f t="shared" si="7"/>
        <v>0.82692405643559308</v>
      </c>
      <c r="N17" s="71">
        <f>100*($M17-C17)</f>
        <v>-0.57956710683318979</v>
      </c>
      <c r="O17" s="71">
        <f>100*($M17-H17)</f>
        <v>-1.5913949496853541</v>
      </c>
      <c r="P17" s="71">
        <f>100*($M17-L17)</f>
        <v>-1.3909333544693814</v>
      </c>
    </row>
    <row r="18" spans="1:16" x14ac:dyDescent="0.2">
      <c r="A18" s="73" t="s">
        <v>179</v>
      </c>
      <c r="B18" s="73" t="s">
        <v>172</v>
      </c>
      <c r="C18" s="72">
        <f t="shared" ref="C18:M18" si="8">C6/C$9</f>
        <v>0.16728027249607508</v>
      </c>
      <c r="D18" s="72">
        <f t="shared" si="8"/>
        <v>0.16465235923764576</v>
      </c>
      <c r="E18" s="72">
        <f t="shared" si="8"/>
        <v>0.16862306689025527</v>
      </c>
      <c r="F18" s="72">
        <f t="shared" si="8"/>
        <v>0.16209629944005585</v>
      </c>
      <c r="G18" s="72">
        <f t="shared" si="8"/>
        <v>0.15877219380078242</v>
      </c>
      <c r="H18" s="72">
        <f t="shared" si="8"/>
        <v>0.15716199406755335</v>
      </c>
      <c r="I18" s="72">
        <f t="shared" si="8"/>
        <v>0.15572602213218456</v>
      </c>
      <c r="J18" s="69">
        <f t="shared" si="8"/>
        <v>0.14992574992574992</v>
      </c>
      <c r="K18" s="72">
        <f t="shared" si="8"/>
        <v>0.15600728380839124</v>
      </c>
      <c r="L18" s="72">
        <f t="shared" si="8"/>
        <v>0.15478213581673578</v>
      </c>
      <c r="M18" s="70">
        <f t="shared" si="8"/>
        <v>0.16750708840557565</v>
      </c>
      <c r="N18" s="71">
        <f>100*($M18-C18)</f>
        <v>2.2681590950057728E-2</v>
      </c>
      <c r="O18" s="71">
        <f>100*($M18-H18)</f>
        <v>1.0345094338022305</v>
      </c>
      <c r="P18" s="71">
        <f>100*($M18-L18)</f>
        <v>1.2724952588839877</v>
      </c>
    </row>
    <row r="19" spans="1:16" x14ac:dyDescent="0.2">
      <c r="A19" s="73" t="s">
        <v>179</v>
      </c>
      <c r="B19" s="73" t="s">
        <v>71</v>
      </c>
      <c r="C19" s="71" t="s">
        <v>49</v>
      </c>
      <c r="D19" s="71" t="s">
        <v>49</v>
      </c>
      <c r="E19" s="71" t="s">
        <v>49</v>
      </c>
      <c r="F19" s="71" t="s">
        <v>49</v>
      </c>
      <c r="G19" s="71" t="s">
        <v>49</v>
      </c>
      <c r="H19" s="71" t="s">
        <v>49</v>
      </c>
      <c r="I19" s="71" t="s">
        <v>49</v>
      </c>
      <c r="J19" s="71" t="s">
        <v>49</v>
      </c>
      <c r="K19" s="72">
        <f t="shared" ref="K19:M21" si="9">K7/K$9</f>
        <v>4.0878516481474599E-4</v>
      </c>
      <c r="L19" s="72">
        <f t="shared" si="9"/>
        <v>5.268166677996057E-4</v>
      </c>
      <c r="M19" s="70">
        <f t="shared" si="9"/>
        <v>4.4143364063906011E-4</v>
      </c>
      <c r="N19" s="71" t="s">
        <v>49</v>
      </c>
      <c r="O19" s="71" t="s">
        <v>49</v>
      </c>
      <c r="P19" s="71" t="s">
        <v>49</v>
      </c>
    </row>
    <row r="20" spans="1:16" x14ac:dyDescent="0.2">
      <c r="A20" s="147" t="s">
        <v>179</v>
      </c>
      <c r="B20" s="147" t="s">
        <v>173</v>
      </c>
      <c r="C20" s="283" t="s">
        <v>49</v>
      </c>
      <c r="D20" s="283" t="s">
        <v>49</v>
      </c>
      <c r="E20" s="283" t="s">
        <v>49</v>
      </c>
      <c r="F20" s="283" t="s">
        <v>49</v>
      </c>
      <c r="G20" s="283" t="s">
        <v>49</v>
      </c>
      <c r="H20" s="283" t="s">
        <v>49</v>
      </c>
      <c r="I20" s="283" t="s">
        <v>49</v>
      </c>
      <c r="J20" s="283" t="s">
        <v>49</v>
      </c>
      <c r="K20" s="281">
        <f t="shared" si="9"/>
        <v>7.0050912334163294E-3</v>
      </c>
      <c r="L20" s="281">
        <f t="shared" si="9"/>
        <v>3.857657535177758E-3</v>
      </c>
      <c r="M20" s="282">
        <f t="shared" si="9"/>
        <v>5.1274215181921594E-3</v>
      </c>
      <c r="N20" s="283" t="s">
        <v>49</v>
      </c>
      <c r="O20" s="283" t="s">
        <v>49</v>
      </c>
      <c r="P20" s="283" t="s">
        <v>49</v>
      </c>
    </row>
    <row r="21" spans="1:16" x14ac:dyDescent="0.2">
      <c r="A21" s="277" t="s">
        <v>180</v>
      </c>
      <c r="B21" s="277" t="s">
        <v>175</v>
      </c>
      <c r="C21" s="284">
        <f t="shared" ref="C21:J21" si="10">C9/C$9</f>
        <v>1</v>
      </c>
      <c r="D21" s="284">
        <f t="shared" si="10"/>
        <v>1</v>
      </c>
      <c r="E21" s="284">
        <f t="shared" si="10"/>
        <v>1</v>
      </c>
      <c r="F21" s="284">
        <f t="shared" si="10"/>
        <v>1</v>
      </c>
      <c r="G21" s="284">
        <f t="shared" si="10"/>
        <v>1</v>
      </c>
      <c r="H21" s="284">
        <f t="shared" si="10"/>
        <v>1</v>
      </c>
      <c r="I21" s="284">
        <f t="shared" si="10"/>
        <v>1</v>
      </c>
      <c r="J21" s="284">
        <f t="shared" si="10"/>
        <v>1</v>
      </c>
      <c r="K21" s="284">
        <f t="shared" si="9"/>
        <v>1</v>
      </c>
      <c r="L21" s="284">
        <f t="shared" si="9"/>
        <v>1</v>
      </c>
      <c r="M21" s="285">
        <f t="shared" si="9"/>
        <v>1</v>
      </c>
      <c r="N21" s="280" t="s">
        <v>49</v>
      </c>
      <c r="O21" s="280" t="s">
        <v>49</v>
      </c>
      <c r="P21" s="280" t="s">
        <v>49</v>
      </c>
    </row>
    <row r="22" spans="1:16" x14ac:dyDescent="0.2">
      <c r="A22" s="73" t="s">
        <v>297</v>
      </c>
      <c r="B22" s="73" t="s">
        <v>44</v>
      </c>
      <c r="C22" s="72">
        <f>C10/C$16</f>
        <v>0.75798529182236341</v>
      </c>
      <c r="D22" s="72">
        <f t="shared" ref="D22:M22" si="11">D10/D$16</f>
        <v>0.74798303517331544</v>
      </c>
      <c r="E22" s="72">
        <f t="shared" si="11"/>
        <v>0.70202161356437487</v>
      </c>
      <c r="F22" s="72">
        <f t="shared" si="11"/>
        <v>0.67639609545062496</v>
      </c>
      <c r="G22" s="72">
        <f t="shared" si="11"/>
        <v>0.65541679205537162</v>
      </c>
      <c r="H22" s="72">
        <f t="shared" si="11"/>
        <v>0.62992377124996013</v>
      </c>
      <c r="I22" s="72">
        <f t="shared" si="11"/>
        <v>0.59322902487068208</v>
      </c>
      <c r="J22" s="69">
        <f t="shared" si="11"/>
        <v>0.6029304029304029</v>
      </c>
      <c r="K22" s="72">
        <f t="shared" si="11"/>
        <v>0.62471663755620799</v>
      </c>
      <c r="L22" s="72">
        <f t="shared" si="11"/>
        <v>0.63608864115287878</v>
      </c>
      <c r="M22" s="70">
        <f t="shared" si="11"/>
        <v>0.64237083821457075</v>
      </c>
      <c r="N22" s="71">
        <f t="shared" ref="N22:N27" si="12">100*($M22-C22)</f>
        <v>-11.561445360779265</v>
      </c>
      <c r="O22" s="71">
        <f t="shared" ref="O22:O27" si="13">100*($M22-H22)</f>
        <v>1.244706696461062</v>
      </c>
      <c r="P22" s="71">
        <f t="shared" ref="P22:P27" si="14">100*($M22-L22)</f>
        <v>0.62821970616919742</v>
      </c>
    </row>
    <row r="23" spans="1:16" x14ac:dyDescent="0.2">
      <c r="A23" s="73" t="s">
        <v>297</v>
      </c>
      <c r="B23" s="73" t="s">
        <v>176</v>
      </c>
      <c r="C23" s="72">
        <f t="shared" ref="C23:M23" si="15">C11/C$16</f>
        <v>0.10717138423966434</v>
      </c>
      <c r="D23" s="72">
        <f t="shared" si="15"/>
        <v>0.11230162526441106</v>
      </c>
      <c r="E23" s="72">
        <f t="shared" si="15"/>
        <v>0.12375395938140488</v>
      </c>
      <c r="F23" s="72">
        <f t="shared" si="15"/>
        <v>0.13750804320742577</v>
      </c>
      <c r="G23" s="72">
        <f t="shared" si="15"/>
        <v>0.14524526030695156</v>
      </c>
      <c r="H23" s="72">
        <f t="shared" si="15"/>
        <v>0.13486747679647881</v>
      </c>
      <c r="I23" s="72">
        <f t="shared" si="15"/>
        <v>0.14344281985170476</v>
      </c>
      <c r="J23" s="69">
        <f t="shared" si="15"/>
        <v>0.13172953172953172</v>
      </c>
      <c r="K23" s="72">
        <f t="shared" si="15"/>
        <v>0.10931286930023412</v>
      </c>
      <c r="L23" s="72">
        <f t="shared" si="15"/>
        <v>0.10893209163211202</v>
      </c>
      <c r="M23" s="70">
        <f t="shared" si="15"/>
        <v>8.2021766074126895E-2</v>
      </c>
      <c r="N23" s="71">
        <f t="shared" si="12"/>
        <v>-2.5149618165537442</v>
      </c>
      <c r="O23" s="71">
        <f t="shared" si="13"/>
        <v>-5.2845710722351917</v>
      </c>
      <c r="P23" s="71">
        <f t="shared" si="14"/>
        <v>-2.6910325557985129</v>
      </c>
    </row>
    <row r="24" spans="1:16" x14ac:dyDescent="0.2">
      <c r="A24" s="73" t="s">
        <v>297</v>
      </c>
      <c r="B24" s="73" t="s">
        <v>177</v>
      </c>
      <c r="C24" s="72">
        <f t="shared" ref="C24:M24" si="16">C12/C$16</f>
        <v>5.909896344990314E-2</v>
      </c>
      <c r="D24" s="72">
        <f t="shared" si="16"/>
        <v>5.8771006728530882E-2</v>
      </c>
      <c r="E24" s="72">
        <f t="shared" si="16"/>
        <v>6.5108533631451457E-2</v>
      </c>
      <c r="F24" s="72">
        <f t="shared" si="16"/>
        <v>6.746710841559081E-2</v>
      </c>
      <c r="G24" s="72">
        <f t="shared" si="16"/>
        <v>7.3517905507071921E-2</v>
      </c>
      <c r="H24" s="72">
        <f t="shared" si="16"/>
        <v>7.0742831626957547E-2</v>
      </c>
      <c r="I24" s="72">
        <f t="shared" si="16"/>
        <v>6.9279182614544466E-2</v>
      </c>
      <c r="J24" s="69">
        <f t="shared" si="16"/>
        <v>7.2270072270072275E-2</v>
      </c>
      <c r="K24" s="72">
        <f t="shared" si="16"/>
        <v>5.8066074547549147E-2</v>
      </c>
      <c r="L24" s="72">
        <f t="shared" si="16"/>
        <v>6.1144721636870368E-2</v>
      </c>
      <c r="M24" s="70">
        <f t="shared" si="16"/>
        <v>6.2038404726735601E-2</v>
      </c>
      <c r="N24" s="71">
        <f t="shared" si="12"/>
        <v>0.29394412768324607</v>
      </c>
      <c r="O24" s="71">
        <f t="shared" si="13"/>
        <v>-0.87044269002219465</v>
      </c>
      <c r="P24" s="71">
        <f t="shared" si="14"/>
        <v>8.9368308986523259E-2</v>
      </c>
    </row>
    <row r="25" spans="1:16" x14ac:dyDescent="0.2">
      <c r="A25" s="147" t="s">
        <v>297</v>
      </c>
      <c r="B25" s="147" t="s">
        <v>178</v>
      </c>
      <c r="C25" s="281">
        <f t="shared" ref="C25:M25" si="17">C13/C$16</f>
        <v>5.4994996281640486E-2</v>
      </c>
      <c r="D25" s="281">
        <f t="shared" si="17"/>
        <v>5.8579674096750536E-2</v>
      </c>
      <c r="E25" s="281">
        <f t="shared" si="17"/>
        <v>6.1032699832308551E-2</v>
      </c>
      <c r="F25" s="281">
        <f t="shared" si="17"/>
        <v>6.0156346261790998E-2</v>
      </c>
      <c r="G25" s="281">
        <f t="shared" si="17"/>
        <v>6.7047848329822454E-2</v>
      </c>
      <c r="H25" s="281">
        <f t="shared" si="17"/>
        <v>6.3454852805154213E-2</v>
      </c>
      <c r="I25" s="281">
        <f t="shared" si="17"/>
        <v>6.8430408532581713E-2</v>
      </c>
      <c r="J25" s="281">
        <f t="shared" si="17"/>
        <v>6.5458865458865464E-2</v>
      </c>
      <c r="K25" s="281">
        <f t="shared" si="17"/>
        <v>6.2506967928945709E-2</v>
      </c>
      <c r="L25" s="281">
        <f t="shared" si="17"/>
        <v>6.6514852831214735E-2</v>
      </c>
      <c r="M25" s="282">
        <f t="shared" si="17"/>
        <v>5.7284503981391871E-2</v>
      </c>
      <c r="N25" s="283">
        <f t="shared" si="12"/>
        <v>0.2289507699751385</v>
      </c>
      <c r="O25" s="283">
        <f t="shared" si="13"/>
        <v>-0.61703488237623416</v>
      </c>
      <c r="P25" s="283">
        <f t="shared" si="14"/>
        <v>-0.92303488498228647</v>
      </c>
    </row>
    <row r="26" spans="1:16" x14ac:dyDescent="0.2">
      <c r="A26" s="286" t="s">
        <v>297</v>
      </c>
      <c r="B26" s="148" t="s">
        <v>43</v>
      </c>
      <c r="C26" s="287">
        <f t="shared" ref="C26:M26" si="18">C14/C$16</f>
        <v>0.22126534397120795</v>
      </c>
      <c r="D26" s="287">
        <f t="shared" si="18"/>
        <v>0.22965230608969248</v>
      </c>
      <c r="E26" s="287">
        <f t="shared" si="18"/>
        <v>0.2498951928451649</v>
      </c>
      <c r="F26" s="287">
        <f t="shared" si="18"/>
        <v>0.26513149788480755</v>
      </c>
      <c r="G26" s="287">
        <f t="shared" si="18"/>
        <v>0.28581101414384591</v>
      </c>
      <c r="H26" s="287">
        <f t="shared" si="18"/>
        <v>0.26906516122859059</v>
      </c>
      <c r="I26" s="287">
        <f t="shared" si="18"/>
        <v>0.28115241099883093</v>
      </c>
      <c r="J26" s="287">
        <f t="shared" si="18"/>
        <v>0.26945846945846946</v>
      </c>
      <c r="K26" s="287">
        <f t="shared" si="18"/>
        <v>0.22988591177672899</v>
      </c>
      <c r="L26" s="287">
        <f t="shared" si="18"/>
        <v>0.23659166610019713</v>
      </c>
      <c r="M26" s="288">
        <f t="shared" si="18"/>
        <v>0.20134467478225437</v>
      </c>
      <c r="N26" s="289">
        <f t="shared" si="12"/>
        <v>-1.9920669188953577</v>
      </c>
      <c r="O26" s="289">
        <f t="shared" si="13"/>
        <v>-6.772048644633621</v>
      </c>
      <c r="P26" s="289">
        <f t="shared" si="14"/>
        <v>-3.524699131794276</v>
      </c>
    </row>
    <row r="27" spans="1:16" x14ac:dyDescent="0.2">
      <c r="A27" s="286" t="s">
        <v>297</v>
      </c>
      <c r="B27" s="147" t="s">
        <v>173</v>
      </c>
      <c r="C27" s="341">
        <f t="shared" ref="C27:M27" si="19">C15/C$16</f>
        <v>2.074936420642863E-2</v>
      </c>
      <c r="D27" s="341">
        <f t="shared" si="19"/>
        <v>2.2364658736992039E-2</v>
      </c>
      <c r="E27" s="341">
        <f t="shared" si="19"/>
        <v>4.8083193590460219E-2</v>
      </c>
      <c r="F27" s="341">
        <f t="shared" si="19"/>
        <v>5.8472406664567447E-2</v>
      </c>
      <c r="G27" s="341">
        <f t="shared" si="19"/>
        <v>5.8772193800782427E-2</v>
      </c>
      <c r="H27" s="341">
        <f t="shared" si="19"/>
        <v>0.1010110675214493</v>
      </c>
      <c r="I27" s="341">
        <f t="shared" si="19"/>
        <v>0.125618564130487</v>
      </c>
      <c r="J27" s="341">
        <f t="shared" si="19"/>
        <v>0.12761112761112761</v>
      </c>
      <c r="K27" s="341">
        <f t="shared" si="19"/>
        <v>0.14539745066706306</v>
      </c>
      <c r="L27" s="341">
        <f t="shared" si="19"/>
        <v>0.12731969274692406</v>
      </c>
      <c r="M27" s="70">
        <f t="shared" si="19"/>
        <v>0.15628448700317493</v>
      </c>
      <c r="N27" s="342">
        <f t="shared" si="12"/>
        <v>13.553512279674628</v>
      </c>
      <c r="O27" s="342">
        <f t="shared" si="13"/>
        <v>5.5273419481725634</v>
      </c>
      <c r="P27" s="342">
        <f t="shared" si="14"/>
        <v>2.896479425625087</v>
      </c>
    </row>
    <row r="28" spans="1:16" x14ac:dyDescent="0.2">
      <c r="A28" s="290" t="s">
        <v>298</v>
      </c>
      <c r="B28" s="290" t="s">
        <v>175</v>
      </c>
      <c r="C28" s="291">
        <f t="shared" ref="C28:M28" si="20">(C16-C15)/SUM(C$10:C$13)</f>
        <v>1</v>
      </c>
      <c r="D28" s="291">
        <f t="shared" si="20"/>
        <v>1</v>
      </c>
      <c r="E28" s="291">
        <f t="shared" si="20"/>
        <v>1</v>
      </c>
      <c r="F28" s="291">
        <f t="shared" si="20"/>
        <v>1</v>
      </c>
      <c r="G28" s="291">
        <f t="shared" si="20"/>
        <v>1</v>
      </c>
      <c r="H28" s="291">
        <f t="shared" si="20"/>
        <v>1</v>
      </c>
      <c r="I28" s="291">
        <f t="shared" si="20"/>
        <v>1</v>
      </c>
      <c r="J28" s="291">
        <f t="shared" si="20"/>
        <v>1</v>
      </c>
      <c r="K28" s="291">
        <f t="shared" si="20"/>
        <v>1</v>
      </c>
      <c r="L28" s="291">
        <f t="shared" si="20"/>
        <v>1</v>
      </c>
      <c r="M28" s="292">
        <f t="shared" si="20"/>
        <v>1</v>
      </c>
      <c r="N28" s="293" t="s">
        <v>49</v>
      </c>
      <c r="O28" s="293" t="s">
        <v>49</v>
      </c>
      <c r="P28" s="293" t="s">
        <v>49</v>
      </c>
    </row>
  </sheetData>
  <pageMargins left="0.7" right="0.7" top="0.75" bottom="0.75" header="0.3" footer="0.3"/>
  <ignoredErrors>
    <ignoredError sqref="C14:M14" formulaRange="1"/>
    <ignoredError sqref="N14:P14" formulaRange="1" calculatedColumn="1"/>
    <ignoredError sqref="N5:P13 N28:P28 N15:P15 N16:P26" calculatedColumn="1"/>
  </ignoredError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ypeofContent_x0028_Local_x0029_ xmlns="dfa5b71b-593b-4447-9578-fe176d6be02d" xsi:nil="true"/>
    <_ip_UnifiedCompliancePolicyUIAction xmlns="http://schemas.microsoft.com/sharepoint/v3" xsi:nil="true"/>
    <TaxCatchAll xmlns="0f13c265-9706-4cf4-a569-ee2f853908ca" xsi:nil="true"/>
    <DataRequests xmlns="dfa5b71b-593b-4447-9578-fe176d6be02d" xsi:nil="true"/>
    <IndexID xmlns="dfa5b71b-593b-4447-9578-fe176d6be02d" xsi:nil="true"/>
    <EditItem xmlns="dfa5b71b-593b-4447-9578-fe176d6be02d">
      <Url xsi:nil="true"/>
      <Description xsi:nil="true"/>
    </EditItem>
    <_ip_UnifiedCompliancePolicyProperties xmlns="http://schemas.microsoft.com/sharepoint/v3" xsi:nil="true"/>
    <Preview xmlns="dfa5b71b-593b-4447-9578-fe176d6be02d" xsi:nil="true"/>
    <lcf76f155ced4ddcb4097134ff3c332f xmlns="dfa5b71b-593b-4447-9578-fe176d6be02d">
      <Terms xmlns="http://schemas.microsoft.com/office/infopath/2007/PartnerControls"/>
    </lcf76f155ced4ddcb4097134ff3c332f>
    <RequestSource xmlns="dfa5b71b-593b-4447-9578-fe176d6be02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A652EE86BFED84BB10C7705E9092399" ma:contentTypeVersion="24" ma:contentTypeDescription="Create a new document." ma:contentTypeScope="" ma:versionID="0c24870e937f82b8dbe3e4355d00c89b">
  <xsd:schema xmlns:xsd="http://www.w3.org/2001/XMLSchema" xmlns:xs="http://www.w3.org/2001/XMLSchema" xmlns:p="http://schemas.microsoft.com/office/2006/metadata/properties" xmlns:ns1="http://schemas.microsoft.com/sharepoint/v3" xmlns:ns2="dfa5b71b-593b-4447-9578-fe176d6be02d" xmlns:ns3="0f13c265-9706-4cf4-a569-ee2f853908ca" targetNamespace="http://schemas.microsoft.com/office/2006/metadata/properties" ma:root="true" ma:fieldsID="3c1dbb3d8a66e37079dac6f84ac26e9c" ns1:_="" ns2:_="" ns3:_="">
    <xsd:import namespace="http://schemas.microsoft.com/sharepoint/v3"/>
    <xsd:import namespace="dfa5b71b-593b-4447-9578-fe176d6be02d"/>
    <xsd:import namespace="0f13c265-9706-4cf4-a569-ee2f853908ca"/>
    <xsd:element name="properties">
      <xsd:complexType>
        <xsd:sequence>
          <xsd:element name="documentManagement">
            <xsd:complexType>
              <xsd:all>
                <xsd:element ref="ns2:TypeofContent_x0028_Local_x0029_" minOccurs="0"/>
                <xsd:element ref="ns2:DataRequests" minOccurs="0"/>
                <xsd:element ref="ns2:RequestSource" minOccurs="0"/>
                <xsd:element ref="ns2:EditItem" minOccurs="0"/>
                <xsd:element ref="ns2:Preview" minOccurs="0"/>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IndexID" minOccurs="0"/>
                <xsd:element ref="ns3:SharedWithUsers" minOccurs="0"/>
                <xsd:element ref="ns3:SharedWithDetails"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7" nillable="true" ma:displayName="Unified Compliance Policy Properties" ma:hidden="true" ma:internalName="_ip_UnifiedCompliancePolicyProperties">
      <xsd:simpleType>
        <xsd:restriction base="dms:Note"/>
      </xsd:simpleType>
    </xsd:element>
    <xsd:element name="_ip_UnifiedCompliancePolicyUIAction" ma:index="2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a5b71b-593b-4447-9578-fe176d6be02d" elementFormDefault="qualified">
    <xsd:import namespace="http://schemas.microsoft.com/office/2006/documentManagement/types"/>
    <xsd:import namespace="http://schemas.microsoft.com/office/infopath/2007/PartnerControls"/>
    <xsd:element name="TypeofContent_x0028_Local_x0029_" ma:index="1" nillable="true" ma:displayName="Type of Content(Local)" ma:format="Dropdown" ma:internalName="TypeofContent_x0028_Local_x0029_" ma:readOnly="false">
      <xsd:complexType>
        <xsd:complexContent>
          <xsd:extension base="dms:MultiChoice">
            <xsd:sequence>
              <xsd:element name="Value" maxOccurs="unbounded" minOccurs="0" nillable="true">
                <xsd:simpleType>
                  <xsd:restriction base="dms:Choice">
                    <xsd:enumeration value="Data Requests"/>
                    <xsd:enumeration value="Data Responses"/>
                    <xsd:enumeration value="Meeting Minutes"/>
                    <xsd:enumeration value="Raw Data"/>
                    <xsd:enumeration value="Analysis"/>
                    <xsd:enumeration value="Visuals"/>
                    <xsd:enumeration value="Code"/>
                    <xsd:enumeration value="Data Sharing Agreements"/>
                  </xsd:restriction>
                </xsd:simpleType>
              </xsd:element>
            </xsd:sequence>
          </xsd:extension>
        </xsd:complexContent>
      </xsd:complexType>
    </xsd:element>
    <xsd:element name="DataRequests" ma:index="2" nillable="true" ma:displayName="Data Requests" ma:format="Dropdown" ma:internalName="DataRequests" ma:readOnly="false">
      <xsd:complexType>
        <xsd:complexContent>
          <xsd:extension base="dms:MultiChoice">
            <xsd:sequence>
              <xsd:element name="Value" maxOccurs="unbounded" minOccurs="0" nillable="true">
                <xsd:simpleType>
                  <xsd:restriction base="dms:Choice">
                    <xsd:enumeration value="Internal "/>
                    <xsd:enumeration value="External"/>
                  </xsd:restriction>
                </xsd:simpleType>
              </xsd:element>
            </xsd:sequence>
          </xsd:extension>
        </xsd:complexContent>
      </xsd:complexType>
    </xsd:element>
    <xsd:element name="RequestSource" ma:index="3" nillable="true" ma:displayName="Request Source" ma:format="Dropdown" ma:internalName="RequestSource" ma:readOnly="false">
      <xsd:simpleType>
        <xsd:restriction base="dms:Choice">
          <xsd:enumeration value="Internal "/>
          <xsd:enumeration value="External"/>
        </xsd:restriction>
      </xsd:simpleType>
    </xsd:element>
    <xsd:element name="EditItem" ma:index="11" nillable="true" ma:displayName="Edit Details" ma:format="Hyperlink" ma:hidden="true" ma:internalName="EditItem"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Preview" ma:index="12" nillable="true" ma:displayName="Preview" ma:format="Thumbnail" ma:internalName="Preview">
      <xsd:simpleType>
        <xsd:restriction base="dms:Unknow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35d181a0-e905-40cb-a64d-73a8bb491456"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IndexID" ma:index="23" nillable="true" ma:displayName="IndexID" ma:internalName="IndexID">
      <xsd:simpleType>
        <xsd:restriction base="dms:Number"/>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f13c265-9706-4cf4-a569-ee2f853908ca"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59889836-f4aa-493a-9143-0e6d6787cf03}" ma:internalName="TaxCatchAll" ma:showField="CatchAllData" ma:web="0f13c265-9706-4cf4-a569-ee2f853908ca">
      <xsd:complexType>
        <xsd:complexContent>
          <xsd:extension base="dms:MultiChoiceLookup">
            <xsd:sequence>
              <xsd:element name="Value" type="dms:Lookup" maxOccurs="unbounded" minOccurs="0"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8A1816B-698C-467D-AEE9-35013BB1EEAF}">
  <ds:schemaRefs>
    <ds:schemaRef ds:uri="0f13c265-9706-4cf4-a569-ee2f853908ca"/>
    <ds:schemaRef ds:uri="http://purl.org/dc/terms/"/>
    <ds:schemaRef ds:uri="http://schemas.microsoft.com/office/2006/documentManagement/types"/>
    <ds:schemaRef ds:uri="dfa5b71b-593b-4447-9578-fe176d6be02d"/>
    <ds:schemaRef ds:uri="http://purl.org/dc/elements/1.1/"/>
    <ds:schemaRef ds:uri="http://schemas.microsoft.com/office/infopath/2007/PartnerControls"/>
    <ds:schemaRef ds:uri="http://schemas.openxmlformats.org/package/2006/metadata/core-properties"/>
    <ds:schemaRef ds:uri="http://schemas.microsoft.com/sharepoint/v3"/>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51CF82AA-4356-4113-B929-B48DFAEB16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fa5b71b-593b-4447-9578-fe176d6be02d"/>
    <ds:schemaRef ds:uri="0f13c265-9706-4cf4-a569-ee2f853908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4700A1-CF2F-451E-A589-E2A820F7F17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vt:i4>
      </vt:variant>
    </vt:vector>
  </HeadingPairs>
  <TitlesOfParts>
    <vt:vector size="20" baseType="lpstr">
      <vt:lpstr>Cover</vt:lpstr>
      <vt:lpstr>Notes</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1.17</vt:lpstr>
      <vt:lpstr>Cover!Cover_Print_Area</vt:lpstr>
    </vt:vector>
  </TitlesOfParts>
  <Manager/>
  <Company>Youth Justice Board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willik</dc:creator>
  <cp:keywords/>
  <dc:description/>
  <cp:lastModifiedBy>Strevens, Chris (YJB)</cp:lastModifiedBy>
  <cp:revision/>
  <dcterms:created xsi:type="dcterms:W3CDTF">2011-07-26T08:58:12Z</dcterms:created>
  <dcterms:modified xsi:type="dcterms:W3CDTF">2025-01-29T10:25:42Z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0x010100DA652EE86BFED84BB10C7705E9092399</vt:lpwstr>
  </property>
  <property fmtid="{D5CDD505-2E9C-101B-9397-08002B2CF9AE}" pid="3" name="MediaServiceImageTags">
    <vt:lpwstr/>
  </property>
</Properties>
</file>