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Ex3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Ex4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ink/ink1.xml" ContentType="application/inkml+xml"/>
  <Override PartName="/xl/charts/chart2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3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6.xml" ContentType="application/vnd.openxmlformats-officedocument.drawing+xml"/>
  <Override PartName="/xl/charts/chart4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7.xml" ContentType="application/vnd.openxmlformats-officedocument.drawing+xml"/>
  <Override PartName="/xl/charts/chart4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8.xml" ContentType="application/vnd.openxmlformats-officedocument.drawing+xml"/>
  <Override PartName="/xl/charts/chart4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1.xml" ContentType="application/vnd.openxmlformats-officedocument.drawing+xml"/>
  <Override PartName="/xl/charts/chart4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2.xml" ContentType="application/vnd.openxmlformats-officedocument.drawing+xml"/>
  <Override PartName="/xl/charts/chart4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ris42-my.sharepoint.com/personal/andrew_mackay_hmtreasury_gov_uk/Documents/Publication folder/"/>
    </mc:Choice>
  </mc:AlternateContent>
  <xr:revisionPtr revIDLastSave="0" documentId="8_{FB045858-5DD8-49D1-9B36-ECE7484D09A4}" xr6:coauthVersionLast="47" xr6:coauthVersionMax="47" xr10:uidLastSave="{00000000-0000-0000-0000-000000000000}"/>
  <bookViews>
    <workbookView xWindow="-110" yWindow="-110" windowWidth="19420" windowHeight="10300" tabRatio="863" activeTab="1" xr2:uid="{00000000-000D-0000-FFFF-FFFF00000000}"/>
  </bookViews>
  <sheets>
    <sheet name="Data for charts 09-24" sheetId="78" r:id="rId1"/>
    <sheet name="Intro&gt;&gt;&gt;" sheetId="90" r:id="rId2"/>
    <sheet name="A.7 Entities" sheetId="104" r:id="rId3"/>
    <sheet name="A.9 Inflation 15-y" sheetId="77" r:id="rId4"/>
    <sheet name="Balance Sheet&gt;&gt;&gt;" sheetId="82" r:id="rId5"/>
    <sheet name="A.10 Assets Liabilities" sheetId="92" r:id="rId6"/>
    <sheet name="A.11 Assets" sheetId="112" r:id="rId7"/>
    <sheet name="A.12 PPE" sheetId="16" r:id="rId8"/>
    <sheet name="A.13 PPE Movements" sheetId="96" r:id="rId9"/>
    <sheet name="A.14 PPE by sector" sheetId="80" r:id="rId10"/>
    <sheet name="A.15 Yr - Infrastructure Assets" sheetId="72" r:id="rId11"/>
    <sheet name="A.16 IA 2" sheetId="95" r:id="rId12"/>
    <sheet name="A.17 - L&amp;B" sheetId="74" r:id="rId13"/>
    <sheet name="A.18 L&amp;B 2" sheetId="94" r:id="rId14"/>
    <sheet name="A.19 Other financial assets" sheetId="18" r:id="rId15"/>
    <sheet name="A.20 Student Loan" sheetId="64" r:id="rId16"/>
    <sheet name="A.21 SL" sheetId="97" r:id="rId17"/>
    <sheet name="A.22 Equity Invest" sheetId="66" r:id="rId18"/>
    <sheet name="A.23 Natwest" sheetId="69" r:id="rId19"/>
    <sheet name="A.24 Intangibles" sheetId="70" r:id="rId20"/>
    <sheet name="A.25 Cash" sheetId="91" r:id="rId21"/>
    <sheet name="A.26 Liabilities" sheetId="107" r:id="rId22"/>
    <sheet name="A.27 Gov borrow" sheetId="109" r:id="rId23"/>
    <sheet name="A.28 Pensions" sheetId="37" r:id="rId24"/>
    <sheet name="A.29 Pensions DR" sheetId="20" r:id="rId25"/>
    <sheet name="A.30 Provisions" sheetId="114" r:id="rId26"/>
    <sheet name="A.31 Prov b'dn" sheetId="99" r:id="rId27"/>
    <sheet name="A.32 Cont Liabilities" sheetId="75" r:id="rId28"/>
    <sheet name="A.33 Nuclear" sheetId="115" r:id="rId29"/>
    <sheet name="A.33 (3) Nuclear" sheetId="22" r:id="rId30"/>
    <sheet name="A.34 (1) Clinical neg" sheetId="103" r:id="rId31"/>
    <sheet name="A.34 (2) Clinical neg" sheetId="106" r:id="rId32"/>
    <sheet name="A.35 Deposits by banks" sheetId="110" r:id="rId33"/>
    <sheet name="I and E &gt;&gt;&gt;" sheetId="83" r:id="rId34"/>
    <sheet name="A.36 I&amp;E" sheetId="31" r:id="rId35"/>
    <sheet name="A.37 Income" sheetId="26" r:id="rId36"/>
    <sheet name="A.38 Tax revenue" sheetId="15" r:id="rId37"/>
    <sheet name="A.44 Expenditure on PS" sheetId="43" r:id="rId38"/>
    <sheet name="A.45 A.46 Social Benefits" sheetId="7" r:id="rId39"/>
    <sheet name="A.47 State Pension" sheetId="67" r:id="rId40"/>
    <sheet name="A.48 Disability" sheetId="88" r:id="rId41"/>
    <sheet name="A.49 Working Age" sheetId="87" r:id="rId42"/>
    <sheet name="A.50 Staff Cost" sheetId="27" r:id="rId43"/>
    <sheet name="A.51 Staff Total Expenditure" sheetId="85" r:id="rId44"/>
    <sheet name="A.52 Staff costs by sector " sheetId="116" r:id="rId45"/>
    <sheet name="A.53 Staff Numbers" sheetId="68" r:id="rId46"/>
  </sheets>
  <definedNames>
    <definedName name="_xlnm._FilterDatabase" localSheetId="14" hidden="1">'A.19 Other financial assets'!$A$48:$Q$55</definedName>
    <definedName name="_Hlt503681840" localSheetId="0">'Data for charts 09-24'!$A$386</definedName>
    <definedName name="_Toc244084752" localSheetId="0">'Data for charts 09-24'!#REF!</definedName>
    <definedName name="_xlchart.v1.0" hidden="1">'A.13 PPE Movements'!#REF!</definedName>
    <definedName name="_xlchart.v1.1" hidden="1">'A.13 PPE Movements'!$A$25:$A$30</definedName>
    <definedName name="_xlchart.v1.10" hidden="1">'A.21 SL'!$A$25:$A$31</definedName>
    <definedName name="_xlchart.v1.11" hidden="1">'A.21 SL'!$B$25:$B$31</definedName>
    <definedName name="_xlchart.v1.2" hidden="1">'A.13 PPE Movements'!$B$25:$B$30</definedName>
    <definedName name="_xlchart.v1.3" hidden="1">'A.16 IA 2'!#REF!</definedName>
    <definedName name="_xlchart.v1.4" hidden="1">'A.16 IA 2'!$A$25:$A$30</definedName>
    <definedName name="_xlchart.v1.5" hidden="1">'A.16 IA 2'!$B$25:$B$30</definedName>
    <definedName name="_xlchart.v1.6" hidden="1">'A.18 L&amp;B 2'!#REF!</definedName>
    <definedName name="_xlchart.v1.7" hidden="1">'A.18 L&amp;B 2'!$A$25:$A$30</definedName>
    <definedName name="_xlchart.v1.8" hidden="1">'A.18 L&amp;B 2'!$B$25:$B$30</definedName>
    <definedName name="_xlchart.v1.9" hidden="1">'A.21 SL'!#REF!</definedName>
    <definedName name="_xlnm.Print_Area" localSheetId="0">'Data for charts 09-24'!$A$1:$H$433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2" i="78" l="1"/>
  <c r="B32" i="114"/>
  <c r="C31" i="114"/>
  <c r="D31" i="114"/>
  <c r="E31" i="114"/>
  <c r="F31" i="114"/>
  <c r="G31" i="114"/>
  <c r="H31" i="114"/>
  <c r="I31" i="114"/>
  <c r="J31" i="114"/>
  <c r="K31" i="114"/>
  <c r="L31" i="114"/>
  <c r="M31" i="114"/>
  <c r="N31" i="114"/>
  <c r="O31" i="114"/>
  <c r="P31" i="114"/>
  <c r="B31" i="114"/>
  <c r="P58" i="99"/>
  <c r="O58" i="99"/>
  <c r="N58" i="99"/>
  <c r="M58" i="99"/>
  <c r="L58" i="99"/>
  <c r="K58" i="99"/>
  <c r="J58" i="99"/>
  <c r="I58" i="99"/>
  <c r="H58" i="99"/>
  <c r="G58" i="99"/>
  <c r="F58" i="99"/>
  <c r="E58" i="99"/>
  <c r="D58" i="99"/>
  <c r="C58" i="99"/>
  <c r="B58" i="99"/>
  <c r="C30" i="114"/>
  <c r="D30" i="114"/>
  <c r="E30" i="114"/>
  <c r="F30" i="114"/>
  <c r="G30" i="114"/>
  <c r="H30" i="114"/>
  <c r="I30" i="114"/>
  <c r="J30" i="114"/>
  <c r="K30" i="114"/>
  <c r="L30" i="114"/>
  <c r="M30" i="114"/>
  <c r="N30" i="114"/>
  <c r="O30" i="114"/>
  <c r="P30" i="114"/>
  <c r="B30" i="114"/>
  <c r="C29" i="114"/>
  <c r="D29" i="114"/>
  <c r="E29" i="114"/>
  <c r="F29" i="114"/>
  <c r="G29" i="114"/>
  <c r="H29" i="114"/>
  <c r="H32" i="114" s="1"/>
  <c r="I29" i="114"/>
  <c r="I32" i="114" s="1"/>
  <c r="J29" i="114"/>
  <c r="K29" i="114"/>
  <c r="L29" i="114"/>
  <c r="M29" i="114"/>
  <c r="N29" i="114"/>
  <c r="O29" i="114"/>
  <c r="P29" i="114"/>
  <c r="B29" i="114"/>
  <c r="N32" i="114"/>
  <c r="K32" i="114"/>
  <c r="J32" i="114"/>
  <c r="G32" i="114" l="1"/>
  <c r="L32" i="114"/>
  <c r="M32" i="114"/>
  <c r="F32" i="114"/>
  <c r="E32" i="114"/>
  <c r="C32" i="114"/>
  <c r="O32" i="114"/>
  <c r="D32" i="114"/>
  <c r="P32" i="114"/>
  <c r="C5" i="112"/>
  <c r="D5" i="112"/>
  <c r="E5" i="112"/>
  <c r="F5" i="112"/>
  <c r="G5" i="112"/>
  <c r="H5" i="112"/>
  <c r="H7" i="112" s="1"/>
  <c r="I5" i="112"/>
  <c r="J5" i="112"/>
  <c r="K5" i="112"/>
  <c r="L5" i="112"/>
  <c r="M5" i="112"/>
  <c r="N5" i="112"/>
  <c r="O5" i="112"/>
  <c r="P5" i="112"/>
  <c r="C6" i="112"/>
  <c r="D6" i="112"/>
  <c r="E6" i="112"/>
  <c r="F6" i="112"/>
  <c r="G6" i="112"/>
  <c r="H6" i="112"/>
  <c r="I6" i="112"/>
  <c r="J6" i="112"/>
  <c r="K6" i="112"/>
  <c r="L6" i="112"/>
  <c r="M6" i="112"/>
  <c r="N6" i="112"/>
  <c r="O6" i="112"/>
  <c r="P6" i="112"/>
  <c r="C8" i="112"/>
  <c r="D8" i="112"/>
  <c r="E8" i="112"/>
  <c r="E7" i="112" s="1"/>
  <c r="F8" i="112"/>
  <c r="G8" i="112"/>
  <c r="H8" i="112"/>
  <c r="I8" i="112"/>
  <c r="I7" i="112" s="1"/>
  <c r="J8" i="112"/>
  <c r="J7" i="112" s="1"/>
  <c r="K8" i="112"/>
  <c r="L8" i="112"/>
  <c r="M8" i="112"/>
  <c r="N8" i="112"/>
  <c r="O8" i="112"/>
  <c r="P8" i="112"/>
  <c r="F7" i="112"/>
  <c r="G7" i="112"/>
  <c r="O7" i="112"/>
  <c r="B8" i="112"/>
  <c r="B7" i="112" s="1"/>
  <c r="B5" i="112"/>
  <c r="B6" i="112"/>
  <c r="O29" i="27"/>
  <c r="N29" i="27"/>
  <c r="M29" i="27"/>
  <c r="L29" i="27"/>
  <c r="J29" i="27"/>
  <c r="I29" i="27"/>
  <c r="H29" i="27"/>
  <c r="G29" i="27"/>
  <c r="F29" i="27"/>
  <c r="E29" i="27"/>
  <c r="D29" i="27"/>
  <c r="C29" i="27"/>
  <c r="B29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F50" i="7"/>
  <c r="B50" i="7"/>
  <c r="F49" i="7"/>
  <c r="B49" i="7"/>
  <c r="F48" i="7"/>
  <c r="B48" i="7"/>
  <c r="F47" i="7"/>
  <c r="B47" i="7"/>
  <c r="F46" i="7"/>
  <c r="B46" i="7"/>
  <c r="F45" i="7"/>
  <c r="B45" i="7"/>
  <c r="F44" i="7"/>
  <c r="B44" i="7"/>
  <c r="F43" i="7"/>
  <c r="B43" i="7"/>
  <c r="F42" i="7"/>
  <c r="B42" i="7"/>
  <c r="F41" i="7"/>
  <c r="B41" i="7"/>
  <c r="F40" i="7"/>
  <c r="B40" i="7"/>
  <c r="F39" i="7"/>
  <c r="B39" i="7"/>
  <c r="F38" i="7"/>
  <c r="B38" i="7"/>
  <c r="F37" i="7"/>
  <c r="B37" i="7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K33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B31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F47" i="31"/>
  <c r="E47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K28" i="20"/>
  <c r="J28" i="20"/>
  <c r="I28" i="20"/>
  <c r="H28" i="20"/>
  <c r="G28" i="20"/>
  <c r="F28" i="20"/>
  <c r="E28" i="20"/>
  <c r="K27" i="20"/>
  <c r="J27" i="20"/>
  <c r="I27" i="20"/>
  <c r="H27" i="20"/>
  <c r="G27" i="20"/>
  <c r="F27" i="20"/>
  <c r="E27" i="20"/>
  <c r="G39" i="18"/>
  <c r="F39" i="18"/>
  <c r="E39" i="18"/>
  <c r="D39" i="18"/>
  <c r="C39" i="18"/>
  <c r="B39" i="18"/>
  <c r="A39" i="18"/>
  <c r="G38" i="18"/>
  <c r="F38" i="18"/>
  <c r="E38" i="18"/>
  <c r="D38" i="18"/>
  <c r="C38" i="18"/>
  <c r="B38" i="18"/>
  <c r="A38" i="18"/>
  <c r="G37" i="18"/>
  <c r="F37" i="18"/>
  <c r="E37" i="18"/>
  <c r="D37" i="18"/>
  <c r="C37" i="18"/>
  <c r="B37" i="18"/>
  <c r="A37" i="18"/>
  <c r="G36" i="18"/>
  <c r="F36" i="18"/>
  <c r="E36" i="18"/>
  <c r="D36" i="18"/>
  <c r="C36" i="18"/>
  <c r="B36" i="18"/>
  <c r="A36" i="18"/>
  <c r="G35" i="18"/>
  <c r="F35" i="18"/>
  <c r="E35" i="18"/>
  <c r="D35" i="18"/>
  <c r="C35" i="18"/>
  <c r="B35" i="18"/>
  <c r="A35" i="18"/>
  <c r="G34" i="18"/>
  <c r="F34" i="18"/>
  <c r="E34" i="18"/>
  <c r="D34" i="18"/>
  <c r="C34" i="18"/>
  <c r="B34" i="18"/>
  <c r="A34" i="18"/>
  <c r="G33" i="18"/>
  <c r="F33" i="18"/>
  <c r="E33" i="18"/>
  <c r="D33" i="18"/>
  <c r="C33" i="18"/>
  <c r="B33" i="18"/>
  <c r="A33" i="18"/>
  <c r="G32" i="18"/>
  <c r="F32" i="18"/>
  <c r="E32" i="18"/>
  <c r="D32" i="18"/>
  <c r="C32" i="18"/>
  <c r="B32" i="18"/>
  <c r="A32" i="18"/>
  <c r="G31" i="18"/>
  <c r="F31" i="18"/>
  <c r="E31" i="18"/>
  <c r="D31" i="18"/>
  <c r="C31" i="18"/>
  <c r="B31" i="18"/>
  <c r="A31" i="18"/>
  <c r="G30" i="18"/>
  <c r="F30" i="18"/>
  <c r="E30" i="18"/>
  <c r="D30" i="18"/>
  <c r="C30" i="18"/>
  <c r="B30" i="18"/>
  <c r="A30" i="18"/>
  <c r="G29" i="18"/>
  <c r="F29" i="18"/>
  <c r="E29" i="18"/>
  <c r="D29" i="18"/>
  <c r="C29" i="18"/>
  <c r="B29" i="18"/>
  <c r="A29" i="18"/>
  <c r="G28" i="18"/>
  <c r="F28" i="18"/>
  <c r="E28" i="18"/>
  <c r="D28" i="18"/>
  <c r="C28" i="18"/>
  <c r="B28" i="18"/>
  <c r="A28" i="18"/>
  <c r="G27" i="18"/>
  <c r="F27" i="18"/>
  <c r="E27" i="18"/>
  <c r="D27" i="18"/>
  <c r="C27" i="18"/>
  <c r="B27" i="18"/>
  <c r="A27" i="18"/>
  <c r="G26" i="18"/>
  <c r="F26" i="18"/>
  <c r="E26" i="18"/>
  <c r="D26" i="18"/>
  <c r="C26" i="18"/>
  <c r="B26" i="18"/>
  <c r="A26" i="18"/>
  <c r="AB29" i="74"/>
  <c r="A29" i="74"/>
  <c r="F43" i="16"/>
  <c r="E43" i="16"/>
  <c r="D43" i="16"/>
  <c r="C43" i="16"/>
  <c r="B43" i="16"/>
  <c r="A43" i="16"/>
  <c r="F42" i="16"/>
  <c r="E42" i="16"/>
  <c r="D42" i="16"/>
  <c r="C42" i="16"/>
  <c r="B42" i="16"/>
  <c r="A42" i="16"/>
  <c r="F41" i="16"/>
  <c r="E41" i="16"/>
  <c r="D41" i="16"/>
  <c r="C41" i="16"/>
  <c r="B41" i="16"/>
  <c r="A41" i="16"/>
  <c r="F40" i="16"/>
  <c r="E40" i="16"/>
  <c r="D40" i="16"/>
  <c r="C40" i="16"/>
  <c r="B40" i="16"/>
  <c r="A40" i="16"/>
  <c r="F39" i="16"/>
  <c r="E39" i="16"/>
  <c r="D39" i="16"/>
  <c r="C39" i="16"/>
  <c r="B39" i="16"/>
  <c r="A39" i="16"/>
  <c r="F38" i="16"/>
  <c r="E38" i="16"/>
  <c r="D38" i="16"/>
  <c r="C38" i="16"/>
  <c r="B38" i="16"/>
  <c r="A38" i="16"/>
  <c r="F37" i="16"/>
  <c r="E37" i="16"/>
  <c r="D37" i="16"/>
  <c r="C37" i="16"/>
  <c r="B37" i="16"/>
  <c r="A37" i="16"/>
  <c r="F36" i="16"/>
  <c r="E36" i="16"/>
  <c r="D36" i="16"/>
  <c r="C36" i="16"/>
  <c r="B36" i="16"/>
  <c r="A36" i="16"/>
  <c r="F35" i="16"/>
  <c r="E35" i="16"/>
  <c r="D35" i="16"/>
  <c r="C35" i="16"/>
  <c r="B35" i="16"/>
  <c r="A35" i="16"/>
  <c r="F34" i="16"/>
  <c r="E34" i="16"/>
  <c r="D34" i="16"/>
  <c r="C34" i="16"/>
  <c r="B34" i="16"/>
  <c r="A34" i="16"/>
  <c r="F33" i="16"/>
  <c r="E33" i="16"/>
  <c r="D33" i="16"/>
  <c r="C33" i="16"/>
  <c r="B33" i="16"/>
  <c r="A33" i="16"/>
  <c r="F32" i="16"/>
  <c r="E32" i="16"/>
  <c r="D32" i="16"/>
  <c r="C32" i="16"/>
  <c r="B32" i="16"/>
  <c r="A32" i="16"/>
  <c r="F31" i="16"/>
  <c r="E31" i="16"/>
  <c r="D31" i="16"/>
  <c r="C31" i="16"/>
  <c r="B31" i="16"/>
  <c r="A31" i="16"/>
  <c r="F30" i="16"/>
  <c r="E30" i="16"/>
  <c r="D30" i="16"/>
  <c r="C30" i="16"/>
  <c r="B30" i="16"/>
  <c r="A30" i="16"/>
  <c r="O28" i="77"/>
  <c r="N28" i="77"/>
  <c r="M28" i="77"/>
  <c r="L28" i="77"/>
  <c r="D28" i="77"/>
  <c r="C28" i="77"/>
  <c r="B28" i="77"/>
  <c r="P33" i="75"/>
  <c r="Q31" i="110"/>
  <c r="P31" i="110"/>
  <c r="O31" i="110"/>
  <c r="N31" i="110"/>
  <c r="M31" i="110"/>
  <c r="L31" i="110"/>
  <c r="K31" i="110"/>
  <c r="J31" i="110"/>
  <c r="I31" i="110"/>
  <c r="H31" i="110"/>
  <c r="G31" i="110"/>
  <c r="F31" i="110"/>
  <c r="E31" i="110"/>
  <c r="D31" i="110"/>
  <c r="C31" i="110"/>
  <c r="C7" i="112" l="1"/>
  <c r="K7" i="112"/>
  <c r="P7" i="112"/>
  <c r="N7" i="112"/>
  <c r="M7" i="112"/>
  <c r="L7" i="112"/>
  <c r="R361" i="78"/>
  <c r="S361" i="78" s="1"/>
  <c r="R362" i="78"/>
  <c r="S362" i="78" s="1"/>
  <c r="R363" i="78"/>
  <c r="S363" i="78" s="1"/>
  <c r="R364" i="78"/>
  <c r="S364" i="78" s="1"/>
  <c r="R365" i="78"/>
  <c r="S365" i="78" s="1"/>
  <c r="R366" i="78"/>
  <c r="S366" i="78" s="1"/>
  <c r="R367" i="78"/>
  <c r="S367" i="78" s="1"/>
  <c r="R368" i="78"/>
  <c r="S368" i="78" s="1"/>
  <c r="R372" i="78"/>
  <c r="S372" i="78" s="1"/>
  <c r="R373" i="78"/>
  <c r="S373" i="78" s="1"/>
  <c r="R374" i="78"/>
  <c r="S374" i="78" s="1"/>
  <c r="R375" i="78"/>
  <c r="S375" i="78" s="1"/>
  <c r="R376" i="78"/>
  <c r="S376" i="78" s="1"/>
  <c r="R377" i="78"/>
  <c r="S377" i="78" s="1"/>
  <c r="R378" i="78"/>
  <c r="S378" i="78" s="1"/>
  <c r="R360" i="78"/>
  <c r="S360" i="78" s="1"/>
  <c r="S45" i="78"/>
  <c r="R45" i="78"/>
  <c r="S43" i="78"/>
  <c r="U43" i="78" s="1"/>
  <c r="R43" i="78"/>
  <c r="D6" i="104"/>
  <c r="C5" i="104"/>
  <c r="B8" i="104"/>
  <c r="E8" i="104"/>
  <c r="F31" i="72"/>
  <c r="O34" i="72"/>
  <c r="N34" i="72"/>
  <c r="N32" i="72"/>
  <c r="H32" i="72"/>
  <c r="H34" i="72" s="1"/>
  <c r="I32" i="72"/>
  <c r="I34" i="72" s="1"/>
  <c r="J32" i="72"/>
  <c r="J34" i="72" s="1"/>
  <c r="K32" i="72"/>
  <c r="K34" i="72" s="1"/>
  <c r="L32" i="72"/>
  <c r="L34" i="72" s="1"/>
  <c r="M32" i="72"/>
  <c r="M34" i="72" s="1"/>
  <c r="O32" i="72"/>
  <c r="T43" i="78" l="1"/>
  <c r="U45" i="78"/>
  <c r="T45" i="78"/>
  <c r="F34" i="72"/>
  <c r="B32" i="107"/>
  <c r="C32" i="107"/>
  <c r="D32" i="107"/>
  <c r="E32" i="107"/>
  <c r="F32" i="107"/>
  <c r="G32" i="107"/>
  <c r="H32" i="107"/>
  <c r="I32" i="107"/>
  <c r="J32" i="107"/>
  <c r="K32" i="107"/>
  <c r="L32" i="107"/>
  <c r="M32" i="107"/>
  <c r="N32" i="107"/>
  <c r="O32" i="107"/>
  <c r="P32" i="107"/>
  <c r="B33" i="107"/>
  <c r="C33" i="107"/>
  <c r="D33" i="107"/>
  <c r="E33" i="107"/>
  <c r="F33" i="107"/>
  <c r="G33" i="107"/>
  <c r="H33" i="107"/>
  <c r="I33" i="107"/>
  <c r="J33" i="107"/>
  <c r="K33" i="107"/>
  <c r="L33" i="107"/>
  <c r="M33" i="107"/>
  <c r="N33" i="107"/>
  <c r="O33" i="107"/>
  <c r="P33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B35" i="107"/>
  <c r="C35" i="107"/>
  <c r="D35" i="107"/>
  <c r="E35" i="107"/>
  <c r="F35" i="107"/>
  <c r="G35" i="107"/>
  <c r="H35" i="107"/>
  <c r="I35" i="107"/>
  <c r="J35" i="107"/>
  <c r="K35" i="107"/>
  <c r="L35" i="107"/>
  <c r="M35" i="107"/>
  <c r="N35" i="107"/>
  <c r="O35" i="107"/>
  <c r="P35" i="107"/>
  <c r="B36" i="107"/>
  <c r="C36" i="107"/>
  <c r="D36" i="107"/>
  <c r="E36" i="107"/>
  <c r="F36" i="107"/>
  <c r="G36" i="107"/>
  <c r="H36" i="107"/>
  <c r="I36" i="107"/>
  <c r="J36" i="107"/>
  <c r="K36" i="107"/>
  <c r="L36" i="107"/>
  <c r="M36" i="107"/>
  <c r="N36" i="107"/>
  <c r="O36" i="107"/>
  <c r="P36" i="107"/>
  <c r="C37" i="107"/>
  <c r="C39" i="107" s="1"/>
  <c r="D37" i="107"/>
  <c r="D39" i="107" s="1"/>
  <c r="E37" i="107"/>
  <c r="E39" i="107" s="1"/>
  <c r="F37" i="107"/>
  <c r="F39" i="107" s="1"/>
  <c r="G37" i="107"/>
  <c r="G39" i="107" s="1"/>
  <c r="H37" i="107"/>
  <c r="H39" i="107" s="1"/>
  <c r="I37" i="107"/>
  <c r="I39" i="107" s="1"/>
  <c r="J37" i="107"/>
  <c r="J39" i="107" s="1"/>
  <c r="K37" i="107"/>
  <c r="K39" i="107" s="1"/>
  <c r="L37" i="107"/>
  <c r="L39" i="107" s="1"/>
  <c r="M37" i="107"/>
  <c r="M39" i="107" s="1"/>
  <c r="N37" i="107"/>
  <c r="N39" i="107" s="1"/>
  <c r="O37" i="107"/>
  <c r="O39" i="107" s="1"/>
  <c r="P37" i="107"/>
  <c r="P39" i="107" s="1"/>
  <c r="B37" i="107"/>
  <c r="B39" i="107" s="1"/>
  <c r="P32" i="106"/>
  <c r="O32" i="106"/>
  <c r="N32" i="106"/>
  <c r="G32" i="106"/>
  <c r="H32" i="106"/>
  <c r="I32" i="106"/>
  <c r="J32" i="106"/>
  <c r="K32" i="106"/>
  <c r="L32" i="106"/>
  <c r="M32" i="106"/>
  <c r="C4" i="104"/>
  <c r="D4" i="104" s="1"/>
  <c r="P48" i="99"/>
  <c r="C39" i="99"/>
  <c r="D39" i="99"/>
  <c r="E39" i="99"/>
  <c r="F39" i="99"/>
  <c r="G39" i="99"/>
  <c r="H39" i="99"/>
  <c r="I39" i="99"/>
  <c r="J39" i="99"/>
  <c r="K39" i="99"/>
  <c r="L39" i="99"/>
  <c r="M39" i="99"/>
  <c r="N39" i="99"/>
  <c r="O39" i="99"/>
  <c r="P39" i="99"/>
  <c r="B39" i="99"/>
  <c r="P5" i="85"/>
  <c r="P6" i="85" s="1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C32" i="27"/>
  <c r="S29" i="27"/>
  <c r="S24" i="27"/>
  <c r="H64" i="27"/>
  <c r="P30" i="27"/>
  <c r="R25" i="27"/>
  <c r="R24" i="27"/>
  <c r="Q25" i="27"/>
  <c r="Q24" i="27"/>
  <c r="P25" i="27"/>
  <c r="K40" i="87"/>
  <c r="G40" i="88"/>
  <c r="H38" i="88"/>
  <c r="S32" i="67"/>
  <c r="R32" i="67"/>
  <c r="S31" i="67"/>
  <c r="R31" i="67"/>
  <c r="S137" i="78"/>
  <c r="R137" i="78"/>
  <c r="F53" i="7"/>
  <c r="F54" i="7" s="1"/>
  <c r="R33" i="43"/>
  <c r="R44" i="43" s="1"/>
  <c r="R31" i="43"/>
  <c r="R42" i="43" s="1"/>
  <c r="R32" i="43"/>
  <c r="R43" i="43" s="1"/>
  <c r="R34" i="43"/>
  <c r="R45" i="43" s="1"/>
  <c r="R35" i="43"/>
  <c r="R46" i="43" s="1"/>
  <c r="R36" i="43"/>
  <c r="R47" i="43" s="1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P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P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P47" i="43"/>
  <c r="P36" i="43"/>
  <c r="P34" i="15"/>
  <c r="P30" i="26"/>
  <c r="P35" i="31"/>
  <c r="P31" i="69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B43" i="37"/>
  <c r="B37" i="37"/>
  <c r="C37" i="37"/>
  <c r="D37" i="37"/>
  <c r="L37" i="37"/>
  <c r="M37" i="37"/>
  <c r="N37" i="37"/>
  <c r="O37" i="37"/>
  <c r="P37" i="37"/>
  <c r="B38" i="37"/>
  <c r="C38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B39" i="37"/>
  <c r="C39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B40" i="37"/>
  <c r="C40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B41" i="37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B42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B44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A36" i="37"/>
  <c r="B29" i="70"/>
  <c r="C29" i="70"/>
  <c r="D29" i="70"/>
  <c r="E29" i="70"/>
  <c r="F29" i="70"/>
  <c r="G29" i="70"/>
  <c r="H29" i="70"/>
  <c r="I29" i="70"/>
  <c r="J29" i="70"/>
  <c r="K29" i="70"/>
  <c r="L29" i="70"/>
  <c r="M29" i="70"/>
  <c r="N29" i="70"/>
  <c r="O29" i="70"/>
  <c r="P29" i="70"/>
  <c r="Q38" i="97"/>
  <c r="Q39" i="97"/>
  <c r="Q40" i="97"/>
  <c r="Q41" i="97"/>
  <c r="Q37" i="97"/>
  <c r="A46" i="97"/>
  <c r="B46" i="97"/>
  <c r="C46" i="97"/>
  <c r="D46" i="97"/>
  <c r="E46" i="97"/>
  <c r="F46" i="97"/>
  <c r="G46" i="97"/>
  <c r="H46" i="97"/>
  <c r="I46" i="97"/>
  <c r="J46" i="97"/>
  <c r="K46" i="97"/>
  <c r="L46" i="97"/>
  <c r="M46" i="97"/>
  <c r="N46" i="97"/>
  <c r="O46" i="97"/>
  <c r="A36" i="97"/>
  <c r="P35" i="97"/>
  <c r="O35" i="97"/>
  <c r="N35" i="97"/>
  <c r="M35" i="97"/>
  <c r="L35" i="97"/>
  <c r="D35" i="97"/>
  <c r="C35" i="97"/>
  <c r="B35" i="97"/>
  <c r="A40" i="96"/>
  <c r="P39" i="96"/>
  <c r="O39" i="96"/>
  <c r="N39" i="96"/>
  <c r="M39" i="96"/>
  <c r="L39" i="96"/>
  <c r="K39" i="96"/>
  <c r="J39" i="96"/>
  <c r="I39" i="96"/>
  <c r="H39" i="96"/>
  <c r="G39" i="96"/>
  <c r="F39" i="96"/>
  <c r="E39" i="96"/>
  <c r="D39" i="96"/>
  <c r="C39" i="96"/>
  <c r="B39" i="96"/>
  <c r="A39" i="96"/>
  <c r="P38" i="96"/>
  <c r="O38" i="96"/>
  <c r="N38" i="96"/>
  <c r="M38" i="96"/>
  <c r="L38" i="96"/>
  <c r="K38" i="96"/>
  <c r="J38" i="96"/>
  <c r="I38" i="96"/>
  <c r="H38" i="96"/>
  <c r="G38" i="96"/>
  <c r="F38" i="96"/>
  <c r="E38" i="96"/>
  <c r="D38" i="96"/>
  <c r="C38" i="96"/>
  <c r="B38" i="96"/>
  <c r="A38" i="96"/>
  <c r="P37" i="96"/>
  <c r="O37" i="96"/>
  <c r="N37" i="96"/>
  <c r="M37" i="96"/>
  <c r="L37" i="96"/>
  <c r="K37" i="96"/>
  <c r="J37" i="96"/>
  <c r="I37" i="96"/>
  <c r="H37" i="96"/>
  <c r="G37" i="96"/>
  <c r="F37" i="96"/>
  <c r="E37" i="96"/>
  <c r="D37" i="96"/>
  <c r="C37" i="96"/>
  <c r="B37" i="96"/>
  <c r="A37" i="96"/>
  <c r="P36" i="96"/>
  <c r="O36" i="96"/>
  <c r="N36" i="96"/>
  <c r="M36" i="96"/>
  <c r="L36" i="96"/>
  <c r="K36" i="96"/>
  <c r="J36" i="96"/>
  <c r="I36" i="96"/>
  <c r="H36" i="96"/>
  <c r="G36" i="96"/>
  <c r="F36" i="96"/>
  <c r="E36" i="96"/>
  <c r="D36" i="96"/>
  <c r="C36" i="96"/>
  <c r="B36" i="96"/>
  <c r="A36" i="96"/>
  <c r="B35" i="96"/>
  <c r="A35" i="96"/>
  <c r="P34" i="96"/>
  <c r="O34" i="96"/>
  <c r="N34" i="96"/>
  <c r="M34" i="96"/>
  <c r="L34" i="96"/>
  <c r="D34" i="96"/>
  <c r="C34" i="96"/>
  <c r="B34" i="96"/>
  <c r="A33" i="96"/>
  <c r="B43" i="72"/>
  <c r="B36" i="72" s="1"/>
  <c r="B31" i="72" s="1"/>
  <c r="C43" i="72"/>
  <c r="C36" i="72" s="1"/>
  <c r="C31" i="72" s="1"/>
  <c r="D43" i="72"/>
  <c r="D36" i="72" s="1"/>
  <c r="D31" i="72" s="1"/>
  <c r="E43" i="72"/>
  <c r="E36" i="72" s="1"/>
  <c r="F43" i="72"/>
  <c r="G43" i="72"/>
  <c r="G36" i="72" s="1"/>
  <c r="G32" i="72" s="1"/>
  <c r="G34" i="72" s="1"/>
  <c r="G38" i="72" s="1"/>
  <c r="H43" i="72"/>
  <c r="H38" i="72" s="1"/>
  <c r="I43" i="72"/>
  <c r="I38" i="72" s="1"/>
  <c r="J43" i="72"/>
  <c r="J38" i="72" s="1"/>
  <c r="K43" i="72"/>
  <c r="K38" i="72" s="1"/>
  <c r="L43" i="72"/>
  <c r="L38" i="72" s="1"/>
  <c r="M43" i="72"/>
  <c r="M38" i="72" s="1"/>
  <c r="N43" i="72"/>
  <c r="N38" i="72" s="1"/>
  <c r="O43" i="72"/>
  <c r="O38" i="72" s="1"/>
  <c r="P43" i="72"/>
  <c r="P36" i="95"/>
  <c r="P37" i="95"/>
  <c r="P38" i="95"/>
  <c r="P39" i="95"/>
  <c r="O36" i="95"/>
  <c r="O37" i="95"/>
  <c r="O38" i="95"/>
  <c r="O39" i="95"/>
  <c r="P34" i="95"/>
  <c r="A33" i="95"/>
  <c r="B34" i="95"/>
  <c r="C34" i="95"/>
  <c r="D34" i="95"/>
  <c r="L34" i="95"/>
  <c r="M34" i="95"/>
  <c r="N34" i="95"/>
  <c r="O34" i="95"/>
  <c r="A35" i="95"/>
  <c r="B35" i="95"/>
  <c r="A36" i="95"/>
  <c r="B36" i="95"/>
  <c r="C36" i="95"/>
  <c r="D36" i="95"/>
  <c r="E36" i="95"/>
  <c r="F36" i="95"/>
  <c r="G36" i="95"/>
  <c r="H36" i="95"/>
  <c r="I36" i="95"/>
  <c r="J36" i="95"/>
  <c r="K36" i="95"/>
  <c r="L36" i="95"/>
  <c r="M36" i="95"/>
  <c r="N36" i="95"/>
  <c r="A37" i="95"/>
  <c r="B37" i="95"/>
  <c r="C37" i="95"/>
  <c r="D37" i="95"/>
  <c r="E37" i="95"/>
  <c r="F37" i="95"/>
  <c r="G37" i="95"/>
  <c r="H37" i="95"/>
  <c r="I37" i="95"/>
  <c r="J37" i="95"/>
  <c r="K37" i="95"/>
  <c r="L37" i="95"/>
  <c r="M37" i="95"/>
  <c r="N37" i="95"/>
  <c r="A38" i="95"/>
  <c r="B38" i="95"/>
  <c r="C38" i="95"/>
  <c r="D38" i="95"/>
  <c r="E38" i="95"/>
  <c r="F38" i="95"/>
  <c r="G38" i="95"/>
  <c r="H38" i="95"/>
  <c r="I38" i="95"/>
  <c r="J38" i="95"/>
  <c r="K38" i="95"/>
  <c r="L38" i="95"/>
  <c r="M38" i="95"/>
  <c r="N38" i="95"/>
  <c r="A39" i="95"/>
  <c r="B39" i="95"/>
  <c r="C39" i="95"/>
  <c r="D39" i="95"/>
  <c r="E39" i="95"/>
  <c r="F39" i="95"/>
  <c r="G39" i="95"/>
  <c r="H39" i="95"/>
  <c r="I39" i="95"/>
  <c r="J39" i="95"/>
  <c r="K39" i="95"/>
  <c r="L39" i="95"/>
  <c r="M39" i="95"/>
  <c r="N39" i="95"/>
  <c r="A40" i="95"/>
  <c r="A33" i="94"/>
  <c r="B34" i="94"/>
  <c r="C34" i="94"/>
  <c r="D34" i="94"/>
  <c r="L34" i="94"/>
  <c r="M34" i="94"/>
  <c r="N34" i="94"/>
  <c r="O34" i="94"/>
  <c r="P34" i="94"/>
  <c r="A35" i="94"/>
  <c r="B35" i="94"/>
  <c r="A36" i="94"/>
  <c r="B36" i="94"/>
  <c r="C36" i="94"/>
  <c r="D36" i="94"/>
  <c r="E36" i="94"/>
  <c r="F36" i="94"/>
  <c r="G36" i="94"/>
  <c r="H36" i="94"/>
  <c r="I36" i="94"/>
  <c r="J36" i="94"/>
  <c r="K36" i="94"/>
  <c r="L36" i="94"/>
  <c r="M36" i="94"/>
  <c r="N36" i="94"/>
  <c r="O36" i="94"/>
  <c r="P36" i="94"/>
  <c r="A37" i="94"/>
  <c r="B37" i="94"/>
  <c r="C37" i="94"/>
  <c r="D37" i="94"/>
  <c r="E37" i="94"/>
  <c r="F37" i="94"/>
  <c r="G37" i="94"/>
  <c r="H37" i="94"/>
  <c r="I37" i="94"/>
  <c r="J37" i="94"/>
  <c r="K37" i="94"/>
  <c r="L37" i="94"/>
  <c r="M37" i="94"/>
  <c r="N37" i="94"/>
  <c r="O37" i="94"/>
  <c r="P37" i="94"/>
  <c r="A38" i="94"/>
  <c r="B38" i="94"/>
  <c r="C38" i="94"/>
  <c r="D38" i="94"/>
  <c r="E38" i="94"/>
  <c r="F38" i="94"/>
  <c r="G38" i="94"/>
  <c r="H38" i="94"/>
  <c r="I38" i="94"/>
  <c r="J38" i="94"/>
  <c r="K38" i="94"/>
  <c r="L38" i="94"/>
  <c r="M38" i="94"/>
  <c r="N38" i="94"/>
  <c r="O38" i="94"/>
  <c r="P38" i="94"/>
  <c r="A39" i="94"/>
  <c r="B39" i="94"/>
  <c r="C39" i="94"/>
  <c r="D39" i="94"/>
  <c r="E39" i="94"/>
  <c r="F39" i="94"/>
  <c r="G39" i="94"/>
  <c r="H39" i="94"/>
  <c r="I39" i="94"/>
  <c r="J39" i="94"/>
  <c r="K39" i="94"/>
  <c r="L39" i="94"/>
  <c r="M39" i="94"/>
  <c r="N39" i="94"/>
  <c r="O39" i="94"/>
  <c r="P39" i="94"/>
  <c r="A40" i="94"/>
  <c r="Q203" i="78"/>
  <c r="Q204" i="78"/>
  <c r="Q205" i="78"/>
  <c r="Q202" i="78"/>
  <c r="K34" i="96"/>
  <c r="B206" i="78"/>
  <c r="B40" i="96" s="1"/>
  <c r="J34" i="96"/>
  <c r="I34" i="96"/>
  <c r="H34" i="96"/>
  <c r="G34" i="96"/>
  <c r="F34" i="96"/>
  <c r="E34" i="96"/>
  <c r="H29" i="88"/>
  <c r="H28" i="88"/>
  <c r="H27" i="88"/>
  <c r="H26" i="88"/>
  <c r="H25" i="88"/>
  <c r="H24" i="88"/>
  <c r="I140" i="78"/>
  <c r="C44" i="7" s="1"/>
  <c r="H140" i="78"/>
  <c r="C43" i="7" s="1"/>
  <c r="K130" i="78"/>
  <c r="G505" i="78"/>
  <c r="K34" i="94"/>
  <c r="C221" i="78"/>
  <c r="D221" i="78"/>
  <c r="E221" i="78"/>
  <c r="F221" i="78"/>
  <c r="G221" i="78"/>
  <c r="H221" i="78"/>
  <c r="H35" i="94" s="1"/>
  <c r="I221" i="78"/>
  <c r="J221" i="78"/>
  <c r="K221" i="78"/>
  <c r="L221" i="78"/>
  <c r="M221" i="78"/>
  <c r="N221" i="78"/>
  <c r="P221" i="78"/>
  <c r="O221" i="78"/>
  <c r="B226" i="78"/>
  <c r="B40" i="94" s="1"/>
  <c r="J34" i="94"/>
  <c r="I34" i="94"/>
  <c r="H34" i="94"/>
  <c r="G34" i="94"/>
  <c r="F34" i="94"/>
  <c r="E34" i="94"/>
  <c r="B216" i="78"/>
  <c r="B40" i="95" s="1"/>
  <c r="C211" i="78"/>
  <c r="D211" i="78"/>
  <c r="E211" i="78"/>
  <c r="E35" i="95" s="1"/>
  <c r="F211" i="78"/>
  <c r="F35" i="95" s="1"/>
  <c r="G211" i="78"/>
  <c r="G35" i="95" s="1"/>
  <c r="H211" i="78"/>
  <c r="H35" i="95" s="1"/>
  <c r="I211" i="78"/>
  <c r="I35" i="95" s="1"/>
  <c r="J211" i="78"/>
  <c r="J35" i="95" s="1"/>
  <c r="K211" i="78"/>
  <c r="K35" i="95" s="1"/>
  <c r="L211" i="78"/>
  <c r="M211" i="78"/>
  <c r="N211" i="78"/>
  <c r="P211" i="78"/>
  <c r="O211" i="78"/>
  <c r="P234" i="78"/>
  <c r="P33" i="80" s="1"/>
  <c r="C29" i="92"/>
  <c r="D29" i="92"/>
  <c r="E29" i="92"/>
  <c r="F29" i="92"/>
  <c r="G29" i="92"/>
  <c r="H29" i="92"/>
  <c r="I29" i="92"/>
  <c r="J29" i="92"/>
  <c r="K29" i="92"/>
  <c r="L29" i="92"/>
  <c r="M29" i="92"/>
  <c r="N29" i="92"/>
  <c r="O29" i="92"/>
  <c r="P29" i="92"/>
  <c r="Q29" i="92"/>
  <c r="C30" i="92"/>
  <c r="D30" i="92"/>
  <c r="E30" i="92"/>
  <c r="F30" i="92"/>
  <c r="G30" i="92"/>
  <c r="H30" i="92"/>
  <c r="I30" i="92"/>
  <c r="J30" i="92"/>
  <c r="K30" i="92"/>
  <c r="L30" i="92"/>
  <c r="M30" i="92"/>
  <c r="N30" i="92"/>
  <c r="O30" i="92"/>
  <c r="P30" i="92"/>
  <c r="Q30" i="92"/>
  <c r="C33" i="92"/>
  <c r="D33" i="92"/>
  <c r="E33" i="92"/>
  <c r="F33" i="92"/>
  <c r="G33" i="92"/>
  <c r="H33" i="92"/>
  <c r="I33" i="92"/>
  <c r="J33" i="92"/>
  <c r="K33" i="92"/>
  <c r="L33" i="92"/>
  <c r="M33" i="92"/>
  <c r="N33" i="92"/>
  <c r="O33" i="92"/>
  <c r="P33" i="92"/>
  <c r="Q33" i="92"/>
  <c r="C34" i="92"/>
  <c r="D34" i="92"/>
  <c r="E34" i="92"/>
  <c r="F34" i="92"/>
  <c r="G34" i="92"/>
  <c r="H34" i="92"/>
  <c r="I34" i="92"/>
  <c r="J34" i="92"/>
  <c r="K34" i="92"/>
  <c r="L34" i="92"/>
  <c r="M34" i="92"/>
  <c r="N34" i="92"/>
  <c r="O34" i="92"/>
  <c r="P34" i="92"/>
  <c r="Q34" i="92"/>
  <c r="C31" i="92"/>
  <c r="D31" i="92"/>
  <c r="E31" i="92"/>
  <c r="F31" i="92"/>
  <c r="G31" i="92"/>
  <c r="H31" i="92"/>
  <c r="I31" i="92"/>
  <c r="J31" i="92"/>
  <c r="K31" i="92"/>
  <c r="L31" i="92"/>
  <c r="M31" i="92"/>
  <c r="N31" i="92"/>
  <c r="O31" i="92"/>
  <c r="P31" i="92"/>
  <c r="Q31" i="92"/>
  <c r="C32" i="92"/>
  <c r="D32" i="92"/>
  <c r="E32" i="92"/>
  <c r="F32" i="92"/>
  <c r="G32" i="92"/>
  <c r="H32" i="92"/>
  <c r="I32" i="92"/>
  <c r="J32" i="92"/>
  <c r="K32" i="92"/>
  <c r="L32" i="92"/>
  <c r="M32" i="92"/>
  <c r="N32" i="92"/>
  <c r="O32" i="92"/>
  <c r="P32" i="92"/>
  <c r="Q32" i="92"/>
  <c r="C28" i="92"/>
  <c r="D28" i="92"/>
  <c r="E28" i="92"/>
  <c r="F28" i="92"/>
  <c r="G28" i="92"/>
  <c r="H28" i="92"/>
  <c r="H37" i="92" s="1"/>
  <c r="I28" i="92"/>
  <c r="J28" i="92"/>
  <c r="K28" i="92"/>
  <c r="L28" i="92"/>
  <c r="M28" i="92"/>
  <c r="N28" i="92"/>
  <c r="O28" i="92"/>
  <c r="P28" i="92"/>
  <c r="P37" i="92" s="1"/>
  <c r="Q28" i="92"/>
  <c r="C35" i="92"/>
  <c r="D35" i="92"/>
  <c r="E35" i="92"/>
  <c r="F35" i="92"/>
  <c r="G35" i="92"/>
  <c r="H35" i="92"/>
  <c r="I35" i="92"/>
  <c r="J35" i="92"/>
  <c r="K35" i="92"/>
  <c r="L35" i="92"/>
  <c r="M35" i="92"/>
  <c r="N35" i="92"/>
  <c r="O35" i="92"/>
  <c r="P35" i="92"/>
  <c r="Q35" i="92"/>
  <c r="C36" i="92"/>
  <c r="D36" i="92"/>
  <c r="E36" i="92"/>
  <c r="F36" i="92"/>
  <c r="G36" i="92"/>
  <c r="H36" i="92"/>
  <c r="I36" i="92"/>
  <c r="J36" i="92"/>
  <c r="K36" i="92"/>
  <c r="L36" i="92"/>
  <c r="M36" i="92"/>
  <c r="N36" i="92"/>
  <c r="O36" i="92"/>
  <c r="P36" i="92"/>
  <c r="Q36" i="92"/>
  <c r="B29" i="74"/>
  <c r="C29" i="74"/>
  <c r="D29" i="74"/>
  <c r="E29" i="74"/>
  <c r="F29" i="74"/>
  <c r="G29" i="74"/>
  <c r="H29" i="74"/>
  <c r="I29" i="74"/>
  <c r="J29" i="74"/>
  <c r="K29" i="74"/>
  <c r="L29" i="74"/>
  <c r="M29" i="74"/>
  <c r="N29" i="74"/>
  <c r="O29" i="74"/>
  <c r="P29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B28" i="74"/>
  <c r="C30" i="64"/>
  <c r="D30" i="64"/>
  <c r="E30" i="64"/>
  <c r="F30" i="64"/>
  <c r="G30" i="64"/>
  <c r="H30" i="64"/>
  <c r="I30" i="64"/>
  <c r="J30" i="64"/>
  <c r="K30" i="64"/>
  <c r="L30" i="64"/>
  <c r="M30" i="64"/>
  <c r="N30" i="64"/>
  <c r="O30" i="64"/>
  <c r="P30" i="64"/>
  <c r="B30" i="64"/>
  <c r="C29" i="64"/>
  <c r="D29" i="64"/>
  <c r="E29" i="64"/>
  <c r="F29" i="64"/>
  <c r="G29" i="64"/>
  <c r="H29" i="64"/>
  <c r="I29" i="64"/>
  <c r="J29" i="64"/>
  <c r="K29" i="64"/>
  <c r="L29" i="64"/>
  <c r="M29" i="64"/>
  <c r="N29" i="64"/>
  <c r="O29" i="64"/>
  <c r="P29" i="64"/>
  <c r="B29" i="64"/>
  <c r="P28" i="64"/>
  <c r="O28" i="64"/>
  <c r="N28" i="64"/>
  <c r="M28" i="64"/>
  <c r="L28" i="64"/>
  <c r="K28" i="64"/>
  <c r="J28" i="64"/>
  <c r="I28" i="64"/>
  <c r="H28" i="64"/>
  <c r="G28" i="64"/>
  <c r="F28" i="64"/>
  <c r="E28" i="64"/>
  <c r="D28" i="64"/>
  <c r="C28" i="64"/>
  <c r="B28" i="64"/>
  <c r="P32" i="80"/>
  <c r="P31" i="80"/>
  <c r="P30" i="80"/>
  <c r="C44" i="16"/>
  <c r="D44" i="16"/>
  <c r="E44" i="16"/>
  <c r="F44" i="16"/>
  <c r="B44" i="16"/>
  <c r="G450" i="78"/>
  <c r="G451" i="78"/>
  <c r="G452" i="78"/>
  <c r="B453" i="78"/>
  <c r="C453" i="78"/>
  <c r="D453" i="78"/>
  <c r="E453" i="78"/>
  <c r="F453" i="78"/>
  <c r="C436" i="78"/>
  <c r="D436" i="78"/>
  <c r="E436" i="78"/>
  <c r="F436" i="78"/>
  <c r="G436" i="78"/>
  <c r="H436" i="78"/>
  <c r="B436" i="78"/>
  <c r="C428" i="78"/>
  <c r="D428" i="78"/>
  <c r="E428" i="78"/>
  <c r="F428" i="78"/>
  <c r="G428" i="78"/>
  <c r="H428" i="78"/>
  <c r="B428" i="78"/>
  <c r="C423" i="78"/>
  <c r="D423" i="78"/>
  <c r="E423" i="78"/>
  <c r="F423" i="78"/>
  <c r="G423" i="78"/>
  <c r="H423" i="78"/>
  <c r="B423" i="78"/>
  <c r="P335" i="78"/>
  <c r="P407" i="78"/>
  <c r="P397" i="78"/>
  <c r="P542" i="78"/>
  <c r="I53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P53" i="18"/>
  <c r="O53" i="18"/>
  <c r="N53" i="18"/>
  <c r="M53" i="18"/>
  <c r="L53" i="18"/>
  <c r="K53" i="18"/>
  <c r="J53" i="18"/>
  <c r="H53" i="18"/>
  <c r="G53" i="18"/>
  <c r="F53" i="18"/>
  <c r="E53" i="18"/>
  <c r="D53" i="18"/>
  <c r="C53" i="18"/>
  <c r="B53" i="18"/>
  <c r="Q53" i="18" s="1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Q49" i="18" s="1"/>
  <c r="P29" i="91"/>
  <c r="P31" i="91" s="1"/>
  <c r="P33" i="91" s="1"/>
  <c r="N29" i="91"/>
  <c r="N31" i="91" s="1"/>
  <c r="O29" i="91"/>
  <c r="O31" i="91" s="1"/>
  <c r="L29" i="91"/>
  <c r="L31" i="91" s="1"/>
  <c r="L33" i="91" s="1"/>
  <c r="M29" i="91"/>
  <c r="J29" i="91"/>
  <c r="J31" i="91" s="1"/>
  <c r="K29" i="91"/>
  <c r="K31" i="91" s="1"/>
  <c r="K33" i="91" s="1"/>
  <c r="P369" i="78"/>
  <c r="I29" i="91"/>
  <c r="I31" i="91" s="1"/>
  <c r="I33" i="91" s="1"/>
  <c r="H29" i="91"/>
  <c r="H31" i="91" s="1"/>
  <c r="P379" i="78"/>
  <c r="C33" i="91"/>
  <c r="D33" i="91"/>
  <c r="P351" i="78"/>
  <c r="P346" i="78"/>
  <c r="G31" i="91"/>
  <c r="G33" i="91" s="1"/>
  <c r="F31" i="91"/>
  <c r="F33" i="91" s="1"/>
  <c r="E31" i="91"/>
  <c r="E33" i="91" s="1"/>
  <c r="D31" i="91"/>
  <c r="C31" i="91"/>
  <c r="B31" i="91"/>
  <c r="B33" i="91" s="1"/>
  <c r="P314" i="78"/>
  <c r="P309" i="78"/>
  <c r="P288" i="78"/>
  <c r="P291" i="78" s="1"/>
  <c r="P271" i="78"/>
  <c r="P274" i="78" s="1"/>
  <c r="P254" i="78"/>
  <c r="P245" i="78"/>
  <c r="P196" i="78"/>
  <c r="G44" i="16" s="1"/>
  <c r="P178" i="78"/>
  <c r="P158" i="78"/>
  <c r="P154" i="78"/>
  <c r="E51" i="7" s="1"/>
  <c r="P146" i="78"/>
  <c r="D51" i="7" s="1"/>
  <c r="P140" i="78"/>
  <c r="P128" i="78"/>
  <c r="P124" i="78"/>
  <c r="P98" i="78"/>
  <c r="P82" i="78"/>
  <c r="P71" i="78"/>
  <c r="P61" i="78"/>
  <c r="P54" i="78"/>
  <c r="P47" i="78"/>
  <c r="P40" i="78"/>
  <c r="P32" i="78"/>
  <c r="H37" i="88"/>
  <c r="H36" i="88"/>
  <c r="H35" i="88"/>
  <c r="H34" i="88"/>
  <c r="H33" i="88"/>
  <c r="H32" i="88"/>
  <c r="H31" i="88"/>
  <c r="H30" i="88"/>
  <c r="G40" i="87"/>
  <c r="J40" i="87" s="1"/>
  <c r="K39" i="87"/>
  <c r="G39" i="87"/>
  <c r="J39" i="87" s="1"/>
  <c r="K38" i="87"/>
  <c r="G38" i="87"/>
  <c r="K37" i="87"/>
  <c r="G37" i="87"/>
  <c r="J37" i="87" s="1"/>
  <c r="K36" i="87"/>
  <c r="G36" i="87"/>
  <c r="J36" i="87" s="1"/>
  <c r="K35" i="87"/>
  <c r="G35" i="87"/>
  <c r="K34" i="87"/>
  <c r="G34" i="87"/>
  <c r="K33" i="87"/>
  <c r="G33" i="87"/>
  <c r="J33" i="87" s="1"/>
  <c r="K32" i="87"/>
  <c r="G32" i="87"/>
  <c r="K31" i="87"/>
  <c r="G31" i="87"/>
  <c r="J32" i="87" s="1"/>
  <c r="K30" i="87"/>
  <c r="G30" i="87"/>
  <c r="J30" i="87" s="1"/>
  <c r="K29" i="87"/>
  <c r="G29" i="87"/>
  <c r="K28" i="87"/>
  <c r="G28" i="87"/>
  <c r="K27" i="87"/>
  <c r="G27" i="87"/>
  <c r="J28" i="87" s="1"/>
  <c r="G26" i="87"/>
  <c r="K29" i="27"/>
  <c r="O33" i="80"/>
  <c r="N33" i="80"/>
  <c r="M33" i="80"/>
  <c r="L33" i="80"/>
  <c r="K33" i="80"/>
  <c r="J33" i="80"/>
  <c r="I33" i="80"/>
  <c r="H33" i="80"/>
  <c r="G33" i="80"/>
  <c r="F33" i="80"/>
  <c r="E33" i="80"/>
  <c r="D33" i="80"/>
  <c r="C33" i="80"/>
  <c r="B33" i="80"/>
  <c r="B234" i="78"/>
  <c r="C234" i="78"/>
  <c r="D234" i="78"/>
  <c r="E234" i="78"/>
  <c r="F234" i="78"/>
  <c r="G234" i="78"/>
  <c r="H234" i="78"/>
  <c r="I234" i="78"/>
  <c r="J234" i="78"/>
  <c r="K234" i="78"/>
  <c r="L234" i="78"/>
  <c r="M234" i="78"/>
  <c r="N234" i="78"/>
  <c r="O234" i="78"/>
  <c r="O542" i="78"/>
  <c r="N542" i="78"/>
  <c r="M542" i="78"/>
  <c r="L542" i="78"/>
  <c r="K542" i="78"/>
  <c r="J542" i="78"/>
  <c r="I542" i="78"/>
  <c r="H542" i="78"/>
  <c r="G542" i="78"/>
  <c r="F542" i="78"/>
  <c r="E542" i="78"/>
  <c r="D542" i="78"/>
  <c r="C542" i="78"/>
  <c r="B542" i="78"/>
  <c r="G528" i="78"/>
  <c r="F527" i="78"/>
  <c r="E527" i="78"/>
  <c r="D527" i="78"/>
  <c r="C527" i="78"/>
  <c r="B527" i="78"/>
  <c r="G526" i="78"/>
  <c r="G525" i="78"/>
  <c r="G524" i="78"/>
  <c r="G523" i="78"/>
  <c r="G521" i="78"/>
  <c r="F520" i="78"/>
  <c r="E520" i="78"/>
  <c r="D520" i="78"/>
  <c r="C520" i="78"/>
  <c r="B520" i="78"/>
  <c r="G519" i="78"/>
  <c r="G518" i="78"/>
  <c r="G517" i="78"/>
  <c r="G516" i="78"/>
  <c r="G514" i="78"/>
  <c r="F513" i="78"/>
  <c r="E513" i="78"/>
  <c r="D513" i="78"/>
  <c r="C513" i="78"/>
  <c r="B513" i="78"/>
  <c r="G512" i="78"/>
  <c r="G511" i="78"/>
  <c r="G510" i="78"/>
  <c r="G509" i="78"/>
  <c r="G507" i="78"/>
  <c r="F506" i="78"/>
  <c r="E506" i="78"/>
  <c r="D506" i="78"/>
  <c r="C506" i="78"/>
  <c r="B506" i="78"/>
  <c r="G504" i="78"/>
  <c r="G503" i="78"/>
  <c r="G502" i="78"/>
  <c r="F500" i="78"/>
  <c r="E500" i="78"/>
  <c r="D500" i="78"/>
  <c r="B500" i="78"/>
  <c r="G499" i="78"/>
  <c r="C498" i="78"/>
  <c r="C497" i="78"/>
  <c r="G497" i="78" s="1"/>
  <c r="G496" i="78"/>
  <c r="F494" i="78"/>
  <c r="E494" i="78"/>
  <c r="D494" i="78"/>
  <c r="C494" i="78"/>
  <c r="B494" i="78"/>
  <c r="G493" i="78"/>
  <c r="G492" i="78"/>
  <c r="G491" i="78"/>
  <c r="F489" i="78"/>
  <c r="E489" i="78"/>
  <c r="D489" i="78"/>
  <c r="C489" i="78"/>
  <c r="B489" i="78"/>
  <c r="G488" i="78"/>
  <c r="G487" i="78"/>
  <c r="G486" i="78"/>
  <c r="F484" i="78"/>
  <c r="E484" i="78"/>
  <c r="D484" i="78"/>
  <c r="C484" i="78"/>
  <c r="B484" i="78"/>
  <c r="G483" i="78"/>
  <c r="G482" i="78"/>
  <c r="G481" i="78"/>
  <c r="F479" i="78"/>
  <c r="E479" i="78"/>
  <c r="D479" i="78"/>
  <c r="C479" i="78"/>
  <c r="B479" i="78"/>
  <c r="G478" i="78"/>
  <c r="G477" i="78"/>
  <c r="G476" i="78"/>
  <c r="F474" i="78"/>
  <c r="E474" i="78"/>
  <c r="D474" i="78"/>
  <c r="C474" i="78"/>
  <c r="B474" i="78"/>
  <c r="G473" i="78"/>
  <c r="G472" i="78"/>
  <c r="G471" i="78"/>
  <c r="F469" i="78"/>
  <c r="E469" i="78"/>
  <c r="D469" i="78"/>
  <c r="C469" i="78"/>
  <c r="B469" i="78"/>
  <c r="G468" i="78"/>
  <c r="G467" i="78"/>
  <c r="G466" i="78"/>
  <c r="F464" i="78"/>
  <c r="E464" i="78"/>
  <c r="D464" i="78"/>
  <c r="C464" i="78"/>
  <c r="B464" i="78"/>
  <c r="G463" i="78"/>
  <c r="G462" i="78"/>
  <c r="G461" i="78"/>
  <c r="F459" i="78"/>
  <c r="E459" i="78"/>
  <c r="D459" i="78"/>
  <c r="C459" i="78"/>
  <c r="B459" i="78"/>
  <c r="G458" i="78"/>
  <c r="G457" i="78"/>
  <c r="G456" i="78"/>
  <c r="G455" i="78"/>
  <c r="F448" i="78"/>
  <c r="E448" i="78"/>
  <c r="D448" i="78"/>
  <c r="C448" i="78"/>
  <c r="B448" i="78"/>
  <c r="G447" i="78"/>
  <c r="G446" i="78"/>
  <c r="G445" i="78"/>
  <c r="R435" i="78"/>
  <c r="Q435" i="78"/>
  <c r="P435" i="78"/>
  <c r="O435" i="78"/>
  <c r="N435" i="78"/>
  <c r="M435" i="78"/>
  <c r="L435" i="78"/>
  <c r="K435" i="78"/>
  <c r="O407" i="78"/>
  <c r="N407" i="78"/>
  <c r="M407" i="78"/>
  <c r="L407" i="78"/>
  <c r="K407" i="78"/>
  <c r="J407" i="78"/>
  <c r="I407" i="78"/>
  <c r="H407" i="78"/>
  <c r="G407" i="78"/>
  <c r="F407" i="78"/>
  <c r="E407" i="78"/>
  <c r="D407" i="78"/>
  <c r="C407" i="78"/>
  <c r="B407" i="78"/>
  <c r="O397" i="78"/>
  <c r="N397" i="78"/>
  <c r="M397" i="78"/>
  <c r="L397" i="78"/>
  <c r="K397" i="78"/>
  <c r="J397" i="78"/>
  <c r="I397" i="78"/>
  <c r="H397" i="78"/>
  <c r="G397" i="78"/>
  <c r="E397" i="78"/>
  <c r="D397" i="78"/>
  <c r="C397" i="78"/>
  <c r="B397" i="78"/>
  <c r="F392" i="78"/>
  <c r="O379" i="78"/>
  <c r="N379" i="78"/>
  <c r="M379" i="78"/>
  <c r="L379" i="78"/>
  <c r="K379" i="78"/>
  <c r="J379" i="78"/>
  <c r="I379" i="78"/>
  <c r="H379" i="78"/>
  <c r="G379" i="78"/>
  <c r="F379" i="78"/>
  <c r="E379" i="78"/>
  <c r="D379" i="78"/>
  <c r="C379" i="78"/>
  <c r="B379" i="78"/>
  <c r="O369" i="78"/>
  <c r="N369" i="78"/>
  <c r="M369" i="78"/>
  <c r="L369" i="78"/>
  <c r="K369" i="78"/>
  <c r="J369" i="78"/>
  <c r="I369" i="78"/>
  <c r="H369" i="78"/>
  <c r="G369" i="78"/>
  <c r="F369" i="78"/>
  <c r="E369" i="78"/>
  <c r="D369" i="78"/>
  <c r="C369" i="78"/>
  <c r="B369" i="78"/>
  <c r="O351" i="78"/>
  <c r="N351" i="78"/>
  <c r="M351" i="78"/>
  <c r="L351" i="78"/>
  <c r="K351" i="78"/>
  <c r="J351" i="78"/>
  <c r="I351" i="78"/>
  <c r="H351" i="78"/>
  <c r="G351" i="78"/>
  <c r="F351" i="78"/>
  <c r="E351" i="78"/>
  <c r="D351" i="78"/>
  <c r="C351" i="78"/>
  <c r="B351" i="78"/>
  <c r="O346" i="78"/>
  <c r="N346" i="78"/>
  <c r="M346" i="78"/>
  <c r="L346" i="78"/>
  <c r="K346" i="78"/>
  <c r="J346" i="78"/>
  <c r="I346" i="78"/>
  <c r="H346" i="78"/>
  <c r="G346" i="78"/>
  <c r="F346" i="78"/>
  <c r="E346" i="78"/>
  <c r="D346" i="78"/>
  <c r="C346" i="78"/>
  <c r="B346" i="78"/>
  <c r="O335" i="78"/>
  <c r="N335" i="78"/>
  <c r="M335" i="78"/>
  <c r="L335" i="78"/>
  <c r="K335" i="78"/>
  <c r="J335" i="78"/>
  <c r="I335" i="78"/>
  <c r="H335" i="78"/>
  <c r="G335" i="78"/>
  <c r="F335" i="78"/>
  <c r="E335" i="78"/>
  <c r="D335" i="78"/>
  <c r="C335" i="78"/>
  <c r="B335" i="78"/>
  <c r="O314" i="78"/>
  <c r="N314" i="78"/>
  <c r="M314" i="78"/>
  <c r="L314" i="78"/>
  <c r="K314" i="78"/>
  <c r="J314" i="78"/>
  <c r="I314" i="78"/>
  <c r="H314" i="78"/>
  <c r="G314" i="78"/>
  <c r="F314" i="78"/>
  <c r="E314" i="78"/>
  <c r="D314" i="78"/>
  <c r="C314" i="78"/>
  <c r="B314" i="78"/>
  <c r="O309" i="78"/>
  <c r="N309" i="78"/>
  <c r="M309" i="78"/>
  <c r="L309" i="78"/>
  <c r="K309" i="78"/>
  <c r="J309" i="78"/>
  <c r="I309" i="78"/>
  <c r="H309" i="78"/>
  <c r="G309" i="78"/>
  <c r="F309" i="78"/>
  <c r="E309" i="78"/>
  <c r="D309" i="78"/>
  <c r="C309" i="78"/>
  <c r="B309" i="78"/>
  <c r="K37" i="37"/>
  <c r="J37" i="37"/>
  <c r="I37" i="37"/>
  <c r="H37" i="37"/>
  <c r="G37" i="37"/>
  <c r="F37" i="37"/>
  <c r="E37" i="37"/>
  <c r="O288" i="78"/>
  <c r="O291" i="78" s="1"/>
  <c r="N288" i="78"/>
  <c r="N291" i="78" s="1"/>
  <c r="M288" i="78"/>
  <c r="M291" i="78" s="1"/>
  <c r="L288" i="78"/>
  <c r="L291" i="78" s="1"/>
  <c r="K288" i="78"/>
  <c r="K291" i="78" s="1"/>
  <c r="J288" i="78"/>
  <c r="J291" i="78" s="1"/>
  <c r="I288" i="78"/>
  <c r="I291" i="78" s="1"/>
  <c r="H288" i="78"/>
  <c r="H291" i="78" s="1"/>
  <c r="G288" i="78"/>
  <c r="G291" i="78" s="1"/>
  <c r="E288" i="78"/>
  <c r="E291" i="78" s="1"/>
  <c r="D288" i="78"/>
  <c r="D291" i="78" s="1"/>
  <c r="C288" i="78"/>
  <c r="C291" i="78" s="1"/>
  <c r="B288" i="78"/>
  <c r="B291" i="78" s="1"/>
  <c r="F281" i="78"/>
  <c r="F288" i="78" s="1"/>
  <c r="F291" i="78" s="1"/>
  <c r="O271" i="78"/>
  <c r="O274" i="78" s="1"/>
  <c r="N271" i="78"/>
  <c r="N274" i="78" s="1"/>
  <c r="M271" i="78"/>
  <c r="M274" i="78" s="1"/>
  <c r="L271" i="78"/>
  <c r="L274" i="78" s="1"/>
  <c r="K271" i="78"/>
  <c r="K274" i="78" s="1"/>
  <c r="J271" i="78"/>
  <c r="J274" i="78" s="1"/>
  <c r="I271" i="78"/>
  <c r="I274" i="78" s="1"/>
  <c r="H271" i="78"/>
  <c r="H274" i="78" s="1"/>
  <c r="G271" i="78"/>
  <c r="G274" i="78" s="1"/>
  <c r="E271" i="78"/>
  <c r="E274" i="78" s="1"/>
  <c r="D271" i="78"/>
  <c r="D274" i="78" s="1"/>
  <c r="C271" i="78"/>
  <c r="C274" i="78" s="1"/>
  <c r="B271" i="78"/>
  <c r="B274" i="78" s="1"/>
  <c r="F267" i="78"/>
  <c r="F265" i="78"/>
  <c r="O254" i="78"/>
  <c r="N254" i="78"/>
  <c r="M254" i="78"/>
  <c r="L254" i="78"/>
  <c r="K254" i="78"/>
  <c r="J254" i="78"/>
  <c r="I254" i="78"/>
  <c r="H254" i="78"/>
  <c r="G254" i="78"/>
  <c r="F254" i="78"/>
  <c r="E254" i="78"/>
  <c r="D254" i="78"/>
  <c r="C254" i="78"/>
  <c r="B254" i="78"/>
  <c r="O245" i="78"/>
  <c r="N245" i="78"/>
  <c r="M245" i="78"/>
  <c r="L245" i="78"/>
  <c r="K245" i="78"/>
  <c r="J245" i="78"/>
  <c r="I245" i="78"/>
  <c r="H245" i="78"/>
  <c r="G245" i="78"/>
  <c r="F245" i="78"/>
  <c r="E245" i="78"/>
  <c r="D245" i="78"/>
  <c r="C245" i="78"/>
  <c r="B245" i="78"/>
  <c r="O196" i="78"/>
  <c r="P201" i="78" s="1"/>
  <c r="N196" i="78"/>
  <c r="O201" i="78" s="1"/>
  <c r="M196" i="78"/>
  <c r="N201" i="78" s="1"/>
  <c r="L196" i="78"/>
  <c r="M201" i="78" s="1"/>
  <c r="K196" i="78"/>
  <c r="L201" i="78" s="1"/>
  <c r="J196" i="78"/>
  <c r="K201" i="78" s="1"/>
  <c r="I196" i="78"/>
  <c r="J201" i="78" s="1"/>
  <c r="J35" i="96" s="1"/>
  <c r="H196" i="78"/>
  <c r="I201" i="78" s="1"/>
  <c r="I35" i="96" s="1"/>
  <c r="G196" i="78"/>
  <c r="H201" i="78" s="1"/>
  <c r="H35" i="96" s="1"/>
  <c r="F196" i="78"/>
  <c r="G201" i="78" s="1"/>
  <c r="G35" i="96" s="1"/>
  <c r="E196" i="78"/>
  <c r="F201" i="78" s="1"/>
  <c r="F35" i="96" s="1"/>
  <c r="D196" i="78"/>
  <c r="E201" i="78" s="1"/>
  <c r="E35" i="96" s="1"/>
  <c r="C196" i="78"/>
  <c r="D201" i="78" s="1"/>
  <c r="B196" i="78"/>
  <c r="C201" i="78" s="1"/>
  <c r="O178" i="78"/>
  <c r="N178" i="78"/>
  <c r="M178" i="78"/>
  <c r="L178" i="78"/>
  <c r="K178" i="78"/>
  <c r="J178" i="78"/>
  <c r="I178" i="78"/>
  <c r="H178" i="78"/>
  <c r="G178" i="78"/>
  <c r="F178" i="78"/>
  <c r="E178" i="78"/>
  <c r="D178" i="78"/>
  <c r="C178" i="78"/>
  <c r="B178" i="78"/>
  <c r="O158" i="78"/>
  <c r="G50" i="7" s="1"/>
  <c r="N158" i="78"/>
  <c r="G49" i="7" s="1"/>
  <c r="M158" i="78"/>
  <c r="G48" i="7" s="1"/>
  <c r="L158" i="78"/>
  <c r="G47" i="7" s="1"/>
  <c r="K158" i="78"/>
  <c r="G46" i="7" s="1"/>
  <c r="J158" i="78"/>
  <c r="G45" i="7" s="1"/>
  <c r="I158" i="78"/>
  <c r="G44" i="7" s="1"/>
  <c r="H158" i="78"/>
  <c r="G43" i="7" s="1"/>
  <c r="G158" i="78"/>
  <c r="G42" i="7" s="1"/>
  <c r="F158" i="78"/>
  <c r="G41" i="7" s="1"/>
  <c r="E158" i="78"/>
  <c r="G40" i="7" s="1"/>
  <c r="D158" i="78"/>
  <c r="G39" i="7" s="1"/>
  <c r="C158" i="78"/>
  <c r="G38" i="7" s="1"/>
  <c r="B158" i="78"/>
  <c r="G37" i="7" s="1"/>
  <c r="O154" i="78"/>
  <c r="E50" i="7" s="1"/>
  <c r="N154" i="78"/>
  <c r="E49" i="7" s="1"/>
  <c r="M154" i="78"/>
  <c r="E48" i="7" s="1"/>
  <c r="L154" i="78"/>
  <c r="E47" i="7" s="1"/>
  <c r="K154" i="78"/>
  <c r="E46" i="7" s="1"/>
  <c r="J154" i="78"/>
  <c r="E45" i="7" s="1"/>
  <c r="I154" i="78"/>
  <c r="E44" i="7" s="1"/>
  <c r="H154" i="78"/>
  <c r="E43" i="7" s="1"/>
  <c r="G154" i="78"/>
  <c r="E42" i="7" s="1"/>
  <c r="F154" i="78"/>
  <c r="E41" i="7" s="1"/>
  <c r="E154" i="78"/>
  <c r="E40" i="7" s="1"/>
  <c r="D154" i="78"/>
  <c r="E39" i="7" s="1"/>
  <c r="C154" i="78"/>
  <c r="E38" i="7" s="1"/>
  <c r="B154" i="78"/>
  <c r="E37" i="7" s="1"/>
  <c r="O146" i="78"/>
  <c r="D50" i="7" s="1"/>
  <c r="N146" i="78"/>
  <c r="D49" i="7" s="1"/>
  <c r="M146" i="78"/>
  <c r="D48" i="7" s="1"/>
  <c r="L146" i="78"/>
  <c r="D47" i="7" s="1"/>
  <c r="K146" i="78"/>
  <c r="D46" i="7" s="1"/>
  <c r="J146" i="78"/>
  <c r="D45" i="7" s="1"/>
  <c r="I146" i="78"/>
  <c r="D44" i="7" s="1"/>
  <c r="H146" i="78"/>
  <c r="D43" i="7" s="1"/>
  <c r="G146" i="78"/>
  <c r="D42" i="7" s="1"/>
  <c r="F146" i="78"/>
  <c r="D41" i="7" s="1"/>
  <c r="E146" i="78"/>
  <c r="D40" i="7" s="1"/>
  <c r="D146" i="78"/>
  <c r="D39" i="7" s="1"/>
  <c r="C146" i="78"/>
  <c r="D38" i="7" s="1"/>
  <c r="B146" i="78"/>
  <c r="D37" i="7" s="1"/>
  <c r="O140" i="78"/>
  <c r="C50" i="7" s="1"/>
  <c r="N140" i="78"/>
  <c r="C49" i="7" s="1"/>
  <c r="M140" i="78"/>
  <c r="C48" i="7" s="1"/>
  <c r="L140" i="78"/>
  <c r="C47" i="7" s="1"/>
  <c r="K140" i="78"/>
  <c r="C46" i="7" s="1"/>
  <c r="J140" i="78"/>
  <c r="C45" i="7" s="1"/>
  <c r="G140" i="78"/>
  <c r="C42" i="7" s="1"/>
  <c r="F140" i="78"/>
  <c r="C41" i="7" s="1"/>
  <c r="E140" i="78"/>
  <c r="C40" i="7" s="1"/>
  <c r="D140" i="78"/>
  <c r="C39" i="7" s="1"/>
  <c r="C140" i="78"/>
  <c r="C38" i="7" s="1"/>
  <c r="B140" i="78"/>
  <c r="C37" i="7" s="1"/>
  <c r="O128" i="78"/>
  <c r="O33" i="15" s="1"/>
  <c r="N128" i="78"/>
  <c r="N33" i="15" s="1"/>
  <c r="M128" i="78"/>
  <c r="M33" i="15" s="1"/>
  <c r="L128" i="78"/>
  <c r="L33" i="15" s="1"/>
  <c r="J128" i="78"/>
  <c r="J33" i="15" s="1"/>
  <c r="I128" i="78"/>
  <c r="I33" i="15" s="1"/>
  <c r="H128" i="78"/>
  <c r="H33" i="15" s="1"/>
  <c r="G128" i="78"/>
  <c r="G33" i="15" s="1"/>
  <c r="F128" i="78"/>
  <c r="F33" i="15" s="1"/>
  <c r="E128" i="78"/>
  <c r="E33" i="15" s="1"/>
  <c r="D128" i="78"/>
  <c r="D33" i="15" s="1"/>
  <c r="C128" i="78"/>
  <c r="C33" i="15" s="1"/>
  <c r="B128" i="78"/>
  <c r="B33" i="15" s="1"/>
  <c r="O124" i="78"/>
  <c r="N124" i="78"/>
  <c r="M124" i="78"/>
  <c r="L124" i="78"/>
  <c r="J124" i="78"/>
  <c r="I124" i="78"/>
  <c r="H124" i="78"/>
  <c r="G124" i="78"/>
  <c r="F124" i="78"/>
  <c r="E124" i="78"/>
  <c r="D124" i="78"/>
  <c r="C124" i="78"/>
  <c r="B124" i="78"/>
  <c r="K28" i="77"/>
  <c r="J28" i="77"/>
  <c r="I28" i="77"/>
  <c r="H28" i="77"/>
  <c r="G28" i="77"/>
  <c r="F28" i="77"/>
  <c r="E28" i="77"/>
  <c r="F108" i="78"/>
  <c r="E108" i="78"/>
  <c r="D108" i="78"/>
  <c r="C108" i="78"/>
  <c r="B108" i="78"/>
  <c r="O82" i="78"/>
  <c r="N82" i="78"/>
  <c r="M82" i="78"/>
  <c r="L82" i="78"/>
  <c r="K82" i="78"/>
  <c r="J82" i="78"/>
  <c r="I82" i="78"/>
  <c r="H82" i="78"/>
  <c r="G82" i="78"/>
  <c r="F82" i="78"/>
  <c r="E82" i="78"/>
  <c r="D82" i="78"/>
  <c r="C82" i="78"/>
  <c r="B82" i="78"/>
  <c r="O71" i="78"/>
  <c r="N71" i="78"/>
  <c r="M71" i="78"/>
  <c r="L71" i="78"/>
  <c r="K71" i="78"/>
  <c r="J71" i="78"/>
  <c r="I71" i="78"/>
  <c r="H71" i="78"/>
  <c r="G71" i="78"/>
  <c r="F71" i="78"/>
  <c r="E71" i="78"/>
  <c r="D71" i="78"/>
  <c r="C71" i="78"/>
  <c r="B71" i="78"/>
  <c r="O61" i="78"/>
  <c r="N61" i="78"/>
  <c r="M61" i="78"/>
  <c r="L61" i="78"/>
  <c r="K61" i="78"/>
  <c r="J61" i="78"/>
  <c r="I61" i="78"/>
  <c r="H61" i="78"/>
  <c r="G61" i="78"/>
  <c r="F61" i="78"/>
  <c r="E61" i="78"/>
  <c r="D61" i="78"/>
  <c r="C61" i="78"/>
  <c r="B61" i="78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B54" i="78"/>
  <c r="O47" i="78"/>
  <c r="N47" i="78"/>
  <c r="M47" i="78"/>
  <c r="L47" i="78"/>
  <c r="K47" i="78"/>
  <c r="J47" i="78"/>
  <c r="I47" i="78"/>
  <c r="H47" i="78"/>
  <c r="G47" i="78"/>
  <c r="F47" i="78"/>
  <c r="E47" i="78"/>
  <c r="D47" i="78"/>
  <c r="C47" i="78"/>
  <c r="B47" i="78"/>
  <c r="O40" i="78"/>
  <c r="N40" i="78"/>
  <c r="M40" i="78"/>
  <c r="L40" i="78"/>
  <c r="K40" i="78"/>
  <c r="J40" i="78"/>
  <c r="I40" i="78"/>
  <c r="H40" i="78"/>
  <c r="G40" i="78"/>
  <c r="F40" i="78"/>
  <c r="E40" i="78"/>
  <c r="D40" i="78"/>
  <c r="C40" i="78"/>
  <c r="B40" i="78"/>
  <c r="O32" i="78"/>
  <c r="N32" i="78"/>
  <c r="M32" i="78"/>
  <c r="L32" i="78"/>
  <c r="K32" i="78"/>
  <c r="J32" i="78"/>
  <c r="I32" i="78"/>
  <c r="H32" i="78"/>
  <c r="G32" i="78"/>
  <c r="F32" i="78"/>
  <c r="E32" i="78"/>
  <c r="C32" i="78"/>
  <c r="B32" i="78"/>
  <c r="N31" i="69"/>
  <c r="M31" i="69"/>
  <c r="L31" i="69"/>
  <c r="K31" i="69"/>
  <c r="J31" i="69"/>
  <c r="I31" i="69"/>
  <c r="H31" i="69"/>
  <c r="G31" i="69"/>
  <c r="F31" i="69"/>
  <c r="E31" i="69"/>
  <c r="D31" i="69"/>
  <c r="C31" i="69"/>
  <c r="B31" i="69"/>
  <c r="O31" i="69"/>
  <c r="J38" i="87" l="1"/>
  <c r="J34" i="87"/>
  <c r="J29" i="87"/>
  <c r="J35" i="87"/>
  <c r="H40" i="88"/>
  <c r="Q50" i="18"/>
  <c r="Q51" i="18"/>
  <c r="O57" i="18"/>
  <c r="Q52" i="18"/>
  <c r="Q55" i="18"/>
  <c r="Q54" i="18"/>
  <c r="B5" i="85"/>
  <c r="B6" i="85" s="1"/>
  <c r="B34" i="31"/>
  <c r="N5" i="85"/>
  <c r="N6" i="85" s="1"/>
  <c r="N34" i="31"/>
  <c r="C5" i="85"/>
  <c r="C6" i="85" s="1"/>
  <c r="C34" i="31"/>
  <c r="O5" i="85"/>
  <c r="O6" i="85" s="1"/>
  <c r="O34" i="31"/>
  <c r="D5" i="85"/>
  <c r="D6" i="85" s="1"/>
  <c r="D34" i="31"/>
  <c r="H226" i="78"/>
  <c r="H40" i="94" s="1"/>
  <c r="Q37" i="96"/>
  <c r="E5" i="85"/>
  <c r="E6" i="85" s="1"/>
  <c r="E34" i="31"/>
  <c r="F5" i="85"/>
  <c r="F6" i="85" s="1"/>
  <c r="F34" i="31"/>
  <c r="G5" i="85"/>
  <c r="G6" i="85" s="1"/>
  <c r="G34" i="31"/>
  <c r="H5" i="85"/>
  <c r="H6" i="85" s="1"/>
  <c r="H34" i="31"/>
  <c r="F397" i="78"/>
  <c r="Q38" i="96"/>
  <c r="I5" i="85"/>
  <c r="I6" i="85" s="1"/>
  <c r="I34" i="31"/>
  <c r="J5" i="85"/>
  <c r="J6" i="85" s="1"/>
  <c r="J34" i="31"/>
  <c r="K5" i="85"/>
  <c r="K6" i="85" s="1"/>
  <c r="K34" i="31"/>
  <c r="L5" i="85"/>
  <c r="L6" i="85" s="1"/>
  <c r="L34" i="31"/>
  <c r="Q36" i="96"/>
  <c r="Q39" i="96"/>
  <c r="M5" i="85"/>
  <c r="M6" i="85" s="1"/>
  <c r="M34" i="31"/>
  <c r="C206" i="78"/>
  <c r="C40" i="96" s="1"/>
  <c r="C35" i="96"/>
  <c r="D206" i="78"/>
  <c r="D40" i="96" s="1"/>
  <c r="D35" i="96"/>
  <c r="K206" i="78"/>
  <c r="K40" i="96" s="1"/>
  <c r="K35" i="96"/>
  <c r="L206" i="78"/>
  <c r="L40" i="96" s="1"/>
  <c r="L35" i="96"/>
  <c r="M206" i="78"/>
  <c r="M40" i="96" s="1"/>
  <c r="M35" i="96"/>
  <c r="N206" i="78"/>
  <c r="N40" i="96" s="1"/>
  <c r="N35" i="96"/>
  <c r="O206" i="78"/>
  <c r="O40" i="96" s="1"/>
  <c r="O35" i="96"/>
  <c r="P206" i="78"/>
  <c r="P40" i="96" s="1"/>
  <c r="P35" i="96"/>
  <c r="E35" i="97"/>
  <c r="E34" i="95"/>
  <c r="F35" i="97"/>
  <c r="F34" i="95"/>
  <c r="G35" i="97"/>
  <c r="G34" i="95"/>
  <c r="H35" i="97"/>
  <c r="H34" i="95"/>
  <c r="I35" i="97"/>
  <c r="I34" i="95"/>
  <c r="J216" i="78"/>
  <c r="J40" i="95" s="1"/>
  <c r="J35" i="97"/>
  <c r="J34" i="95"/>
  <c r="K35" i="97"/>
  <c r="K34" i="95"/>
  <c r="O216" i="78"/>
  <c r="O40" i="95" s="1"/>
  <c r="O35" i="95"/>
  <c r="P216" i="78"/>
  <c r="P40" i="95" s="1"/>
  <c r="P35" i="95"/>
  <c r="N216" i="78"/>
  <c r="N40" i="95" s="1"/>
  <c r="N35" i="95"/>
  <c r="M216" i="78"/>
  <c r="M40" i="95" s="1"/>
  <c r="M35" i="95"/>
  <c r="L216" i="78"/>
  <c r="L40" i="95" s="1"/>
  <c r="L35" i="95"/>
  <c r="D216" i="78"/>
  <c r="D40" i="95" s="1"/>
  <c r="D35" i="95"/>
  <c r="C216" i="78"/>
  <c r="C40" i="95" s="1"/>
  <c r="C35" i="95"/>
  <c r="O226" i="78"/>
  <c r="O40" i="94" s="1"/>
  <c r="O35" i="94"/>
  <c r="P226" i="78"/>
  <c r="P40" i="94" s="1"/>
  <c r="P35" i="94"/>
  <c r="N226" i="78"/>
  <c r="N40" i="94" s="1"/>
  <c r="N35" i="94"/>
  <c r="M226" i="78"/>
  <c r="M40" i="94" s="1"/>
  <c r="M35" i="94"/>
  <c r="L226" i="78"/>
  <c r="L40" i="94" s="1"/>
  <c r="L35" i="94"/>
  <c r="K226" i="78"/>
  <c r="K40" i="94" s="1"/>
  <c r="K35" i="94"/>
  <c r="J226" i="78"/>
  <c r="J40" i="94" s="1"/>
  <c r="J35" i="94"/>
  <c r="I226" i="78"/>
  <c r="I40" i="94" s="1"/>
  <c r="I35" i="94"/>
  <c r="G226" i="78"/>
  <c r="G40" i="94" s="1"/>
  <c r="G35" i="94"/>
  <c r="F226" i="78"/>
  <c r="F40" i="94" s="1"/>
  <c r="F35" i="94"/>
  <c r="E226" i="78"/>
  <c r="E40" i="94" s="1"/>
  <c r="E35" i="94"/>
  <c r="D226" i="78"/>
  <c r="D40" i="94" s="1"/>
  <c r="D35" i="94"/>
  <c r="C226" i="78"/>
  <c r="C40" i="94" s="1"/>
  <c r="C35" i="94"/>
  <c r="Q39" i="94"/>
  <c r="Q38" i="94"/>
  <c r="Q37" i="94"/>
  <c r="Q36" i="94"/>
  <c r="Q39" i="95"/>
  <c r="Q38" i="95"/>
  <c r="Q37" i="95"/>
  <c r="Q36" i="95"/>
  <c r="E31" i="72"/>
  <c r="E34" i="72" s="1"/>
  <c r="E38" i="72" s="1"/>
  <c r="P36" i="72"/>
  <c r="P32" i="72" s="1"/>
  <c r="P34" i="72" s="1"/>
  <c r="P38" i="72" s="1"/>
  <c r="F38" i="72"/>
  <c r="D34" i="72"/>
  <c r="D38" i="72" s="1"/>
  <c r="J206" i="78"/>
  <c r="J40" i="96" s="1"/>
  <c r="E206" i="78"/>
  <c r="E40" i="96" s="1"/>
  <c r="F206" i="78"/>
  <c r="F40" i="96" s="1"/>
  <c r="G506" i="78"/>
  <c r="G206" i="78"/>
  <c r="G40" i="96" s="1"/>
  <c r="H206" i="78"/>
  <c r="H40" i="96" s="1"/>
  <c r="I206" i="78"/>
  <c r="I40" i="96" s="1"/>
  <c r="H216" i="78"/>
  <c r="H40" i="95" s="1"/>
  <c r="E216" i="78"/>
  <c r="E40" i="95" s="1"/>
  <c r="I216" i="78"/>
  <c r="I40" i="95" s="1"/>
  <c r="K216" i="78"/>
  <c r="K40" i="95" s="1"/>
  <c r="G216" i="78"/>
  <c r="G40" i="95" s="1"/>
  <c r="F216" i="78"/>
  <c r="F40" i="95" s="1"/>
  <c r="J31" i="64"/>
  <c r="G31" i="64"/>
  <c r="C31" i="64"/>
  <c r="G37" i="92"/>
  <c r="N37" i="92"/>
  <c r="M37" i="92"/>
  <c r="L37" i="92"/>
  <c r="D37" i="92"/>
  <c r="O37" i="92"/>
  <c r="O39" i="92" s="1"/>
  <c r="F37" i="92"/>
  <c r="F39" i="92" s="1"/>
  <c r="E37" i="92"/>
  <c r="E39" i="92" s="1"/>
  <c r="J37" i="92"/>
  <c r="Q37" i="92"/>
  <c r="I37" i="92"/>
  <c r="I39" i="92" s="1"/>
  <c r="K37" i="92"/>
  <c r="K39" i="92" s="1"/>
  <c r="C37" i="92"/>
  <c r="C39" i="92" s="1"/>
  <c r="L39" i="92"/>
  <c r="D39" i="92"/>
  <c r="M39" i="92"/>
  <c r="J39" i="92"/>
  <c r="Q39" i="92"/>
  <c r="P39" i="92"/>
  <c r="H39" i="92"/>
  <c r="G39" i="92"/>
  <c r="N39" i="92"/>
  <c r="P31" i="64"/>
  <c r="L31" i="64"/>
  <c r="B31" i="64"/>
  <c r="E31" i="64"/>
  <c r="O31" i="64"/>
  <c r="N31" i="64"/>
  <c r="F31" i="64"/>
  <c r="M31" i="64"/>
  <c r="D31" i="64"/>
  <c r="H31" i="64"/>
  <c r="I31" i="64"/>
  <c r="K31" i="64"/>
  <c r="G453" i="78"/>
  <c r="C438" i="78"/>
  <c r="H438" i="78"/>
  <c r="F438" i="78"/>
  <c r="D438" i="78"/>
  <c r="B438" i="78"/>
  <c r="G438" i="78"/>
  <c r="E438" i="78"/>
  <c r="P352" i="78"/>
  <c r="P130" i="78"/>
  <c r="P83" i="78"/>
  <c r="P87" i="78" s="1"/>
  <c r="P409" i="78"/>
  <c r="Q57" i="18"/>
  <c r="B57" i="18"/>
  <c r="B59" i="18" s="1"/>
  <c r="J57" i="18"/>
  <c r="J59" i="18" s="1"/>
  <c r="C57" i="18"/>
  <c r="C59" i="18" s="1"/>
  <c r="K57" i="18"/>
  <c r="K59" i="18" s="1"/>
  <c r="D57" i="18"/>
  <c r="D59" i="18" s="1"/>
  <c r="L57" i="18"/>
  <c r="L59" i="18" s="1"/>
  <c r="E57" i="18"/>
  <c r="E59" i="18" s="1"/>
  <c r="M57" i="18"/>
  <c r="M59" i="18" s="1"/>
  <c r="F57" i="18"/>
  <c r="F59" i="18" s="1"/>
  <c r="N57" i="18"/>
  <c r="N59" i="18" s="1"/>
  <c r="G57" i="18"/>
  <c r="G59" i="18" s="1"/>
  <c r="O59" i="18"/>
  <c r="H57" i="18"/>
  <c r="H59" i="18" s="1"/>
  <c r="P57" i="18"/>
  <c r="P59" i="18" s="1"/>
  <c r="I57" i="18"/>
  <c r="I59" i="18" s="1"/>
  <c r="P55" i="78"/>
  <c r="N33" i="91"/>
  <c r="O33" i="91"/>
  <c r="M31" i="91"/>
  <c r="M33" i="91" s="1"/>
  <c r="J33" i="91"/>
  <c r="P381" i="78"/>
  <c r="H33" i="91"/>
  <c r="P163" i="78"/>
  <c r="P41" i="78"/>
  <c r="B31" i="66" s="1"/>
  <c r="I41" i="78"/>
  <c r="P316" i="78"/>
  <c r="P255" i="78"/>
  <c r="K409" i="78"/>
  <c r="C409" i="78"/>
  <c r="P293" i="78"/>
  <c r="I409" i="78"/>
  <c r="G489" i="78"/>
  <c r="M409" i="78"/>
  <c r="J27" i="87"/>
  <c r="J31" i="87"/>
  <c r="F352" i="78"/>
  <c r="O255" i="78"/>
  <c r="O55" i="78"/>
  <c r="M255" i="78"/>
  <c r="E316" i="78"/>
  <c r="F41" i="78"/>
  <c r="N41" i="78"/>
  <c r="N352" i="78"/>
  <c r="N409" i="78"/>
  <c r="O316" i="78"/>
  <c r="H293" i="78"/>
  <c r="I381" i="78"/>
  <c r="H41" i="78"/>
  <c r="E381" i="78"/>
  <c r="M381" i="78"/>
  <c r="O381" i="78"/>
  <c r="J409" i="78"/>
  <c r="O41" i="78"/>
  <c r="G381" i="78"/>
  <c r="D55" i="78"/>
  <c r="G255" i="78"/>
  <c r="H381" i="78"/>
  <c r="E55" i="78"/>
  <c r="F55" i="78"/>
  <c r="N55" i="78"/>
  <c r="O352" i="78"/>
  <c r="G83" i="78"/>
  <c r="G87" i="78" s="1"/>
  <c r="O83" i="78"/>
  <c r="O87" i="78" s="1"/>
  <c r="E255" i="78"/>
  <c r="E293" i="78"/>
  <c r="I352" i="78"/>
  <c r="C316" i="78"/>
  <c r="K316" i="78"/>
  <c r="D409" i="78"/>
  <c r="E41" i="78"/>
  <c r="M41" i="78"/>
  <c r="I255" i="78"/>
  <c r="F271" i="78"/>
  <c r="F274" i="78" s="1"/>
  <c r="F293" i="78" s="1"/>
  <c r="G316" i="78"/>
  <c r="H352" i="78"/>
  <c r="C381" i="78"/>
  <c r="K381" i="78"/>
  <c r="L409" i="78"/>
  <c r="G55" i="78"/>
  <c r="D83" i="78"/>
  <c r="D87" i="78" s="1"/>
  <c r="L83" i="78"/>
  <c r="L87" i="78" s="1"/>
  <c r="B130" i="78"/>
  <c r="J130" i="78"/>
  <c r="B255" i="78"/>
  <c r="J255" i="78"/>
  <c r="H316" i="78"/>
  <c r="G352" i="78"/>
  <c r="D381" i="78"/>
  <c r="L381" i="78"/>
  <c r="E409" i="78"/>
  <c r="C55" i="78"/>
  <c r="K55" i="78"/>
  <c r="H83" i="78"/>
  <c r="H87" i="78" s="1"/>
  <c r="F255" i="78"/>
  <c r="N255" i="78"/>
  <c r="D316" i="78"/>
  <c r="L316" i="78"/>
  <c r="F381" i="78"/>
  <c r="N381" i="78"/>
  <c r="G409" i="78"/>
  <c r="O409" i="78"/>
  <c r="C500" i="78"/>
  <c r="G41" i="78"/>
  <c r="L55" i="78"/>
  <c r="M316" i="78"/>
  <c r="B352" i="78"/>
  <c r="J352" i="78"/>
  <c r="G464" i="78"/>
  <c r="G469" i="78"/>
  <c r="G474" i="78"/>
  <c r="G479" i="78"/>
  <c r="M55" i="78"/>
  <c r="B83" i="78"/>
  <c r="B87" i="78" s="1"/>
  <c r="J83" i="78"/>
  <c r="J87" i="78" s="1"/>
  <c r="H130" i="78"/>
  <c r="H255" i="78"/>
  <c r="D293" i="78"/>
  <c r="F316" i="78"/>
  <c r="N316" i="78"/>
  <c r="K293" i="78"/>
  <c r="M293" i="78"/>
  <c r="C293" i="78"/>
  <c r="G527" i="78"/>
  <c r="B41" i="78"/>
  <c r="J41" i="78"/>
  <c r="D41" i="78"/>
  <c r="D7" i="112" s="1"/>
  <c r="L41" i="78"/>
  <c r="H55" i="78"/>
  <c r="B55" i="78"/>
  <c r="J55" i="78"/>
  <c r="I83" i="78"/>
  <c r="I87" i="78" s="1"/>
  <c r="I293" i="78"/>
  <c r="B316" i="78"/>
  <c r="J316" i="78"/>
  <c r="K41" i="78"/>
  <c r="I55" i="78"/>
  <c r="I316" i="78"/>
  <c r="D163" i="78"/>
  <c r="L163" i="78"/>
  <c r="F163" i="78"/>
  <c r="N163" i="78"/>
  <c r="H163" i="78"/>
  <c r="B163" i="78"/>
  <c r="J163" i="78"/>
  <c r="B293" i="78"/>
  <c r="D352" i="78"/>
  <c r="L352" i="78"/>
  <c r="G459" i="78"/>
  <c r="G498" i="78"/>
  <c r="G500" i="78" s="1"/>
  <c r="E163" i="78"/>
  <c r="M163" i="78"/>
  <c r="G163" i="78"/>
  <c r="O163" i="78"/>
  <c r="I163" i="78"/>
  <c r="C163" i="78"/>
  <c r="K163" i="78"/>
  <c r="C352" i="78"/>
  <c r="K352" i="78"/>
  <c r="E352" i="78"/>
  <c r="M352" i="78"/>
  <c r="B381" i="78"/>
  <c r="J381" i="78"/>
  <c r="H409" i="78"/>
  <c r="G448" i="78"/>
  <c r="G513" i="78"/>
  <c r="J293" i="78"/>
  <c r="I130" i="78"/>
  <c r="C130" i="78"/>
  <c r="C255" i="78"/>
  <c r="K255" i="78"/>
  <c r="G494" i="78"/>
  <c r="C41" i="78"/>
  <c r="F83" i="78"/>
  <c r="F87" i="78" s="1"/>
  <c r="N83" i="78"/>
  <c r="N87" i="78" s="1"/>
  <c r="D130" i="78"/>
  <c r="L130" i="78"/>
  <c r="D255" i="78"/>
  <c r="L255" i="78"/>
  <c r="N293" i="78"/>
  <c r="L293" i="78"/>
  <c r="F409" i="78"/>
  <c r="G520" i="78"/>
  <c r="G293" i="78"/>
  <c r="O293" i="78"/>
  <c r="B409" i="78"/>
  <c r="G484" i="78"/>
  <c r="E130" i="78"/>
  <c r="M130" i="78"/>
  <c r="G130" i="78"/>
  <c r="O130" i="78"/>
  <c r="F130" i="78"/>
  <c r="N130" i="78"/>
  <c r="C83" i="78"/>
  <c r="C87" i="78" s="1"/>
  <c r="K83" i="78"/>
  <c r="K87" i="78" s="1"/>
  <c r="E83" i="78"/>
  <c r="E87" i="78" s="1"/>
  <c r="M83" i="78"/>
  <c r="M87" i="78" s="1"/>
  <c r="Q6" i="85" l="1"/>
  <c r="Q137" i="78"/>
  <c r="H51" i="7"/>
  <c r="G51" i="7" s="1"/>
  <c r="C34" i="72"/>
  <c r="C38" i="72" s="1"/>
  <c r="D56" i="78"/>
  <c r="P56" i="78"/>
  <c r="I56" i="78"/>
  <c r="H56" i="78"/>
  <c r="M56" i="78"/>
  <c r="L56" i="78"/>
  <c r="F56" i="78"/>
  <c r="E56" i="78"/>
  <c r="K56" i="78"/>
  <c r="O56" i="78"/>
  <c r="N56" i="78"/>
  <c r="C56" i="78"/>
  <c r="G56" i="78"/>
  <c r="B56" i="78"/>
  <c r="J56" i="78"/>
  <c r="D26" i="27"/>
  <c r="M30" i="26"/>
  <c r="L30" i="26"/>
  <c r="C53" i="7"/>
  <c r="C54" i="7" s="1"/>
  <c r="D53" i="7"/>
  <c r="D54" i="7" s="1"/>
  <c r="E53" i="7"/>
  <c r="E54" i="7" s="1"/>
  <c r="G53" i="7" l="1"/>
  <c r="G54" i="7" s="1"/>
  <c r="B34" i="72"/>
  <c r="B38" i="72" s="1"/>
  <c r="N30" i="26"/>
  <c r="O30" i="26"/>
  <c r="U34" i="31"/>
  <c r="E26" i="27"/>
  <c r="L26" i="27"/>
  <c r="N26" i="27"/>
  <c r="M37" i="43"/>
  <c r="H26" i="18"/>
  <c r="H30" i="18"/>
  <c r="H38" i="18"/>
  <c r="H27" i="18"/>
  <c r="H28" i="18"/>
  <c r="H36" i="18"/>
  <c r="H29" i="18"/>
  <c r="H39" i="18"/>
  <c r="H32" i="18"/>
  <c r="H31" i="18"/>
  <c r="H37" i="18"/>
  <c r="H35" i="18"/>
  <c r="J35" i="18" s="1"/>
  <c r="H34" i="18"/>
  <c r="J34" i="18" s="1"/>
  <c r="O26" i="27"/>
  <c r="B26" i="27"/>
  <c r="C26" i="27"/>
  <c r="M26" i="27"/>
  <c r="O37" i="43"/>
  <c r="C30" i="26"/>
  <c r="B36" i="31"/>
  <c r="B37" i="31"/>
  <c r="P39" i="31" s="1"/>
  <c r="N35" i="15"/>
  <c r="C37" i="31"/>
  <c r="C36" i="31"/>
  <c r="M35" i="15"/>
  <c r="D36" i="31"/>
  <c r="D37" i="31"/>
  <c r="L37" i="31"/>
  <c r="L36" i="31"/>
  <c r="O36" i="31"/>
  <c r="O37" i="31"/>
  <c r="E36" i="31"/>
  <c r="E37" i="31"/>
  <c r="M36" i="31"/>
  <c r="M37" i="31"/>
  <c r="N37" i="31"/>
  <c r="N36" i="31"/>
  <c r="G43" i="16"/>
  <c r="G30" i="16"/>
  <c r="G41" i="16"/>
  <c r="G33" i="16"/>
  <c r="G32" i="16"/>
  <c r="G42" i="16"/>
  <c r="G31" i="16"/>
  <c r="G40" i="16"/>
  <c r="L37" i="43"/>
  <c r="L39" i="43" s="1"/>
  <c r="J37" i="43"/>
  <c r="J39" i="43" s="1"/>
  <c r="I37" i="43"/>
  <c r="I39" i="43" s="1"/>
  <c r="G37" i="43"/>
  <c r="F37" i="43"/>
  <c r="E37" i="43"/>
  <c r="D37" i="43"/>
  <c r="B37" i="43"/>
  <c r="R37" i="43" s="1"/>
  <c r="R48" i="43" s="1"/>
  <c r="K37" i="43"/>
  <c r="K39" i="43" s="1"/>
  <c r="H37" i="43"/>
  <c r="H39" i="43" s="1"/>
  <c r="C37" i="43"/>
  <c r="L35" i="15"/>
  <c r="O35" i="15"/>
  <c r="D35" i="15"/>
  <c r="C35" i="15"/>
  <c r="B35" i="15"/>
  <c r="H37" i="7"/>
  <c r="H38" i="7"/>
  <c r="H39" i="7"/>
  <c r="H40" i="7"/>
  <c r="H50" i="7"/>
  <c r="H49" i="7"/>
  <c r="H47" i="7"/>
  <c r="H48" i="7"/>
  <c r="E30" i="26"/>
  <c r="F30" i="26"/>
  <c r="B30" i="26"/>
  <c r="D30" i="26"/>
  <c r="D48" i="43" l="1"/>
  <c r="M48" i="43"/>
  <c r="F48" i="43"/>
  <c r="G48" i="43"/>
  <c r="I48" i="43"/>
  <c r="H48" i="43"/>
  <c r="K48" i="43"/>
  <c r="Q26" i="27"/>
  <c r="R26" i="27"/>
  <c r="P27" i="27"/>
  <c r="E48" i="43"/>
  <c r="J48" i="43"/>
  <c r="P48" i="43"/>
  <c r="L48" i="43"/>
  <c r="C48" i="43"/>
  <c r="DP31" i="22" l="1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CA31" i="22"/>
  <c r="BZ31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23" i="22"/>
  <c r="C36" i="26" l="1"/>
  <c r="C38" i="26" s="1"/>
  <c r="B36" i="26"/>
  <c r="B38" i="26" s="1"/>
  <c r="K26" i="27" l="1"/>
  <c r="J26" i="27"/>
  <c r="K30" i="26"/>
  <c r="H45" i="7" l="1"/>
  <c r="K37" i="31"/>
  <c r="G39" i="31" s="1"/>
  <c r="J35" i="15"/>
  <c r="G34" i="16"/>
  <c r="G37" i="16"/>
  <c r="G36" i="16"/>
  <c r="G35" i="16"/>
  <c r="K36" i="31"/>
  <c r="H46" i="7" l="1"/>
  <c r="K35" i="15"/>
  <c r="N37" i="43" l="1"/>
  <c r="N39" i="43" s="1"/>
  <c r="N48" i="43" l="1"/>
  <c r="O48" i="43"/>
  <c r="G40" i="18" l="1"/>
  <c r="G41" i="18" s="1"/>
  <c r="F40" i="18"/>
  <c r="F41" i="18" s="1"/>
  <c r="E40" i="18"/>
  <c r="E41" i="18" s="1"/>
  <c r="D40" i="18"/>
  <c r="D41" i="18" s="1"/>
  <c r="C40" i="18"/>
  <c r="C41" i="18" s="1"/>
  <c r="B40" i="18"/>
  <c r="B41" i="18" s="1"/>
  <c r="I26" i="27"/>
  <c r="H26" i="27"/>
  <c r="G26" i="27"/>
  <c r="F26" i="27"/>
  <c r="H43" i="7" l="1"/>
  <c r="H44" i="7"/>
  <c r="H42" i="7"/>
  <c r="H41" i="7" l="1"/>
  <c r="H35" i="15" l="1"/>
  <c r="E35" i="15"/>
  <c r="G35" i="15"/>
  <c r="I35" i="15"/>
  <c r="F35" i="15"/>
  <c r="R30" i="15"/>
  <c r="S30" i="15" s="1"/>
  <c r="R34" i="15"/>
  <c r="S34" i="15" s="1"/>
  <c r="R28" i="15"/>
  <c r="S28" i="15" s="1"/>
  <c r="R31" i="15"/>
  <c r="S31" i="15" s="1"/>
  <c r="R33" i="15"/>
  <c r="S33" i="15" s="1"/>
  <c r="R29" i="15"/>
  <c r="S29" i="15" s="1"/>
  <c r="R32" i="15"/>
  <c r="S32" i="15" s="1"/>
  <c r="J30" i="26"/>
  <c r="G37" i="31" l="1"/>
  <c r="C39" i="31" s="1"/>
  <c r="H37" i="31"/>
  <c r="D39" i="31" s="1"/>
  <c r="I37" i="31"/>
  <c r="E39" i="31" s="1"/>
  <c r="J37" i="31"/>
  <c r="F39" i="31" s="1"/>
  <c r="H30" i="26"/>
  <c r="I30" i="26"/>
  <c r="S28" i="26"/>
  <c r="R35" i="15"/>
  <c r="S35" i="15" s="1"/>
  <c r="Q28" i="15"/>
  <c r="G30" i="26"/>
  <c r="H36" i="31"/>
  <c r="J36" i="31"/>
  <c r="I36" i="31"/>
  <c r="F36" i="31"/>
  <c r="G36" i="31" l="1"/>
  <c r="Q36" i="31" s="1"/>
  <c r="G39" i="16" l="1"/>
  <c r="G38" i="16"/>
  <c r="F37" i="31" l="1"/>
  <c r="B39" i="31" s="1"/>
  <c r="DP23" i="22" l="1"/>
  <c r="DO23" i="22"/>
  <c r="DN23" i="22"/>
  <c r="DM23" i="22"/>
  <c r="DL23" i="22"/>
  <c r="DK23" i="22"/>
  <c r="DJ23" i="22"/>
  <c r="DI23" i="22"/>
  <c r="DH23" i="22"/>
  <c r="DG23" i="22"/>
  <c r="DF23" i="22"/>
  <c r="DE23" i="22"/>
  <c r="DD23" i="22"/>
  <c r="DC23" i="22"/>
  <c r="DB23" i="22"/>
  <c r="DA23" i="22"/>
  <c r="CZ23" i="22"/>
  <c r="CY23" i="22"/>
  <c r="CX23" i="22"/>
  <c r="CW23" i="22"/>
  <c r="CV23" i="22"/>
  <c r="CU23" i="22"/>
  <c r="CT23" i="22"/>
  <c r="CS23" i="22"/>
  <c r="CR23" i="22"/>
  <c r="CQ23" i="22"/>
  <c r="CP23" i="22"/>
  <c r="CO23" i="22"/>
  <c r="CN23" i="22"/>
  <c r="CM23" i="22"/>
  <c r="CL23" i="22"/>
  <c r="CK23" i="22"/>
  <c r="CJ23" i="22"/>
  <c r="CI23" i="22"/>
  <c r="CH23" i="22"/>
  <c r="CG23" i="22"/>
  <c r="CF23" i="22"/>
  <c r="CE23" i="22"/>
  <c r="CD23" i="22"/>
  <c r="CC23" i="22"/>
  <c r="CB23" i="22"/>
  <c r="CA23" i="22"/>
  <c r="BZ23" i="22"/>
  <c r="BY23" i="22"/>
  <c r="BX23" i="22"/>
  <c r="BW23" i="22"/>
  <c r="BV23" i="22"/>
  <c r="BU23" i="22"/>
  <c r="BT23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H33" i="18" l="1"/>
  <c r="J33" i="18" s="1"/>
  <c r="Q30" i="15" l="1"/>
  <c r="Q31" i="15"/>
  <c r="Q32" i="15"/>
  <c r="Q35" i="15"/>
  <c r="Q33" i="15"/>
  <c r="Q29" i="15"/>
  <c r="Q34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tc={7C58C3C5-BA52-47B9-9A0E-3381F70DCC3A}</author>
  </authors>
  <commentList>
    <comment ref="D117" authorId="0" shapeId="0" xr:uid="{7C58C3C5-BA52-47B9-9A0E-3381F70DCC3A}">
      <text>
        <t>[Threaded comment]
Your version of Excel allows you to read this threaded comment; however, any edits to it will get removed if the file is opened in a newer version of Excel. Learn more: https://go.microsoft.com/fwlink/?linkid=870924
Comment:
    WGA 14-15 TABLE 1.B - reports this as 97.7 making total 523.6
WGA 11-12 and WGA 12-13 report this as 97.8 making total 523.6</t>
      </text>
    </comment>
  </commentList>
</comments>
</file>

<file path=xl/sharedStrings.xml><?xml version="1.0" encoding="utf-8"?>
<sst xmlns="http://schemas.openxmlformats.org/spreadsheetml/2006/main" count="2712" uniqueCount="633">
  <si>
    <t>Years:</t>
  </si>
  <si>
    <t>2023-24</t>
  </si>
  <si>
    <t>2022-23</t>
  </si>
  <si>
    <t>2021-22</t>
  </si>
  <si>
    <t>2020-21</t>
  </si>
  <si>
    <t>2019-20</t>
  </si>
  <si>
    <t>2018-19</t>
  </si>
  <si>
    <t>2017-18</t>
  </si>
  <si>
    <t>2016-17</t>
  </si>
  <si>
    <t>2015-16</t>
  </si>
  <si>
    <t>2014-15</t>
  </si>
  <si>
    <t>2013-14</t>
  </si>
  <si>
    <t>2012-13</t>
  </si>
  <si>
    <t>2011-12</t>
  </si>
  <si>
    <t>2010-11</t>
  </si>
  <si>
    <t>2009-10</t>
  </si>
  <si>
    <t>Statement of Financial Position</t>
  </si>
  <si>
    <t>£bn</t>
  </si>
  <si>
    <t>Non-current assets</t>
  </si>
  <si>
    <t xml:space="preserve">   Property, plant and equipment</t>
  </si>
  <si>
    <t>Right of use assets</t>
  </si>
  <si>
    <t>-</t>
  </si>
  <si>
    <t xml:space="preserve">   Investment property</t>
  </si>
  <si>
    <t xml:space="preserve">   Intangible assets</t>
  </si>
  <si>
    <t xml:space="preserve">   Trade and other receivables</t>
  </si>
  <si>
    <t xml:space="preserve">   Other financial assets</t>
  </si>
  <si>
    <t>Current assets</t>
  </si>
  <si>
    <t xml:space="preserve">   Inventories</t>
  </si>
  <si>
    <t xml:space="preserve">   Cash and cash equivalents</t>
  </si>
  <si>
    <t xml:space="preserve">   Gold holdings</t>
  </si>
  <si>
    <t xml:space="preserve">   Assets held for sale</t>
  </si>
  <si>
    <t>Total assets</t>
  </si>
  <si>
    <t>Current liabilities</t>
  </si>
  <si>
    <t>Gov borrowings</t>
  </si>
  <si>
    <t xml:space="preserve">   Trade and other payables</t>
  </si>
  <si>
    <t xml:space="preserve">   Government borrowings</t>
  </si>
  <si>
    <t xml:space="preserve">   Other financial liabilities</t>
  </si>
  <si>
    <t xml:space="preserve">   Provisions </t>
  </si>
  <si>
    <t>Non-current liabilities</t>
  </si>
  <si>
    <t xml:space="preserve">   Net public sector pension liability</t>
  </si>
  <si>
    <t>Total liabilities</t>
  </si>
  <si>
    <t>Net liabilities</t>
  </si>
  <si>
    <t>Financed by taxpayers’ equity:</t>
  </si>
  <si>
    <t xml:space="preserve">   General reserve</t>
  </si>
  <si>
    <t xml:space="preserve">   Revaluation reserve</t>
  </si>
  <si>
    <t xml:space="preserve">   Other reserves</t>
  </si>
  <si>
    <t>Total liabilities to be funded by future revenues</t>
  </si>
  <si>
    <t>Statement of Revenue and Expenditure</t>
  </si>
  <si>
    <t xml:space="preserve">Taxation revenue </t>
  </si>
  <si>
    <t>Other revenue</t>
  </si>
  <si>
    <t>Total public services revenue</t>
  </si>
  <si>
    <t>Social security benefits</t>
  </si>
  <si>
    <t>Staff costs</t>
  </si>
  <si>
    <t>Pension past service costs and indexation adjustment</t>
  </si>
  <si>
    <t>Purchase of goods and services</t>
  </si>
  <si>
    <t>Grants and subsidies</t>
  </si>
  <si>
    <t xml:space="preserve">Depreciation and impairment </t>
  </si>
  <si>
    <t>Interest costs on government borrowing</t>
  </si>
  <si>
    <t>Other</t>
  </si>
  <si>
    <t>Increase in provisions</t>
  </si>
  <si>
    <t>Total expenditure on public services</t>
  </si>
  <si>
    <t>Net expenditure on public services</t>
  </si>
  <si>
    <t xml:space="preserve">Financing costs of long-term liabilities, including discounting </t>
  </si>
  <si>
    <t>Revaluation of financial assets and liabilities</t>
  </si>
  <si>
    <t>Net expenditure for the year</t>
  </si>
  <si>
    <t>Contingent liabilities disclosed under IAS 37 (Merged)</t>
  </si>
  <si>
    <t>2009 to 2024</t>
  </si>
  <si>
    <t>Clinical negligence</t>
  </si>
  <si>
    <t>Nuclear decommissioning</t>
  </si>
  <si>
    <t>Taxes subject to challenge</t>
  </si>
  <si>
    <t>FCDO contigences for international events</t>
  </si>
  <si>
    <t>Other (incl export guarantees, insurance policies and transport infrastructure)</t>
  </si>
  <si>
    <t>Total quantifiable contingent liabilities</t>
  </si>
  <si>
    <t>Remote contingent liabilities reported to Parliament</t>
  </si>
  <si>
    <t>1 April Total</t>
  </si>
  <si>
    <t xml:space="preserve">Increase </t>
  </si>
  <si>
    <t xml:space="preserve">Liabilities crystallised </t>
  </si>
  <si>
    <t xml:space="preserve">Obligation expired </t>
  </si>
  <si>
    <t>restated</t>
  </si>
  <si>
    <t>in year</t>
  </si>
  <si>
    <t>Total</t>
  </si>
  <si>
    <t>PPF remote contingent liabilities</t>
  </si>
  <si>
    <t>Guarantees</t>
  </si>
  <si>
    <t>Indemnities</t>
  </si>
  <si>
    <t>Letters of comfort</t>
  </si>
  <si>
    <t>Taxation revenue (Note 4)</t>
  </si>
  <si>
    <t>Income Tax</t>
  </si>
  <si>
    <t>National Insurance Contributions (NIC)</t>
  </si>
  <si>
    <t>Value Added Tax (VAT)</t>
  </si>
  <si>
    <t>Corporation Tax</t>
  </si>
  <si>
    <t>Hydrocarbon oils duty</t>
  </si>
  <si>
    <t>Excise duty</t>
  </si>
  <si>
    <t>Stamp taxes</t>
  </si>
  <si>
    <t>Capital gains tax</t>
  </si>
  <si>
    <t>Other taxes and duties</t>
  </si>
  <si>
    <t>Central government taxation revenue</t>
  </si>
  <si>
    <t>Council Tax</t>
  </si>
  <si>
    <t>National Non-Domestic Rates (NNDR)</t>
  </si>
  <si>
    <t>Local government taxation revenue</t>
  </si>
  <si>
    <t>Total taxation revenue</t>
  </si>
  <si>
    <t>Social security benefits (Note 6)</t>
  </si>
  <si>
    <t>State Pension</t>
  </si>
  <si>
    <t>Pension Credit</t>
  </si>
  <si>
    <t>TV licences for the over 75’s</t>
  </si>
  <si>
    <t>Pensioner benefits</t>
  </si>
  <si>
    <t>Disability Living Allowance</t>
  </si>
  <si>
    <t>Attendance Allowance</t>
  </si>
  <si>
    <t>Personal Independence Payment</t>
  </si>
  <si>
    <t>Carer’s Allowance</t>
  </si>
  <si>
    <t>Disability and Carer’s benefits</t>
  </si>
  <si>
    <t>Employment and Support allowance</t>
  </si>
  <si>
    <t>Jobseeker’s Allowance</t>
  </si>
  <si>
    <t>Income Support</t>
  </si>
  <si>
    <t>Statutory Sick Pay and Maternity Pay</t>
  </si>
  <si>
    <t>Other working age benefits</t>
  </si>
  <si>
    <t>Universal Credit</t>
  </si>
  <si>
    <t>Working age benefits</t>
  </si>
  <si>
    <t>Tax Credits</t>
  </si>
  <si>
    <t>Child Benefit</t>
  </si>
  <si>
    <t>Other benefits administered by HMRC</t>
  </si>
  <si>
    <t>Housing benefit</t>
  </si>
  <si>
    <t>Other benefits</t>
  </si>
  <si>
    <t>Total social security benefits</t>
  </si>
  <si>
    <t>Staff costs (Note 7)</t>
  </si>
  <si>
    <t>Salaries and wages</t>
  </si>
  <si>
    <t>Social security costs</t>
  </si>
  <si>
    <t>Staff pension costs</t>
  </si>
  <si>
    <t>Pension scheme costs: current service costs (net of employees’ contributions)</t>
  </si>
  <si>
    <t>Pension scheme costs: past service costs</t>
  </si>
  <si>
    <t>Pension scheme costs: losses on settlements and curtailments</t>
  </si>
  <si>
    <t>Expenditure on external pension schemes</t>
  </si>
  <si>
    <t>Less intra-government balances</t>
  </si>
  <si>
    <t>Total staff costs</t>
  </si>
  <si>
    <t>Staff numbers</t>
  </si>
  <si>
    <t>Property, plant and equipment  (Note 12)</t>
  </si>
  <si>
    <t>Infrastructure assets</t>
  </si>
  <si>
    <t>Land and buildings</t>
  </si>
  <si>
    <t>Assets under construction</t>
  </si>
  <si>
    <t>Military equipment</t>
  </si>
  <si>
    <t>Other assets</t>
  </si>
  <si>
    <t>PPE (Note 12)</t>
  </si>
  <si>
    <t>Initial position</t>
  </si>
  <si>
    <t>Additions</t>
  </si>
  <si>
    <t>Revaluations</t>
  </si>
  <si>
    <t>Depreciation</t>
  </si>
  <si>
    <t>Final position</t>
  </si>
  <si>
    <t>PPE [Infrastructure assets] (Note 12)</t>
  </si>
  <si>
    <t>PPE [Land and buildings] (Note 12)</t>
  </si>
  <si>
    <t>PPE contributions by sector</t>
  </si>
  <si>
    <t>Central government</t>
  </si>
  <si>
    <t xml:space="preserve">Local government </t>
  </si>
  <si>
    <t>Public corporations</t>
  </si>
  <si>
    <t>Whole of government</t>
  </si>
  <si>
    <t>Other financial assets (Note 17)</t>
  </si>
  <si>
    <t xml:space="preserve"> £bn</t>
  </si>
  <si>
    <t>Non-current</t>
  </si>
  <si>
    <t>Loans and deposits</t>
  </si>
  <si>
    <t>Student loans</t>
  </si>
  <si>
    <t>Equity investments</t>
  </si>
  <si>
    <t>IMF quota subscription</t>
  </si>
  <si>
    <t>Derivatives and other financial assets</t>
  </si>
  <si>
    <t>Total non-current other financial assets</t>
  </si>
  <si>
    <t>Current</t>
  </si>
  <si>
    <t>Debt securities</t>
  </si>
  <si>
    <t xml:space="preserve">Loans and deposits </t>
  </si>
  <si>
    <t>IMF Special Drawing Rights</t>
  </si>
  <si>
    <t>Total current other financial assets</t>
  </si>
  <si>
    <t>Total other financial assets</t>
  </si>
  <si>
    <t>Trade and other receivables (Note 16)</t>
  </si>
  <si>
    <t>Non-current:</t>
  </si>
  <si>
    <t>Taxation and duties due</t>
  </si>
  <si>
    <t>Trade receivables</t>
  </si>
  <si>
    <t xml:space="preserve">Other receivables </t>
  </si>
  <si>
    <t>EU receivables</t>
  </si>
  <si>
    <t>Prepayments and accrued revenue</t>
  </si>
  <si>
    <t>Welfare overpayments</t>
  </si>
  <si>
    <t>Contract Assets</t>
  </si>
  <si>
    <t>PFI Prepayments</t>
  </si>
  <si>
    <t>Total before impairment</t>
  </si>
  <si>
    <t>Less: provision for impairment of receivables</t>
  </si>
  <si>
    <t>Restatement</t>
  </si>
  <si>
    <t xml:space="preserve">Total non-current trade and other receivables </t>
  </si>
  <si>
    <t>Current:</t>
  </si>
  <si>
    <t xml:space="preserve">Accrued tax revenue receivable </t>
  </si>
  <si>
    <t>Taxation and duties receivable</t>
  </si>
  <si>
    <t>Court fines</t>
  </si>
  <si>
    <t xml:space="preserve">Total before impairment </t>
  </si>
  <si>
    <t>Total current trade and other receivables</t>
  </si>
  <si>
    <t>Total trade and other receivables</t>
  </si>
  <si>
    <t>Public sector pensions (Note 25)</t>
  </si>
  <si>
    <t xml:space="preserve">Unfunded schemes </t>
  </si>
  <si>
    <t xml:space="preserve">   NHS (UK)</t>
  </si>
  <si>
    <t xml:space="preserve">   Teachers (UK)</t>
  </si>
  <si>
    <t xml:space="preserve">   Civil Service</t>
  </si>
  <si>
    <t xml:space="preserve">   Armed Forces</t>
  </si>
  <si>
    <t xml:space="preserve">   Police</t>
  </si>
  <si>
    <t xml:space="preserve">   Royal Mail</t>
  </si>
  <si>
    <t xml:space="preserve">   Fire</t>
  </si>
  <si>
    <t xml:space="preserve">   Other unfunded</t>
  </si>
  <si>
    <t>Funded schemes</t>
  </si>
  <si>
    <t xml:space="preserve">   Local government</t>
  </si>
  <si>
    <t xml:space="preserve">   Other funded</t>
  </si>
  <si>
    <t>Restatements</t>
  </si>
  <si>
    <t xml:space="preserve">Public sector pension liability </t>
  </si>
  <si>
    <t>Net liability at 1 April</t>
  </si>
  <si>
    <t>Boundary adjustment</t>
  </si>
  <si>
    <t xml:space="preserve">Net (gains)/losses on revaluation </t>
  </si>
  <si>
    <t>Current service costs (net of employees’ contributions)</t>
  </si>
  <si>
    <t>Net interest costs</t>
  </si>
  <si>
    <t>Unfunded schemes benefits paid</t>
  </si>
  <si>
    <t>Past service costs</t>
  </si>
  <si>
    <t>Net settlements/curtailments</t>
  </si>
  <si>
    <t>Contribution by unfunded scheme participants</t>
  </si>
  <si>
    <t>Contribution by funded scheme employers</t>
  </si>
  <si>
    <t>Net transfers in/(out)</t>
  </si>
  <si>
    <t xml:space="preserve">Net liability at 31 March </t>
  </si>
  <si>
    <t>Government borrowings (Note 21)</t>
  </si>
  <si>
    <t>National Savings and Investment products (NS&amp;I)</t>
  </si>
  <si>
    <t>Treasury bills</t>
  </si>
  <si>
    <t>Gilts</t>
  </si>
  <si>
    <t>Total current government borrowings</t>
  </si>
  <si>
    <t>Total non-current government borrowings</t>
  </si>
  <si>
    <t>Total government borrowings</t>
  </si>
  <si>
    <t>Other financial liabilities (Note 22)</t>
  </si>
  <si>
    <t xml:space="preserve">£bn </t>
  </si>
  <si>
    <t xml:space="preserve">   Deposits by banks</t>
  </si>
  <si>
    <t xml:space="preserve">   Banknotes in circulation</t>
  </si>
  <si>
    <t xml:space="preserve">   Bank and other borrowings</t>
  </si>
  <si>
    <t xml:space="preserve">   IMF Special Drawing Rights liability</t>
  </si>
  <si>
    <t xml:space="preserve">   Debt securities</t>
  </si>
  <si>
    <t xml:space="preserve">   Derivatives </t>
  </si>
  <si>
    <t>Financial Guarantees</t>
  </si>
  <si>
    <t>IFRS 16 Liabilities</t>
  </si>
  <si>
    <t>Total current other financial liabilities</t>
  </si>
  <si>
    <t xml:space="preserve">   Deposits by bank</t>
  </si>
  <si>
    <t xml:space="preserve">   Derivatives</t>
  </si>
  <si>
    <t xml:space="preserve">   Financial Guarantees</t>
  </si>
  <si>
    <t>Total non-current other financial liabilities</t>
  </si>
  <si>
    <t>Trade and other payables (Note 20)</t>
  </si>
  <si>
    <t xml:space="preserve">Trade and other payables </t>
  </si>
  <si>
    <t>Accruals and deferred income</t>
  </si>
  <si>
    <t>Refunds of taxation and duties payable</t>
  </si>
  <si>
    <t>Imputed finance lease element of on-balance sheet PFI contracts</t>
  </si>
  <si>
    <t xml:space="preserve">Obligations under finance leases </t>
  </si>
  <si>
    <t>Contract liabilities</t>
  </si>
  <si>
    <t>Bank and other borrowings</t>
  </si>
  <si>
    <t xml:space="preserve">Total current trade and other payables </t>
  </si>
  <si>
    <t xml:space="preserve">Total non-current trade and other payables </t>
  </si>
  <si>
    <t>Total trade and other payables</t>
  </si>
  <si>
    <t>Other revenue (Note 5)</t>
  </si>
  <si>
    <t>Old headings</t>
  </si>
  <si>
    <t>Sale of goods and services</t>
  </si>
  <si>
    <t>Sales of goods and services</t>
  </si>
  <si>
    <t>Levies</t>
  </si>
  <si>
    <t>Fees, levies and charges</t>
  </si>
  <si>
    <t>Court Fines and penalties</t>
  </si>
  <si>
    <t>Rental income</t>
  </si>
  <si>
    <t>Passenger Transport and income from Train operating companies</t>
  </si>
  <si>
    <t>Interest income</t>
  </si>
  <si>
    <t>Other fees and charges</t>
  </si>
  <si>
    <t>Net profit (Loss) on sale of assets</t>
  </si>
  <si>
    <t>EU Income</t>
  </si>
  <si>
    <t>EU income</t>
  </si>
  <si>
    <t>Private sector contributions to local services</t>
  </si>
  <si>
    <t>License income</t>
  </si>
  <si>
    <t>Pension scheme income</t>
  </si>
  <si>
    <t>Revenue from contracts</t>
  </si>
  <si>
    <t>NHS related income</t>
  </si>
  <si>
    <t>Train operator franchise income</t>
  </si>
  <si>
    <t>Deferred income</t>
  </si>
  <si>
    <t>NHS fees and charges (dental, presecription and other)</t>
  </si>
  <si>
    <t>licence income</t>
  </si>
  <si>
    <t>Other income from the NHS</t>
  </si>
  <si>
    <t>Grants from private sector</t>
  </si>
  <si>
    <t>NHS Income</t>
  </si>
  <si>
    <t>CRC allowance sales and EY emmissions trading scheme</t>
  </si>
  <si>
    <t>Charitable income</t>
  </si>
  <si>
    <t>Pensions other</t>
  </si>
  <si>
    <t>Recoveries and recharges</t>
  </si>
  <si>
    <t>Pension Income</t>
  </si>
  <si>
    <t>Share of profit/(loss) of associates and joint ventures</t>
  </si>
  <si>
    <t>CRC allowances sales and EU emissions trading scheme</t>
  </si>
  <si>
    <t>miscellaneous operating income</t>
  </si>
  <si>
    <t>Miscellaneous operating revenue</t>
  </si>
  <si>
    <t>Total other revenue</t>
  </si>
  <si>
    <t>Other Income</t>
  </si>
  <si>
    <t>Total Other Revenue</t>
  </si>
  <si>
    <t>PFI assets (Note 12)</t>
  </si>
  <si>
    <t xml:space="preserve">      Other assets                            </t>
  </si>
  <si>
    <t xml:space="preserve">                  Total</t>
  </si>
  <si>
    <t>Asset financing:</t>
  </si>
  <si>
    <t>Owned</t>
  </si>
  <si>
    <t>Finance leased</t>
  </si>
  <si>
    <t>On balance sheet PFI contracts</t>
  </si>
  <si>
    <t>Carrying amount at 31 March 2024</t>
  </si>
  <si>
    <t>Carrying amount at 31 March 2023</t>
  </si>
  <si>
    <t>PFI reversionary interest</t>
  </si>
  <si>
    <t>Carrying amount at 31 March 2022</t>
  </si>
  <si>
    <t>Carrying amount at 31 March 2021</t>
  </si>
  <si>
    <t>Carrying amount at 31 March 2020</t>
  </si>
  <si>
    <t>Carrying amount at 31 March 2019</t>
  </si>
  <si>
    <t>Carrying amount at 31 March 2018</t>
  </si>
  <si>
    <t>Carrying amount at 31 March 2017</t>
  </si>
  <si>
    <t>Carrying amount at 31 March 2016</t>
  </si>
  <si>
    <t>Carrying amount at 31 March 2015 (restated)</t>
  </si>
  <si>
    <t>Carrying amount at 31 March 2014</t>
  </si>
  <si>
    <t>Carrying amount at 31 March 2013</t>
  </si>
  <si>
    <t>Net Book Value (restated) 31 March 2013</t>
  </si>
  <si>
    <t>Carrying amount at 31 March 2012</t>
  </si>
  <si>
    <t>Net Book Value (restated) 31 March 2012</t>
  </si>
  <si>
    <t>Carrying amount at 31 March 2011</t>
  </si>
  <si>
    <t>Net Book Value (restated) 31 March 2011</t>
  </si>
  <si>
    <t>Carrying amount at 31 March 2010</t>
  </si>
  <si>
    <t>Net Book Value (restated) 31 March 2010</t>
  </si>
  <si>
    <t>PFI commitments</t>
  </si>
  <si>
    <t>Total service charges</t>
  </si>
  <si>
    <t>Central government departments and entities within the NHS</t>
  </si>
  <si>
    <t>Local authorities</t>
  </si>
  <si>
    <t>Gross present value of future finance lease obligations</t>
  </si>
  <si>
    <t>Other financial assets</t>
  </si>
  <si>
    <t>Taxation revenue</t>
  </si>
  <si>
    <t>Trade and other receivables</t>
  </si>
  <si>
    <t>Public sector pensions</t>
  </si>
  <si>
    <t>Government borrowings</t>
  </si>
  <si>
    <t>Other financial liabilities</t>
  </si>
  <si>
    <t>Trade and other payables</t>
  </si>
  <si>
    <t>Expenditure on public services</t>
  </si>
  <si>
    <t>BoE inflation rate</t>
  </si>
  <si>
    <t>Row Labels</t>
  </si>
  <si>
    <t>Increase</t>
  </si>
  <si>
    <t>Decrease</t>
  </si>
  <si>
    <t>Base</t>
  </si>
  <si>
    <t xml:space="preserve">Central Government  </t>
  </si>
  <si>
    <t>Local Government</t>
  </si>
  <si>
    <t>Public Corporations</t>
  </si>
  <si>
    <t>Property, plant and equipment</t>
  </si>
  <si>
    <t>Government Borrowings</t>
  </si>
  <si>
    <t>Provisions</t>
  </si>
  <si>
    <t>WGA net liabilities</t>
  </si>
  <si>
    <t>Check</t>
  </si>
  <si>
    <t>Data copied from main data vv</t>
  </si>
  <si>
    <t>Mapping</t>
  </si>
  <si>
    <t>Calculations</t>
  </si>
  <si>
    <t>Calculations:</t>
  </si>
  <si>
    <t>March 2010</t>
  </si>
  <si>
    <t>March 2024</t>
  </si>
  <si>
    <t>Central government - entity accounts</t>
  </si>
  <si>
    <t>Central Government
Property, Plant and Equipment
2024
(£ billion)</t>
  </si>
  <si>
    <t>Transport: DfT + TfL e.g. roads and rail</t>
  </si>
  <si>
    <t>Defence: MOD e.g. military assets</t>
  </si>
  <si>
    <t>Education: DfE + SARA e.g. schools</t>
  </si>
  <si>
    <t>Health: DHSC e.g. hospitals</t>
  </si>
  <si>
    <t>SR version</t>
  </si>
  <si>
    <t>Water infrastructure assets</t>
  </si>
  <si>
    <t>Pre 2015 total</t>
  </si>
  <si>
    <t>Road infrastructure assets</t>
  </si>
  <si>
    <t>Rail infrastructure assets</t>
  </si>
  <si>
    <t>Total per accounts</t>
  </si>
  <si>
    <t>Old data</t>
  </si>
  <si>
    <t>Non-current student loans</t>
  </si>
  <si>
    <t>Current - student loans</t>
  </si>
  <si>
    <t>Student Loans</t>
  </si>
  <si>
    <t>March 2014</t>
  </si>
  <si>
    <t>New Loans</t>
  </si>
  <si>
    <t>Repayments</t>
  </si>
  <si>
    <t>Fair Value</t>
  </si>
  <si>
    <t>Impairment</t>
  </si>
  <si>
    <t>Discount rate</t>
  </si>
  <si>
    <t>Fair Value movement</t>
  </si>
  <si>
    <t>Effects of change in discount rate</t>
  </si>
  <si>
    <t>Final position
 (as of March 2024)</t>
  </si>
  <si>
    <t xml:space="preserve"> </t>
  </si>
  <si>
    <t>Cash and liquid investments 15-year trend trends</t>
  </si>
  <si>
    <t>Not split by segment - taken directly from SOFPs in WGA</t>
  </si>
  <si>
    <t>WGA</t>
  </si>
  <si>
    <t>Cash at bank</t>
  </si>
  <si>
    <t>Readily convertible investments</t>
  </si>
  <si>
    <t>Cash as % of readily convertible assets and cash</t>
  </si>
  <si>
    <t>Nuclear Decommissioning</t>
  </si>
  <si>
    <t>Clinical Negligence</t>
  </si>
  <si>
    <t>Pension Protection Fund</t>
  </si>
  <si>
    <t>EU liabilties</t>
  </si>
  <si>
    <t>Applicable discount rate</t>
  </si>
  <si>
    <t>Contingent liabilities (disclosed under IAS 37)</t>
  </si>
  <si>
    <t>Contingent liabilities (remote)</t>
  </si>
  <si>
    <t>FCDO contigences</t>
  </si>
  <si>
    <t xml:space="preserve">Indemnities </t>
  </si>
  <si>
    <t>Letters of Credit</t>
  </si>
  <si>
    <t>PPF</t>
  </si>
  <si>
    <t>EIB Guarantee</t>
  </si>
  <si>
    <t>Nuclear Decommissioning (Provision)</t>
  </si>
  <si>
    <t>Nuclear decommissioning (CL)</t>
  </si>
  <si>
    <t>Clinical Negligence (Provision)</t>
  </si>
  <si>
    <t>Clinical Negligence (CL)</t>
  </si>
  <si>
    <t>General provisions long-term discount rate (nominal after 2017-18)</t>
  </si>
  <si>
    <t>Number of new cases</t>
  </si>
  <si>
    <t>Intangible assets</t>
  </si>
  <si>
    <t>Natwest (Formerly RBS)</t>
  </si>
  <si>
    <t>Lloyds Bank</t>
  </si>
  <si>
    <t>Equity investments (including investment in backs)</t>
  </si>
  <si>
    <t>of which - Natwest (formerly RBS)</t>
  </si>
  <si>
    <t xml:space="preserve">   Current deposits by banks</t>
  </si>
  <si>
    <t xml:space="preserve">   Non-current deposits by bank</t>
  </si>
  <si>
    <t>20/21</t>
  </si>
  <si>
    <t>21/22</t>
  </si>
  <si>
    <t>22/23</t>
  </si>
  <si>
    <t>Non-current gilts</t>
  </si>
  <si>
    <t>Current gilts</t>
  </si>
  <si>
    <t>NS&amp;I</t>
  </si>
  <si>
    <t>Interest</t>
  </si>
  <si>
    <t>Checks</t>
  </si>
  <si>
    <t>IMF assets</t>
  </si>
  <si>
    <t xml:space="preserve">Derivatives and other </t>
  </si>
  <si>
    <t>total (current and non current)</t>
  </si>
  <si>
    <t>total</t>
  </si>
  <si>
    <t>check</t>
  </si>
  <si>
    <t>NHS (UK)</t>
  </si>
  <si>
    <t>Teachers (UK)</t>
  </si>
  <si>
    <t>Civil Service</t>
  </si>
  <si>
    <t>Armed Forces</t>
  </si>
  <si>
    <t>Police</t>
  </si>
  <si>
    <t>Local government</t>
  </si>
  <si>
    <t>Post employment benefit discount rate (nominal from 2017-18)</t>
  </si>
  <si>
    <t>Year</t>
  </si>
  <si>
    <t>Public sector pension schemes liability (£ billion)</t>
  </si>
  <si>
    <t>Average discount rates applicable to CG pension schemes (%)</t>
  </si>
  <si>
    <t>Inflation expectations high at the time - looks weird on graph but might be reasonable</t>
  </si>
  <si>
    <t>&lt;--- on review this seems morte likely to be accurate</t>
  </si>
  <si>
    <t>Years added to preserve 10 year interval showing on x-axis (no data available from BEIS)</t>
  </si>
  <si>
    <t>2018/19</t>
  </si>
  <si>
    <t>19/20</t>
  </si>
  <si>
    <t>23/24</t>
  </si>
  <si>
    <t>24/25</t>
  </si>
  <si>
    <t>25/26</t>
  </si>
  <si>
    <t>26/27</t>
  </si>
  <si>
    <t>27/28</t>
  </si>
  <si>
    <t>2028/29</t>
  </si>
  <si>
    <t>29/30</t>
  </si>
  <si>
    <t>30/31</t>
  </si>
  <si>
    <t>31/32</t>
  </si>
  <si>
    <t>32/33</t>
  </si>
  <si>
    <t>33/34</t>
  </si>
  <si>
    <t>34/35</t>
  </si>
  <si>
    <t>35/36</t>
  </si>
  <si>
    <t>36/37</t>
  </si>
  <si>
    <t>37/38</t>
  </si>
  <si>
    <t>2038/39</t>
  </si>
  <si>
    <t>39/40</t>
  </si>
  <si>
    <t>40/41</t>
  </si>
  <si>
    <t>41/42</t>
  </si>
  <si>
    <t>42/43</t>
  </si>
  <si>
    <t>43/44</t>
  </si>
  <si>
    <t>44/45</t>
  </si>
  <si>
    <t>45/46</t>
  </si>
  <si>
    <t>46/47</t>
  </si>
  <si>
    <t>47/48</t>
  </si>
  <si>
    <t>2048/49</t>
  </si>
  <si>
    <t>49/50</t>
  </si>
  <si>
    <t>50/51</t>
  </si>
  <si>
    <t>51/52</t>
  </si>
  <si>
    <t>52/53</t>
  </si>
  <si>
    <t>53/54</t>
  </si>
  <si>
    <t>54/55</t>
  </si>
  <si>
    <t>55/56</t>
  </si>
  <si>
    <t>56/57</t>
  </si>
  <si>
    <t>57/58</t>
  </si>
  <si>
    <t>2058/59</t>
  </si>
  <si>
    <t>59/60</t>
  </si>
  <si>
    <t>60/61</t>
  </si>
  <si>
    <t>61/62</t>
  </si>
  <si>
    <t>62/63</t>
  </si>
  <si>
    <t>63/64</t>
  </si>
  <si>
    <t>64/65</t>
  </si>
  <si>
    <t>65/66</t>
  </si>
  <si>
    <t>66/67</t>
  </si>
  <si>
    <t>67/68</t>
  </si>
  <si>
    <t>2068/69</t>
  </si>
  <si>
    <t>69/70</t>
  </si>
  <si>
    <t>70/71</t>
  </si>
  <si>
    <t>71/72</t>
  </si>
  <si>
    <t>72/73</t>
  </si>
  <si>
    <t>73/74</t>
  </si>
  <si>
    <t>74/75</t>
  </si>
  <si>
    <t>75/76</t>
  </si>
  <si>
    <t>76/77</t>
  </si>
  <si>
    <t>77/78</t>
  </si>
  <si>
    <t>2078/79</t>
  </si>
  <si>
    <t>79/80</t>
  </si>
  <si>
    <t>80/81</t>
  </si>
  <si>
    <t>81/82</t>
  </si>
  <si>
    <t>82/83</t>
  </si>
  <si>
    <t>83/84</t>
  </si>
  <si>
    <t>84/85</t>
  </si>
  <si>
    <t>85/86</t>
  </si>
  <si>
    <t>86/87</t>
  </si>
  <si>
    <t>87/88</t>
  </si>
  <si>
    <t>2088/89</t>
  </si>
  <si>
    <t>89/90</t>
  </si>
  <si>
    <t>90/91</t>
  </si>
  <si>
    <t>91/92</t>
  </si>
  <si>
    <t>92/93</t>
  </si>
  <si>
    <t>93/94</t>
  </si>
  <si>
    <t>94/95</t>
  </si>
  <si>
    <t>95/96</t>
  </si>
  <si>
    <t>96/97</t>
  </si>
  <si>
    <t>97/98</t>
  </si>
  <si>
    <t>2098/99</t>
  </si>
  <si>
    <t>99/00</t>
  </si>
  <si>
    <t>00/01</t>
  </si>
  <si>
    <t>01/02</t>
  </si>
  <si>
    <t>02/03</t>
  </si>
  <si>
    <t>03/04</t>
  </si>
  <si>
    <t>04/05</t>
  </si>
  <si>
    <t>05/06</t>
  </si>
  <si>
    <t>06/07</t>
  </si>
  <si>
    <t>07/08</t>
  </si>
  <si>
    <t>08/09</t>
  </si>
  <si>
    <t>09/10</t>
  </si>
  <si>
    <t>10/11</t>
  </si>
  <si>
    <t>11/12</t>
  </si>
  <si>
    <t>12/13</t>
  </si>
  <si>
    <t>13/14</t>
  </si>
  <si>
    <t>14/15</t>
  </si>
  <si>
    <t>15/16</t>
  </si>
  <si>
    <t>16/17</t>
  </si>
  <si>
    <t>17/18</t>
  </si>
  <si>
    <t>18/19</t>
  </si>
  <si>
    <t>28/29</t>
  </si>
  <si>
    <t>137/138</t>
  </si>
  <si>
    <t>2138/39</t>
  </si>
  <si>
    <t>Sellafield</t>
  </si>
  <si>
    <t>Rest of programme</t>
  </si>
  <si>
    <t>Obtained from Financial Reporting team BEIS</t>
  </si>
  <si>
    <t>38/39</t>
  </si>
  <si>
    <t>48/49</t>
  </si>
  <si>
    <t>58/59</t>
  </si>
  <si>
    <t>68/69</t>
  </si>
  <si>
    <t>78/79</t>
  </si>
  <si>
    <t>88/89</t>
  </si>
  <si>
    <t>98/99</t>
  </si>
  <si>
    <t>99/100</t>
  </si>
  <si>
    <t>Tax revenue</t>
  </si>
  <si>
    <t>Average expenditure on public services</t>
  </si>
  <si>
    <t>Other expenditure</t>
  </si>
  <si>
    <t>Total net expenditure</t>
  </si>
  <si>
    <t>5 year increase in tax</t>
  </si>
  <si>
    <t>Total revenue</t>
  </si>
  <si>
    <t>% of tax revenue</t>
  </si>
  <si>
    <t xml:space="preserve">  Income tax</t>
  </si>
  <si>
    <t xml:space="preserve">  National Insurance</t>
  </si>
  <si>
    <t xml:space="preserve">  VAT</t>
  </si>
  <si>
    <t xml:space="preserve">  Corporation tax</t>
  </si>
  <si>
    <t xml:space="preserve">  Hydrocarbon oil duty</t>
  </si>
  <si>
    <t xml:space="preserve">  Local government taxes</t>
  </si>
  <si>
    <t xml:space="preserve">  Other</t>
  </si>
  <si>
    <t>Purchases of goods, services and other expenditure</t>
  </si>
  <si>
    <t>Depreciation and impairment</t>
  </si>
  <si>
    <t>Calculatons:</t>
  </si>
  <si>
    <t>Pensioner</t>
  </si>
  <si>
    <t>Disability and carers</t>
  </si>
  <si>
    <t>Working age</t>
  </si>
  <si>
    <t>Housing</t>
  </si>
  <si>
    <t>Per summary below</t>
  </si>
  <si>
    <t>Thousands</t>
  </si>
  <si>
    <t>Armed Forces Independence Payment</t>
  </si>
  <si>
    <t>WGA Disability Benefits (£ billion)</t>
  </si>
  <si>
    <t xml:space="preserve">2015-16 </t>
  </si>
  <si>
    <t xml:space="preserve">2016-17 </t>
  </si>
  <si>
    <t xml:space="preserve">2017-18 </t>
  </si>
  <si>
    <t xml:space="preserve">2018-19 </t>
  </si>
  <si>
    <t xml:space="preserve">2019-20 </t>
  </si>
  <si>
    <t xml:space="preserve">2020-21 </t>
  </si>
  <si>
    <t xml:space="preserve">2021-22 </t>
  </si>
  <si>
    <t xml:space="preserve">2022-23 </t>
  </si>
  <si>
    <t xml:space="preserve">2023-24 </t>
  </si>
  <si>
    <t>Benefit expenditure and caseload tables 2024 - GOV.UK</t>
  </si>
  <si>
    <t>Stat-Xplore - Log in</t>
  </si>
  <si>
    <t>Claimant count (thousands)</t>
  </si>
  <si>
    <t>Average claimant count (thousands)</t>
  </si>
  <si>
    <t>Working Age benefits (£ bn)</t>
  </si>
  <si>
    <t>Out of work benefits - Office for National Statistics</t>
  </si>
  <si>
    <t>Pension costs</t>
  </si>
  <si>
    <t>Total expenditure on public services less staff costs</t>
  </si>
  <si>
    <t>Staff Numbers</t>
  </si>
  <si>
    <t>Figure A.7 Changes to the number of bodies within the WGA boundary, excluding academies</t>
  </si>
  <si>
    <t>Figure A.9 15 year trend of inflation</t>
  </si>
  <si>
    <t>Figure A.10 15 year trend on assets and liabilities</t>
  </si>
  <si>
    <t>Figure A.11 Assets</t>
  </si>
  <si>
    <t>Figure A.12 Property, plant and equipment</t>
  </si>
  <si>
    <t>Figure A.13 Property, plant and equipment: analysis of the change</t>
  </si>
  <si>
    <t>Movements</t>
  </si>
  <si>
    <t>Figure A.14 Property, plant and equipment by sector</t>
  </si>
  <si>
    <t>Figure A.15 Infrastructure Assets</t>
  </si>
  <si>
    <t>Figure A.16 Infrastructure assets: analysis of the change</t>
  </si>
  <si>
    <t xml:space="preserve">Figure A.17 Land and buildings </t>
  </si>
  <si>
    <t>Figure A.18 Land and Buildings – analysis of change</t>
  </si>
  <si>
    <t>Figure A.20 Student Loans</t>
  </si>
  <si>
    <t>Figure A.21 Student loans: analysis of the change over 10 years</t>
  </si>
  <si>
    <t>Figure A.22 Equity Investments</t>
  </si>
  <si>
    <t xml:space="preserve">Figure A.23 Equity investment in NatWest </t>
  </si>
  <si>
    <t>Figure A.24 - Intangible assets</t>
  </si>
  <si>
    <t>Figure A.25 Cash</t>
  </si>
  <si>
    <t>Data mapping v</t>
  </si>
  <si>
    <t>Figure A.26 Liabilities</t>
  </si>
  <si>
    <t xml:space="preserve">Figure A.27 Government borrowings </t>
  </si>
  <si>
    <t xml:space="preserve">Figure A.28 Public sector pensions </t>
  </si>
  <si>
    <t xml:space="preserve">Figure A.29 Interactions between pension liabilities and discount rates </t>
  </si>
  <si>
    <t xml:space="preserve">A.30 Potential future expenditure: provisions and contingent liabilities </t>
  </si>
  <si>
    <t>Figure A.31 Provisions</t>
  </si>
  <si>
    <t>Figure A.32 Contingent liabilities</t>
  </si>
  <si>
    <t>Figure A.33 Nuclear decommissioning</t>
  </si>
  <si>
    <t>Figure A.34 Clinical negligence: number of new clinical claims and reported incidents</t>
  </si>
  <si>
    <t>Figure A.34 Clinical negligence: 15 year trend</t>
  </si>
  <si>
    <t xml:space="preserve">Figure A.35 Deposits by banks </t>
  </si>
  <si>
    <t>Figure A.36 15-year trend on income and expenditure</t>
  </si>
  <si>
    <t>Figure A.37 15 year trend – Income</t>
  </si>
  <si>
    <t xml:space="preserve">Figure A.38 Taxation Revenue by Type over time </t>
  </si>
  <si>
    <t xml:space="preserve">Figure A.44 15 year trend - Expenditure on public services </t>
  </si>
  <si>
    <t>Figure A.46 15 year trend – Social Security Benefits</t>
  </si>
  <si>
    <t>Figure A.45 Breakdown of social benefit payments (£ billion)</t>
  </si>
  <si>
    <t>Figure A.47 State pension</t>
  </si>
  <si>
    <t>Figure A.48 15 year trend – Disability Benefits</t>
  </si>
  <si>
    <t>Figure A.49 15 year trend – Working Age Benefits</t>
  </si>
  <si>
    <t>Figure A.50 15 year trend – Wages and Salaries</t>
  </si>
  <si>
    <t>Figure A.51 Staff costs as a proportion of total expenditure on public services</t>
  </si>
  <si>
    <t xml:space="preserve">Figure A.53 Staff numbers </t>
  </si>
  <si>
    <t>Working for chart - based on main data below</t>
  </si>
  <si>
    <t>Contingent liabilities under IAS37</t>
  </si>
  <si>
    <t>Total potential future expenditure</t>
  </si>
  <si>
    <t>Central Government</t>
  </si>
  <si>
    <t>Public Corps &amp; Banks</t>
  </si>
  <si>
    <t xml:space="preserve">Figure A.1 Staff costs by sector </t>
  </si>
  <si>
    <t>The following tabs set out the charts included in the Performance Report section of the 23-24 Whole of Government Accounts.  They should be read in conjunction with the published accounts.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</si>
</sst>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0">
    <numFmt numFmtId="6" formatCode="&quot;£&quot;#,##0;[Red]\-&quot;£&quot;#,##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[Red]\(&quot;$&quot;#,##0.00\)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-* #,##0.0_-;\-* #,##0.0_-;_-* &quot;-&quot;??_-;_-@_-"/>
    <numFmt numFmtId="171" formatCode="0.0"/>
    <numFmt numFmtId="172" formatCode="0.0%"/>
    <numFmt numFmtId="173" formatCode="_-* #,##0_-;\-* #,##0_-;_-* &quot;-&quot;??_-;_-@_-"/>
    <numFmt numFmtId="174" formatCode="0.000"/>
    <numFmt numFmtId="175" formatCode="0.0000"/>
    <numFmt numFmtId="176" formatCode="&quot;to &quot;0.0000;&quot;to &quot;\-0.0000;&quot;to 0&quot;"/>
    <numFmt numFmtId="177" formatCode="#,##0;\-#,##0;\-"/>
    <numFmt numFmtId="178" formatCode="[&lt;0.0001]&quot;&lt;0.0001&quot;;0.0000"/>
    <numFmt numFmtId="179" formatCode="#,##0.0,,;\-#,##0.0,,;\-"/>
    <numFmt numFmtId="180" formatCode="#,##0,;\-#,##0,;\-"/>
    <numFmt numFmtId="181" formatCode="0.0%;\-0.0%;\-"/>
    <numFmt numFmtId="182" formatCode="#,##0.0,,;\-#,##0.0,,"/>
    <numFmt numFmtId="183" formatCode="#,##0,;\-#,##0,"/>
    <numFmt numFmtId="184" formatCode="0.0%;\-0.0%"/>
    <numFmt numFmtId="185" formatCode="#,##0.0_-;\(#,##0.0\);_-* &quot;-&quot;??_-"/>
    <numFmt numFmtId="186" formatCode="_-[$€-2]* #,##0.00_-;\-[$€-2]* #,##0.00_-;_-[$€-2]* &quot;-&quot;??_-"/>
    <numFmt numFmtId="187" formatCode="##0.0"/>
    <numFmt numFmtId="188" formatCode="##0.0\ \e"/>
    <numFmt numFmtId="189" formatCode="#,##0.0"/>
    <numFmt numFmtId="190" formatCode="#,##0_);\(#,##0\);&quot;-&quot;_)"/>
    <numFmt numFmtId="191" formatCode="General_)"/>
    <numFmt numFmtId="192" formatCode="&quot;$&quot;#,##0.0;[Red]\-&quot;$&quot;#,##0.0"/>
    <numFmt numFmtId="193" formatCode="#,##0;\(#,##0\)"/>
    <numFmt numFmtId="194" formatCode="#,##0_%_);\(#,##0\)_%;**;@_%_)"/>
    <numFmt numFmtId="195" formatCode="#,##0_%_);\(#,##0\)_%;#,##0_%_);@_%_)"/>
    <numFmt numFmtId="196" formatCode="#,##0.00_%_);\(#,##0.00\)_%;**;@_%_)"/>
    <numFmt numFmtId="197" formatCode="#,##0.00_%_);\(#,##0.00\)_%;#,##0.00_%_);@_%_)"/>
    <numFmt numFmtId="198" formatCode="#,##0.000_%_);\(#,##0.000\)_%;**;@_%_)"/>
    <numFmt numFmtId="199" formatCode="#,##0.0_%_);\(#,##0.0\)_%;**;@_%_)"/>
    <numFmt numFmtId="200" formatCode="[$¥-411]#,##0"/>
    <numFmt numFmtId="201" formatCode="&quot;$&quot;#,##0.00_%_);\(&quot;$&quot;#,##0.00\)_%;**;@_%_)"/>
    <numFmt numFmtId="202" formatCode="&quot;$&quot;#,##0.000_%_);\(&quot;$&quot;#,##0.000\)_%;**;@_%_)"/>
    <numFmt numFmtId="203" formatCode="&quot;$&quot;#,##0.0_%_);\(&quot;$&quot;#,##0.0\)_%;**;@_%_)"/>
    <numFmt numFmtId="204" formatCode="#,##0_);\(#,##0.0\)"/>
    <numFmt numFmtId="205" formatCode="###0.00_)"/>
    <numFmt numFmtId="206" formatCode="m/d/yy_%_);;**"/>
    <numFmt numFmtId="207" formatCode="m/d/yy_%_)"/>
    <numFmt numFmtId="208" formatCode="m/d/yy\ h:mm"/>
    <numFmt numFmtId="209" formatCode="_([$€]* #,##0.00_);_([$€]* \(#,##0.00\);_([$€]* &quot;-&quot;??_);_(@_)"/>
    <numFmt numFmtId="210" formatCode="0.0;\(0.0\)"/>
    <numFmt numFmtId="211" formatCode="0.0;;&quot;TBD&quot;"/>
    <numFmt numFmtId="212" formatCode="#,##0.0_x_)_);&quot;NM&quot;_x_)_);#,##0.0_x_)_);@_x_)_)"/>
    <numFmt numFmtId="213" formatCode="#,##0.0000\ ;[Red]\(#,##0.0000\)"/>
    <numFmt numFmtId="214" formatCode="0.0%_);\(0.0%\);**;@_%_)"/>
    <numFmt numFmtId="215" formatCode="%#."/>
    <numFmt numFmtId="216" formatCode="#,##0.0_);\(#,##0.0\)"/>
    <numFmt numFmtId="217" formatCode="mmm\ dd\,\ yyyy"/>
    <numFmt numFmtId="218" formatCode="mmm\-yyyy"/>
    <numFmt numFmtId="219" formatCode="yyyy"/>
    <numFmt numFmtId="220" formatCode="&quot;$&quot;#,##0.0_);\(&quot;$&quot;#,##0.00\)"/>
    <numFmt numFmtId="221" formatCode="_-* #,##0.0_-;\(#,##0.0\);_-* &quot;-&quot;??_-;_-@_-"/>
    <numFmt numFmtId="222" formatCode="_-* #,##0.0_-;\-* #,##0.0_-;_-* &quot;-&quot;?_-;_-@_-"/>
    <numFmt numFmtId="223" formatCode="_-* #,##0_-;\(#,##0\);_-* &quot;-&quot;??_-;_-@_-"/>
    <numFmt numFmtId="224" formatCode="&quot;\&quot;#,##0.00;[Red]&quot;\&quot;\-#,##0.00"/>
    <numFmt numFmtId="225" formatCode="&quot;\&quot;#,##0;[Red]&quot;\&quot;\-#,##0"/>
    <numFmt numFmtId="226" formatCode="&quot;$&quot;_(#,##0.00_);&quot;$&quot;\(#,##0.00\)"/>
    <numFmt numFmtId="227" formatCode="&quot;£&quot;_(#,##0.00_);&quot;£&quot;\(#,##0.00\)"/>
    <numFmt numFmtId="228" formatCode="#,##0.0_)\x;\(#,##0.0\)\x"/>
    <numFmt numFmtId="229" formatCode="#,##0.0_)_x;\(#,##0.0\)_x"/>
    <numFmt numFmtId="230" formatCode="0.0_)\%;\(0.0\)\%"/>
    <numFmt numFmtId="231" formatCode="#,##0.0_)_%;\(#,##0.0\)_%"/>
    <numFmt numFmtId="232" formatCode="#,##0_);[Red]\(#,##0\);\-_);@_)"/>
    <numFmt numFmtId="233" formatCode="\£#,##0_);[Red]\(\£#,##0\);\£\-_);@_)"/>
    <numFmt numFmtId="234" formatCode="#,##0%_);[Red]\(#,##0%\);\-\%_);@_)"/>
    <numFmt numFmtId="235" formatCode="d\ mmm\ yy"/>
    <numFmt numFmtId="236" formatCode="0\ &quot;bp&quot;"/>
    <numFmt numFmtId="237" formatCode="&quot;$&quot;#,##0_);[Red]\(&quot;$&quot;#,##0\);&quot;-&quot;"/>
    <numFmt numFmtId="238" formatCode="0.0\ \x"/>
    <numFmt numFmtId="239" formatCode="mmm\ \-\ yy"/>
    <numFmt numFmtId="240" formatCode="#,##0.00;\(#,##0.00\)"/>
    <numFmt numFmtId="241" formatCode="#,###.000;[Red]\-#,###.000;\-"/>
    <numFmt numFmtId="242" formatCode="dd\-mmm\-yy\ hh:mm:ss"/>
    <numFmt numFmtId="243" formatCode="[Red]&quot;stale hdle&quot;;[Red]\-0;[Red]&quot;stale hdle&quot;"/>
    <numFmt numFmtId="244" formatCode="_-* #,##0\ _F_-;\-* #,##0\ _F_-;_-* &quot;-&quot;\ _F_-;_-@_-"/>
    <numFmt numFmtId="245" formatCode="_-* #,##0.00\ _F_-;\-* #,##0.00\ _F_-;_-* &quot;-&quot;??\ _F_-;_-@_-"/>
    <numFmt numFmtId="246" formatCode="_(&quot;R$&quot;* #,##0_);_(&quot;R$&quot;* \(#,##0\);_(&quot;R$&quot;* &quot;-&quot;_);_(@_)"/>
    <numFmt numFmtId="247" formatCode="_(&quot;R$&quot;* #,##0.00_);_(&quot;R$&quot;* \(#,##0.00\);_(&quot;R$&quot;* &quot;-&quot;??_);_(@_)"/>
    <numFmt numFmtId="248" formatCode="#,##0;[Red]\(#,##0\)"/>
    <numFmt numFmtId="249" formatCode="[$-F800]dddd\,\ mmmm\ dd\,\ yyyy"/>
    <numFmt numFmtId="250" formatCode="#,##0.00\ ;[Magenta]\(#,##0.00\)"/>
    <numFmt numFmtId="251" formatCode="0.00%\ ;[Magenta]\(0.00%\)"/>
    <numFmt numFmtId="252" formatCode="#,##0;\(#,##0\);\-;@"/>
    <numFmt numFmtId="253" formatCode="#,##0\ ;[Magenta]\(#,##0\)"/>
    <numFmt numFmtId="254" formatCode="0.0\ \p"/>
    <numFmt numFmtId="255" formatCode="#,##0.00_ ;[Red]\-#,##0.00\ "/>
    <numFmt numFmtId="256" formatCode="[$-409]d\-mmm\-yyyy;@"/>
    <numFmt numFmtId="257" formatCode="#,##0.0;\(#,##0.0\)"/>
    <numFmt numFmtId="258" formatCode="#,##0.0_);\(#,##0.0\);&quot;-&quot;_)"/>
    <numFmt numFmtId="259" formatCode="0.000%"/>
  </numFmts>
  <fonts count="18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Humnst777 Cn BT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1"/>
      <color indexed="12"/>
      <name val="Calibri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name val="Courier"/>
      <family val="3"/>
    </font>
    <font>
      <sz val="10"/>
      <name val="Times New Roman"/>
      <family val="1"/>
    </font>
    <font>
      <sz val="8"/>
      <color indexed="12"/>
      <name val="Palatino"/>
      <family val="1"/>
    </font>
    <font>
      <sz val="8"/>
      <color indexed="18"/>
      <name val="Helv"/>
    </font>
    <font>
      <b/>
      <sz val="10"/>
      <name val="MS Sans Serif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1"/>
      <color indexed="10"/>
      <name val="Calibri"/>
      <family val="2"/>
    </font>
    <font>
      <sz val="11"/>
      <name val="Tms Rmn"/>
    </font>
    <font>
      <b/>
      <i/>
      <sz val="12"/>
      <color indexed="12"/>
      <name val="Arial"/>
      <family val="2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BERNHARD"/>
    </font>
    <font>
      <sz val="10"/>
      <name val="Helv"/>
    </font>
    <font>
      <sz val="8"/>
      <name val="BERNHARD"/>
    </font>
    <font>
      <sz val="8"/>
      <color indexed="16"/>
      <name val="Palatino"/>
      <family val="1"/>
    </font>
    <font>
      <sz val="11"/>
      <name val="??"/>
      <family val="3"/>
      <charset val="129"/>
    </font>
    <font>
      <b/>
      <sz val="8"/>
      <name val="Tahoma"/>
      <family val="2"/>
    </font>
    <font>
      <sz val="9.5"/>
      <color indexed="23"/>
      <name val="Helvetica-Black"/>
    </font>
    <font>
      <sz val="7"/>
      <name val="Palatino"/>
      <family val="1"/>
    </font>
    <font>
      <sz val="6"/>
      <color indexed="16"/>
      <name val="Palatino"/>
      <family val="1"/>
    </font>
    <font>
      <sz val="6"/>
      <name val="Palatino"/>
      <family val="1"/>
    </font>
    <font>
      <b/>
      <sz val="14"/>
      <name val="Arial"/>
      <family val="2"/>
    </font>
    <font>
      <sz val="10"/>
      <name val="Helvetica-Black"/>
    </font>
    <font>
      <sz val="10"/>
      <name val="Palatino"/>
    </font>
    <font>
      <i/>
      <sz val="14"/>
      <name val="Palatino"/>
      <family val="1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宋体"/>
      <charset val="134"/>
    </font>
    <font>
      <sz val="8"/>
      <name val="Tahoma"/>
      <family val="2"/>
    </font>
    <font>
      <sz val="10"/>
      <color indexed="16"/>
      <name val="Helvetica-Black"/>
    </font>
    <font>
      <sz val="10"/>
      <name val="Helvetica"/>
    </font>
    <font>
      <sz val="10"/>
      <color indexed="8"/>
      <name val="Calibri"/>
      <family val="2"/>
    </font>
    <font>
      <sz val="1"/>
      <color indexed="8"/>
      <name val="Courier"/>
      <family val="3"/>
    </font>
    <font>
      <sz val="8"/>
      <name val="Helvetica"/>
      <family val="2"/>
    </font>
    <font>
      <sz val="8"/>
      <color indexed="8"/>
      <name val="Arial"/>
      <family val="2"/>
    </font>
    <font>
      <b/>
      <sz val="10"/>
      <color indexed="9"/>
      <name val="Verdana"/>
      <family val="2"/>
    </font>
    <font>
      <sz val="10"/>
      <color indexed="8"/>
      <name val="Verdana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9"/>
      <name val="Arial"/>
      <family val="2"/>
    </font>
    <font>
      <sz val="12"/>
      <name val="Palatino"/>
      <family val="1"/>
    </font>
    <font>
      <b/>
      <sz val="8"/>
      <name val="Palatino"/>
      <family val="1"/>
    </font>
    <font>
      <sz val="8"/>
      <color indexed="12"/>
      <name val="Arial"/>
      <family val="2"/>
    </font>
    <font>
      <sz val="12"/>
      <name val="宋体"/>
      <charset val="134"/>
    </font>
    <font>
      <sz val="10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indexed="10"/>
      <name val="–¾’©"/>
      <charset val="128"/>
    </font>
    <font>
      <sz val="9"/>
      <color indexed="8"/>
      <name val="lr oSVbN"/>
      <family val="3"/>
      <charset val="128"/>
    </font>
    <font>
      <sz val="11"/>
      <color indexed="8"/>
      <name val="lr oSVbN"/>
      <family val="3"/>
      <charset val="128"/>
    </font>
    <font>
      <b/>
      <sz val="10"/>
      <name val="Geneva"/>
    </font>
    <font>
      <sz val="10"/>
      <name val="Geneva"/>
    </font>
    <font>
      <b/>
      <sz val="14"/>
      <color indexed="9"/>
      <name val="MS Sans Serif"/>
      <family val="2"/>
    </font>
    <font>
      <sz val="12"/>
      <name val="Palatino"/>
    </font>
    <font>
      <b/>
      <sz val="10"/>
      <color indexed="9"/>
      <name val="MS Sans Serif"/>
      <family val="2"/>
    </font>
    <font>
      <sz val="10"/>
      <color indexed="12"/>
      <name val="Times New Roman"/>
      <family val="1"/>
    </font>
    <font>
      <b/>
      <sz val="10"/>
      <color indexed="18"/>
      <name val="MS Sans Serif"/>
      <family val="2"/>
    </font>
    <font>
      <i/>
      <sz val="9"/>
      <name val="Arial"/>
      <family val="2"/>
    </font>
    <font>
      <sz val="10"/>
      <color indexed="23"/>
      <name val="Arial"/>
      <family val="2"/>
    </font>
    <font>
      <b/>
      <i/>
      <strike/>
      <u/>
      <sz val="10"/>
      <color indexed="8"/>
      <name val="Arial"/>
      <family val="2"/>
    </font>
    <font>
      <sz val="10"/>
      <color indexed="9"/>
      <name val="MS Sans Serif"/>
      <family val="2"/>
    </font>
    <font>
      <sz val="11"/>
      <name val="Times New Roman"/>
      <family val="1"/>
    </font>
    <font>
      <b/>
      <sz val="9.5"/>
      <color indexed="10"/>
      <name val="Arial"/>
      <family val="2"/>
    </font>
    <font>
      <i/>
      <sz val="11"/>
      <color indexed="55"/>
      <name val="Calibri"/>
      <family val="2"/>
    </font>
    <font>
      <sz val="10"/>
      <color indexed="9"/>
      <name val="Arial"/>
      <family val="2"/>
    </font>
    <font>
      <b/>
      <u/>
      <sz val="10"/>
      <name val="Geneva"/>
    </font>
    <font>
      <b/>
      <sz val="10"/>
      <color indexed="9"/>
      <name val="Arial"/>
      <family val="2"/>
    </font>
    <font>
      <sz val="10"/>
      <color indexed="63"/>
      <name val="Arial"/>
      <family val="2"/>
    </font>
    <font>
      <b/>
      <i/>
      <sz val="10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8"/>
      <name val="MS Sans Serif"/>
      <family val="2"/>
    </font>
    <font>
      <sz val="8"/>
      <name val="Helv"/>
    </font>
    <font>
      <b/>
      <sz val="10"/>
      <name val="MS Serif"/>
      <family val="1"/>
    </font>
    <font>
      <sz val="11"/>
      <name val="Univers 45 Light"/>
      <family val="2"/>
    </font>
    <font>
      <sz val="8"/>
      <color indexed="10"/>
      <name val="Arial"/>
      <family val="2"/>
    </font>
    <font>
      <sz val="10"/>
      <name val="Tms Rmn"/>
    </font>
    <font>
      <sz val="12"/>
      <color indexed="8"/>
      <name val="Calibri"/>
      <family val="2"/>
    </font>
    <font>
      <sz val="10"/>
      <name val="Helv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b/>
      <sz val="18"/>
      <color indexed="62"/>
      <name val="Cambria"/>
      <family val="2"/>
    </font>
    <font>
      <b/>
      <sz val="8"/>
      <color indexed="11"/>
      <name val="MS Sans Serif"/>
      <family val="2"/>
    </font>
    <font>
      <b/>
      <sz val="18"/>
      <name val="Times New Roman"/>
      <family val="1"/>
    </font>
    <font>
      <sz val="10"/>
      <color indexed="12"/>
      <name val="MS Sans Serif"/>
      <family val="2"/>
    </font>
    <font>
      <sz val="8.5"/>
      <name val="Times New Roman"/>
      <family val="1"/>
    </font>
    <font>
      <sz val="8"/>
      <name val="Arial"/>
      <family val="2"/>
      <scheme val="minor"/>
    </font>
    <font>
      <b/>
      <sz val="10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1"/>
      <color indexed="8"/>
      <name val="Arial"/>
      <family val="2"/>
      <scheme val="minor"/>
    </font>
    <font>
      <b/>
      <sz val="10"/>
      <color rgb="FFC40012"/>
      <name val="Arial"/>
      <family val="2"/>
      <scheme val="minor"/>
    </font>
    <font>
      <sz val="10"/>
      <color rgb="FF000000"/>
      <name val="Arial"/>
      <family val="2"/>
      <scheme val="minor"/>
    </font>
    <font>
      <i/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name val="Arial"/>
      <family val="2"/>
      <scheme val="minor"/>
    </font>
    <font>
      <sz val="10"/>
      <name val="Arial"/>
      <family val="2"/>
      <scheme val="minor"/>
    </font>
    <font>
      <b/>
      <sz val="10"/>
      <color rgb="FFC00000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i/>
      <sz val="10"/>
      <color theme="1"/>
      <name val="Arial"/>
      <family val="2"/>
      <scheme val="minor"/>
    </font>
    <font>
      <b/>
      <i/>
      <sz val="10"/>
      <color rgb="FFFF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theme="3"/>
      <name val="Arial"/>
      <family val="2"/>
      <scheme val="minor"/>
    </font>
    <font>
      <b/>
      <sz val="10"/>
      <color rgb="FF595959"/>
      <name val="Arial"/>
      <family val="2"/>
      <scheme val="minor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FCFD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11"/>
        <bgColor indexed="42"/>
      </patternFill>
    </fill>
    <fill>
      <patternFill patternType="mediumGray">
        <fgColor indexed="22"/>
        <bgColor indexed="32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indexed="8"/>
        <bgColor indexed="9"/>
      </patternFill>
    </fill>
    <fill>
      <patternFill patternType="solid">
        <fgColor indexed="9"/>
        <bgColor indexed="9"/>
      </patternFill>
    </fill>
    <fill>
      <patternFill patternType="darkGray">
        <fgColor indexed="9"/>
        <bgColor indexed="43"/>
      </patternFill>
    </fill>
    <fill>
      <patternFill patternType="mediumGray">
        <fgColor indexed="9"/>
        <bgColor indexed="22"/>
      </patternFill>
    </fill>
    <fill>
      <patternFill patternType="solid">
        <fgColor indexed="22"/>
        <bgColor indexed="13"/>
      </patternFill>
    </fill>
    <fill>
      <patternFill patternType="mediumGray">
        <fgColor indexed="9"/>
        <bgColor indexed="17"/>
      </patternFill>
    </fill>
    <fill>
      <patternFill patternType="mediumGray">
        <fgColor indexed="42"/>
        <bgColor indexed="31"/>
      </patternFill>
    </fill>
    <fill>
      <patternFill patternType="solid">
        <fgColor indexed="21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rgb="FFF9E5E7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3" tint="0.89999084444715716"/>
        <bgColor indexed="64"/>
      </patternFill>
    </fill>
  </fills>
  <borders count="82">
    <border>
      <left/>
      <right/>
      <top/>
      <bottom/>
      <diagonal/>
    </border>
    <border>
      <left style="medium">
        <color rgb="FFC40012"/>
      </left>
      <right/>
      <top style="medium">
        <color rgb="FFC40012"/>
      </top>
      <bottom/>
      <diagonal/>
    </border>
    <border>
      <left/>
      <right/>
      <top style="medium">
        <color rgb="FFC40012"/>
      </top>
      <bottom/>
      <diagonal/>
    </border>
    <border>
      <left style="medium">
        <color rgb="FFC40012"/>
      </left>
      <right/>
      <top/>
      <bottom/>
      <diagonal/>
    </border>
    <border>
      <left/>
      <right/>
      <top/>
      <bottom style="medium">
        <color rgb="FFC40012"/>
      </bottom>
      <diagonal/>
    </border>
    <border>
      <left style="medium">
        <color rgb="FFC40012"/>
      </left>
      <right/>
      <top/>
      <bottom style="medium">
        <color rgb="FFC40012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rgb="FFC40012"/>
      </top>
      <bottom style="medium">
        <color rgb="FFC00000"/>
      </bottom>
      <diagonal/>
    </border>
    <border>
      <left/>
      <right/>
      <top style="medium">
        <color rgb="FFC40012"/>
      </top>
      <bottom style="medium">
        <color rgb="FFC40012"/>
      </bottom>
      <diagonal/>
    </border>
    <border>
      <left/>
      <right/>
      <top/>
      <bottom style="medium">
        <color rgb="FFC00000"/>
      </bottom>
      <diagonal/>
    </border>
    <border>
      <left style="medium">
        <color rgb="FFC40012"/>
      </left>
      <right/>
      <top/>
      <bottom style="medium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B01117"/>
      </top>
      <bottom/>
      <diagonal/>
    </border>
    <border>
      <left/>
      <right/>
      <top/>
      <bottom style="medium">
        <color rgb="FFB0111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32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4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rgb="FFB01117"/>
      </top>
      <bottom style="medium">
        <color rgb="FFB01117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27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top"/>
    </xf>
    <xf numFmtId="0" fontId="3" fillId="0" borderId="0">
      <alignment vertical="top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4" fillId="0" borderId="0" applyNumberFormat="0"/>
    <xf numFmtId="0" fontId="5" fillId="0" borderId="0"/>
    <xf numFmtId="0" fontId="8" fillId="0" borderId="6" applyNumberFormat="0" applyFill="0" applyProtection="0">
      <alignment horizontal="center"/>
    </xf>
    <xf numFmtId="171" fontId="5" fillId="0" borderId="0" applyFont="0" applyFill="0" applyBorder="0" applyProtection="0">
      <alignment horizontal="right"/>
    </xf>
    <xf numFmtId="171" fontId="5" fillId="0" borderId="0" applyFont="0" applyFill="0" applyBorder="0" applyProtection="0">
      <alignment horizontal="right"/>
    </xf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174" fontId="5" fillId="0" borderId="0" applyFont="0" applyFill="0" applyBorder="0" applyProtection="0">
      <alignment horizontal="right"/>
    </xf>
    <xf numFmtId="174" fontId="5" fillId="0" borderId="0" applyFont="0" applyFill="0" applyBorder="0" applyProtection="0">
      <alignment horizontal="right"/>
    </xf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175" fontId="5" fillId="0" borderId="0" applyFont="0" applyFill="0" applyBorder="0" applyProtection="0">
      <alignment horizontal="right"/>
    </xf>
    <xf numFmtId="175" fontId="5" fillId="0" borderId="0" applyFont="0" applyFill="0" applyBorder="0" applyProtection="0">
      <alignment horizontal="right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85" fontId="5" fillId="0" borderId="0" applyBorder="0"/>
    <xf numFmtId="0" fontId="12" fillId="20" borderId="7" applyNumberFormat="0" applyAlignment="0" applyProtection="0"/>
    <xf numFmtId="0" fontId="12" fillId="20" borderId="7" applyNumberFormat="0" applyAlignment="0" applyProtection="0"/>
    <xf numFmtId="0" fontId="13" fillId="21" borderId="8" applyNumberFormat="0" applyAlignment="0" applyProtection="0"/>
    <xf numFmtId="0" fontId="13" fillId="21" borderId="8" applyNumberFormat="0" applyAlignment="0" applyProtection="0"/>
    <xf numFmtId="175" fontId="14" fillId="0" borderId="0" applyFont="0" applyFill="0" applyBorder="0" applyProtection="0">
      <alignment horizontal="right"/>
    </xf>
    <xf numFmtId="176" fontId="14" fillId="0" borderId="0" applyFont="0" applyFill="0" applyBorder="0" applyProtection="0">
      <alignment horizontal="lef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5" fillId="0" borderId="9" applyNumberFormat="0" applyBorder="0" applyAlignment="0" applyProtection="0">
      <alignment horizontal="right" vertical="center"/>
    </xf>
    <xf numFmtId="186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2" fillId="0" borderId="0">
      <alignment horizontal="right"/>
      <protection locked="0"/>
    </xf>
    <xf numFmtId="0" fontId="17" fillId="0" borderId="0">
      <alignment horizontal="left"/>
    </xf>
    <xf numFmtId="0" fontId="18" fillId="0" borderId="0">
      <alignment horizontal="lef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38" fontId="6" fillId="22" borderId="0" applyNumberFormat="0" applyBorder="0" applyAlignment="0" applyProtection="0"/>
    <xf numFmtId="0" fontId="20" fillId="23" borderId="10" applyProtection="0">
      <alignment horizontal="right"/>
    </xf>
    <xf numFmtId="0" fontId="21" fillId="23" borderId="0" applyProtection="0">
      <alignment horizontal="left"/>
    </xf>
    <xf numFmtId="0" fontId="22" fillId="0" borderId="11" applyNumberFormat="0" applyFill="0" applyAlignment="0" applyProtection="0"/>
    <xf numFmtId="0" fontId="22" fillId="0" borderId="11" applyNumberFormat="0" applyFill="0" applyAlignment="0" applyProtection="0"/>
    <xf numFmtId="0" fontId="23" fillId="0" borderId="0">
      <alignment vertical="top" wrapText="1"/>
    </xf>
    <xf numFmtId="0" fontId="23" fillId="0" borderId="0">
      <alignment vertical="top" wrapText="1"/>
    </xf>
    <xf numFmtId="0" fontId="23" fillId="0" borderId="0">
      <alignment vertical="top" wrapText="1"/>
    </xf>
    <xf numFmtId="0" fontId="23" fillId="0" borderId="0">
      <alignment vertical="top" wrapText="1"/>
    </xf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177" fontId="25" fillId="0" borderId="0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177" fontId="27" fillId="0" borderId="0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28" fillId="0" borderId="0" applyNumberFormat="0" applyFill="0" applyAlignment="0" applyProtection="0"/>
    <xf numFmtId="177" fontId="29" fillId="0" borderId="0" applyNumberFormat="0" applyFill="0" applyAlignment="0" applyProtection="0"/>
    <xf numFmtId="177" fontId="30" fillId="0" borderId="0" applyNumberFormat="0" applyFill="0" applyAlignment="0" applyProtection="0"/>
    <xf numFmtId="177" fontId="30" fillId="0" borderId="0" applyNumberFormat="0" applyFont="0" applyFill="0" applyBorder="0" applyAlignment="0" applyProtection="0"/>
    <xf numFmtId="177" fontId="30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Fill="0" applyBorder="0" applyProtection="0">
      <alignment horizontal="left"/>
    </xf>
    <xf numFmtId="0" fontId="33" fillId="7" borderId="7" applyNumberFormat="0" applyAlignment="0" applyProtection="0"/>
    <xf numFmtId="10" fontId="6" fillId="24" borderId="14" applyNumberFormat="0" applyBorder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20" fillId="0" borderId="15" applyProtection="0">
      <alignment horizontal="right"/>
    </xf>
    <xf numFmtId="0" fontId="20" fillId="0" borderId="10" applyProtection="0">
      <alignment horizontal="right"/>
    </xf>
    <xf numFmtId="0" fontId="20" fillId="0" borderId="16" applyProtection="0">
      <alignment horizontal="center"/>
      <protection locked="0"/>
    </xf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5" fillId="0" borderId="0"/>
    <xf numFmtId="0" fontId="5" fillId="0" borderId="0"/>
    <xf numFmtId="0" fontId="5" fillId="0" borderId="0"/>
    <xf numFmtId="1" fontId="5" fillId="0" borderId="0" applyFont="0" applyFill="0" applyBorder="0" applyProtection="0">
      <alignment horizontal="right"/>
    </xf>
    <xf numFmtId="1" fontId="5" fillId="0" borderId="0" applyFont="0" applyFill="0" applyBorder="0" applyProtection="0">
      <alignment horizontal="right"/>
    </xf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9" fillId="0" borderId="0"/>
    <xf numFmtId="0" fontId="9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/>
    <xf numFmtId="0" fontId="5" fillId="0" borderId="0"/>
    <xf numFmtId="0" fontId="3" fillId="0" borderId="0"/>
    <xf numFmtId="0" fontId="9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9" fillId="26" borderId="18" applyNumberFormat="0" applyFont="0" applyAlignment="0" applyProtection="0"/>
    <xf numFmtId="0" fontId="5" fillId="26" borderId="18" applyNumberFormat="0" applyFont="0" applyAlignment="0" applyProtection="0"/>
    <xf numFmtId="0" fontId="37" fillId="20" borderId="19" applyNumberFormat="0" applyAlignment="0" applyProtection="0"/>
    <xf numFmtId="0" fontId="37" fillId="20" borderId="19" applyNumberFormat="0" applyAlignment="0" applyProtection="0"/>
    <xf numFmtId="40" fontId="38" fillId="27" borderId="0">
      <alignment horizontal="right"/>
    </xf>
    <xf numFmtId="0" fontId="39" fillId="27" borderId="0">
      <alignment horizontal="right"/>
    </xf>
    <xf numFmtId="0" fontId="40" fillId="27" borderId="20"/>
    <xf numFmtId="0" fontId="40" fillId="0" borderId="0" applyBorder="0">
      <alignment horizontal="centerContinuous"/>
    </xf>
    <xf numFmtId="0" fontId="41" fillId="0" borderId="0" applyBorder="0">
      <alignment horizontal="centerContinuous"/>
    </xf>
    <xf numFmtId="178" fontId="5" fillId="0" borderId="0" applyFont="0" applyFill="0" applyBorder="0" applyProtection="0">
      <alignment horizontal="right"/>
    </xf>
    <xf numFmtId="178" fontId="5" fillId="0" borderId="0" applyFont="0" applyFill="0" applyBorder="0" applyProtection="0">
      <alignment horizontal="right"/>
    </xf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" fontId="42" fillId="28" borderId="21" applyAlignment="0" applyProtection="0">
      <protection locked="0"/>
    </xf>
    <xf numFmtId="0" fontId="43" fillId="24" borderId="21" applyNumberFormat="0" applyAlignment="0" applyProtection="0"/>
    <xf numFmtId="0" fontId="44" fillId="29" borderId="14" applyNumberFormat="0" applyAlignment="0" applyProtection="0">
      <alignment horizontal="center" vertical="center"/>
    </xf>
    <xf numFmtId="4" fontId="3" fillId="30" borderId="19" applyNumberFormat="0" applyProtection="0">
      <alignment vertical="center"/>
    </xf>
    <xf numFmtId="4" fontId="45" fillId="30" borderId="19" applyNumberFormat="0" applyProtection="0">
      <alignment vertical="center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4" fontId="3" fillId="32" borderId="19" applyNumberFormat="0" applyProtection="0">
      <alignment horizontal="right" vertical="center"/>
    </xf>
    <xf numFmtId="4" fontId="3" fillId="33" borderId="19" applyNumberFormat="0" applyProtection="0">
      <alignment horizontal="right" vertical="center"/>
    </xf>
    <xf numFmtId="4" fontId="3" fillId="34" borderId="19" applyNumberFormat="0" applyProtection="0">
      <alignment horizontal="right" vertical="center"/>
    </xf>
    <xf numFmtId="4" fontId="3" fillId="35" borderId="19" applyNumberFormat="0" applyProtection="0">
      <alignment horizontal="right" vertical="center"/>
    </xf>
    <xf numFmtId="4" fontId="3" fillId="36" borderId="19" applyNumberFormat="0" applyProtection="0">
      <alignment horizontal="right" vertical="center"/>
    </xf>
    <xf numFmtId="4" fontId="3" fillId="37" borderId="19" applyNumberFormat="0" applyProtection="0">
      <alignment horizontal="right" vertical="center"/>
    </xf>
    <xf numFmtId="4" fontId="3" fillId="38" borderId="19" applyNumberFormat="0" applyProtection="0">
      <alignment horizontal="right" vertical="center"/>
    </xf>
    <xf numFmtId="4" fontId="3" fillId="39" borderId="19" applyNumberFormat="0" applyProtection="0">
      <alignment horizontal="right" vertical="center"/>
    </xf>
    <xf numFmtId="4" fontId="3" fillId="40" borderId="19" applyNumberFormat="0" applyProtection="0">
      <alignment horizontal="right" vertical="center"/>
    </xf>
    <xf numFmtId="4" fontId="46" fillId="41" borderId="19" applyNumberFormat="0" applyProtection="0">
      <alignment horizontal="left" vertical="center" indent="1"/>
    </xf>
    <xf numFmtId="4" fontId="3" fillId="42" borderId="22" applyNumberFormat="0" applyProtection="0">
      <alignment horizontal="left" vertical="center" indent="1"/>
    </xf>
    <xf numFmtId="4" fontId="47" fillId="43" borderId="0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4" fontId="3" fillId="42" borderId="19" applyNumberFormat="0" applyProtection="0">
      <alignment horizontal="left" vertical="center" indent="1"/>
    </xf>
    <xf numFmtId="4" fontId="3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29" borderId="19" applyNumberFormat="0" applyProtection="0">
      <alignment horizontal="left" vertical="center" indent="1"/>
    </xf>
    <xf numFmtId="0" fontId="5" fillId="29" borderId="19" applyNumberFormat="0" applyProtection="0">
      <alignment horizontal="left" vertical="center" indent="1"/>
    </xf>
    <xf numFmtId="0" fontId="5" fillId="22" borderId="19" applyNumberFormat="0" applyProtection="0">
      <alignment horizontal="left" vertical="center" indent="1"/>
    </xf>
    <xf numFmtId="0" fontId="5" fillId="22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4" fontId="3" fillId="24" borderId="19" applyNumberFormat="0" applyProtection="0">
      <alignment vertical="center"/>
    </xf>
    <xf numFmtId="4" fontId="45" fillId="24" borderId="19" applyNumberFormat="0" applyProtection="0">
      <alignment vertical="center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42" borderId="19" applyNumberFormat="0" applyProtection="0">
      <alignment horizontal="right" vertical="center"/>
    </xf>
    <xf numFmtId="4" fontId="45" fillId="42" borderId="19" applyNumberFormat="0" applyProtection="0">
      <alignment horizontal="right" vertical="center"/>
    </xf>
    <xf numFmtId="0" fontId="5" fillId="31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48" fillId="0" borderId="0"/>
    <xf numFmtId="4" fontId="49" fillId="42" borderId="19" applyNumberFormat="0" applyProtection="0">
      <alignment horizontal="right" vertical="center"/>
    </xf>
    <xf numFmtId="0" fontId="5" fillId="45" borderId="0" applyNumberFormat="0" applyFont="0" applyBorder="0" applyProtection="0">
      <alignment horizontal="left" vertical="center"/>
    </xf>
    <xf numFmtId="0" fontId="5" fillId="0" borderId="23" applyNumberFormat="0" applyFill="0" applyProtection="0">
      <alignment horizontal="left" vertical="center" wrapText="1" indent="1"/>
    </xf>
    <xf numFmtId="187" fontId="5" fillId="0" borderId="23" applyFill="0" applyProtection="0">
      <alignment horizontal="right" vertical="center" wrapText="1"/>
    </xf>
    <xf numFmtId="188" fontId="5" fillId="0" borderId="23" applyFill="0" applyProtection="0">
      <alignment horizontal="right" vertical="center" wrapText="1"/>
    </xf>
    <xf numFmtId="0" fontId="5" fillId="0" borderId="0" applyNumberFormat="0" applyFill="0" applyBorder="0" applyProtection="0">
      <alignment horizontal="left" vertical="center" wrapText="1"/>
    </xf>
    <xf numFmtId="0" fontId="5" fillId="0" borderId="0" applyNumberFormat="0" applyFill="0" applyBorder="0" applyProtection="0">
      <alignment horizontal="left" vertical="center" wrapText="1" indent="1"/>
    </xf>
    <xf numFmtId="187" fontId="5" fillId="0" borderId="0" applyFill="0" applyBorder="0" applyProtection="0">
      <alignment horizontal="right" vertical="center" wrapText="1"/>
    </xf>
    <xf numFmtId="188" fontId="5" fillId="0" borderId="0" applyFill="0" applyBorder="0" applyProtection="0">
      <alignment horizontal="right" vertical="center" wrapText="1"/>
    </xf>
    <xf numFmtId="0" fontId="5" fillId="0" borderId="24" applyNumberFormat="0" applyFill="0" applyProtection="0">
      <alignment horizontal="left" vertical="center" wrapText="1"/>
    </xf>
    <xf numFmtId="0" fontId="5" fillId="0" borderId="24" applyNumberFormat="0" applyFill="0" applyProtection="0">
      <alignment horizontal="left" vertical="center" wrapText="1" indent="1"/>
    </xf>
    <xf numFmtId="187" fontId="5" fillId="0" borderId="24" applyFill="0" applyProtection="0">
      <alignment horizontal="right" vertical="center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Protection="0">
      <alignment vertical="center" wrapText="1"/>
    </xf>
    <xf numFmtId="0" fontId="5" fillId="0" borderId="0" applyNumberFormat="0" applyFill="0" applyBorder="0" applyProtection="0">
      <alignment vertical="center" wrapText="1"/>
    </xf>
    <xf numFmtId="0" fontId="28" fillId="0" borderId="0" applyNumberFormat="0" applyFill="0" applyBorder="0" applyProtection="0">
      <alignment horizontal="left" vertical="center" wrapText="1"/>
    </xf>
    <xf numFmtId="0" fontId="5" fillId="0" borderId="0" applyNumberFormat="0" applyFill="0" applyBorder="0" applyProtection="0">
      <alignment vertical="center" wrapText="1"/>
    </xf>
    <xf numFmtId="0" fontId="5" fillId="0" borderId="0" applyNumberFormat="0" applyFill="0" applyBorder="0" applyProtection="0">
      <alignment vertical="center" wrapText="1"/>
    </xf>
    <xf numFmtId="0" fontId="5" fillId="0" borderId="0" applyNumberFormat="0" applyFont="0" applyFill="0" applyBorder="0" applyProtection="0">
      <alignment horizontal="left" vertical="center"/>
    </xf>
    <xf numFmtId="0" fontId="25" fillId="0" borderId="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horizontal="left" vertical="center" wrapText="1"/>
    </xf>
    <xf numFmtId="0" fontId="30" fillId="0" borderId="0" applyNumberFormat="0" applyFill="0" applyBorder="0" applyProtection="0">
      <alignment vertical="center" wrapText="1"/>
    </xf>
    <xf numFmtId="0" fontId="5" fillId="0" borderId="25" applyNumberFormat="0" applyFont="0" applyFill="0" applyProtection="0">
      <alignment horizontal="center" vertical="center" wrapText="1"/>
    </xf>
    <xf numFmtId="0" fontId="25" fillId="0" borderId="25" applyNumberFormat="0" applyFill="0" applyProtection="0">
      <alignment horizontal="center" vertical="center" wrapText="1"/>
    </xf>
    <xf numFmtId="0" fontId="25" fillId="0" borderId="25" applyNumberFormat="0" applyFill="0" applyProtection="0">
      <alignment horizontal="center" vertical="center" wrapText="1"/>
    </xf>
    <xf numFmtId="0" fontId="5" fillId="0" borderId="23" applyNumberFormat="0" applyFill="0" applyProtection="0">
      <alignment horizontal="left" vertical="center" wrapText="1"/>
    </xf>
    <xf numFmtId="0" fontId="5" fillId="0" borderId="0"/>
    <xf numFmtId="0" fontId="50" fillId="27" borderId="26">
      <alignment horizontal="center"/>
    </xf>
    <xf numFmtId="3" fontId="51" fillId="27" borderId="0"/>
    <xf numFmtId="3" fontId="50" fillId="27" borderId="0"/>
    <xf numFmtId="0" fontId="51" fillId="27" borderId="0"/>
    <xf numFmtId="0" fontId="50" fillId="27" borderId="0"/>
    <xf numFmtId="0" fontId="51" fillId="27" borderId="0">
      <alignment horizontal="center"/>
    </xf>
    <xf numFmtId="0" fontId="52" fillId="0" borderId="0">
      <alignment wrapText="1"/>
    </xf>
    <xf numFmtId="0" fontId="52" fillId="0" borderId="0">
      <alignment wrapText="1"/>
    </xf>
    <xf numFmtId="0" fontId="52" fillId="0" borderId="0">
      <alignment wrapText="1"/>
    </xf>
    <xf numFmtId="0" fontId="52" fillId="0" borderId="0">
      <alignment wrapText="1"/>
    </xf>
    <xf numFmtId="0" fontId="53" fillId="46" borderId="0">
      <alignment horizontal="right" vertical="top" wrapText="1"/>
    </xf>
    <xf numFmtId="0" fontId="53" fillId="46" borderId="0">
      <alignment horizontal="right" vertical="top" wrapText="1"/>
    </xf>
    <xf numFmtId="0" fontId="53" fillId="46" borderId="0">
      <alignment horizontal="right" vertical="top" wrapText="1"/>
    </xf>
    <xf numFmtId="0" fontId="53" fillId="46" borderId="0">
      <alignment horizontal="right" vertical="top" wrapText="1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6" fillId="0" borderId="0"/>
    <xf numFmtId="0" fontId="56" fillId="0" borderId="0"/>
    <xf numFmtId="0" fontId="56" fillId="0" borderId="0"/>
    <xf numFmtId="179" fontId="6" fillId="0" borderId="0">
      <alignment wrapText="1"/>
      <protection locked="0"/>
    </xf>
    <xf numFmtId="179" fontId="6" fillId="0" borderId="0">
      <alignment wrapText="1"/>
      <protection locked="0"/>
    </xf>
    <xf numFmtId="179" fontId="53" fillId="47" borderId="0">
      <alignment wrapText="1"/>
      <protection locked="0"/>
    </xf>
    <xf numFmtId="179" fontId="53" fillId="47" borderId="0">
      <alignment wrapText="1"/>
      <protection locked="0"/>
    </xf>
    <xf numFmtId="179" fontId="53" fillId="47" borderId="0">
      <alignment wrapText="1"/>
      <protection locked="0"/>
    </xf>
    <xf numFmtId="179" fontId="53" fillId="47" borderId="0">
      <alignment wrapText="1"/>
      <protection locked="0"/>
    </xf>
    <xf numFmtId="179" fontId="6" fillId="0" borderId="0">
      <alignment wrapText="1"/>
      <protection locked="0"/>
    </xf>
    <xf numFmtId="180" fontId="6" fillId="0" borderId="0">
      <alignment wrapText="1"/>
      <protection locked="0"/>
    </xf>
    <xf numFmtId="180" fontId="6" fillId="0" borderId="0">
      <alignment wrapText="1"/>
      <protection locked="0"/>
    </xf>
    <xf numFmtId="180" fontId="6" fillId="0" borderId="0">
      <alignment wrapText="1"/>
      <protection locked="0"/>
    </xf>
    <xf numFmtId="180" fontId="53" fillId="47" borderId="0">
      <alignment wrapText="1"/>
      <protection locked="0"/>
    </xf>
    <xf numFmtId="180" fontId="53" fillId="47" borderId="0">
      <alignment wrapText="1"/>
      <protection locked="0"/>
    </xf>
    <xf numFmtId="180" fontId="53" fillId="47" borderId="0">
      <alignment wrapText="1"/>
      <protection locked="0"/>
    </xf>
    <xf numFmtId="180" fontId="53" fillId="47" borderId="0">
      <alignment wrapText="1"/>
      <protection locked="0"/>
    </xf>
    <xf numFmtId="180" fontId="53" fillId="47" borderId="0">
      <alignment wrapText="1"/>
      <protection locked="0"/>
    </xf>
    <xf numFmtId="180" fontId="6" fillId="0" borderId="0">
      <alignment wrapText="1"/>
      <protection locked="0"/>
    </xf>
    <xf numFmtId="181" fontId="6" fillId="0" borderId="0">
      <alignment wrapText="1"/>
      <protection locked="0"/>
    </xf>
    <xf numFmtId="181" fontId="6" fillId="0" borderId="0">
      <alignment wrapText="1"/>
      <protection locked="0"/>
    </xf>
    <xf numFmtId="181" fontId="53" fillId="47" borderId="0">
      <alignment wrapText="1"/>
      <protection locked="0"/>
    </xf>
    <xf numFmtId="181" fontId="53" fillId="47" borderId="0">
      <alignment wrapText="1"/>
      <protection locked="0"/>
    </xf>
    <xf numFmtId="181" fontId="53" fillId="47" borderId="0">
      <alignment wrapText="1"/>
      <protection locked="0"/>
    </xf>
    <xf numFmtId="181" fontId="53" fillId="47" borderId="0">
      <alignment wrapText="1"/>
      <protection locked="0"/>
    </xf>
    <xf numFmtId="181" fontId="6" fillId="0" borderId="0">
      <alignment wrapText="1"/>
      <protection locked="0"/>
    </xf>
    <xf numFmtId="182" fontId="53" fillId="46" borderId="27">
      <alignment wrapText="1"/>
    </xf>
    <xf numFmtId="182" fontId="53" fillId="46" borderId="27">
      <alignment wrapText="1"/>
    </xf>
    <xf numFmtId="182" fontId="53" fillId="46" borderId="27">
      <alignment wrapText="1"/>
    </xf>
    <xf numFmtId="183" fontId="53" fillId="46" borderId="27">
      <alignment wrapText="1"/>
    </xf>
    <xf numFmtId="183" fontId="53" fillId="46" borderId="27">
      <alignment wrapText="1"/>
    </xf>
    <xf numFmtId="183" fontId="53" fillId="46" borderId="27">
      <alignment wrapText="1"/>
    </xf>
    <xf numFmtId="183" fontId="53" fillId="46" borderId="27">
      <alignment wrapText="1"/>
    </xf>
    <xf numFmtId="184" fontId="53" fillId="46" borderId="27">
      <alignment wrapText="1"/>
    </xf>
    <xf numFmtId="184" fontId="53" fillId="46" borderId="27">
      <alignment wrapText="1"/>
    </xf>
    <xf numFmtId="184" fontId="53" fillId="46" borderId="27">
      <alignment wrapText="1"/>
    </xf>
    <xf numFmtId="0" fontId="54" fillId="0" borderId="28">
      <alignment horizontal="right"/>
    </xf>
    <xf numFmtId="0" fontId="54" fillId="0" borderId="28">
      <alignment horizontal="right"/>
    </xf>
    <xf numFmtId="0" fontId="54" fillId="0" borderId="28">
      <alignment horizontal="right"/>
    </xf>
    <xf numFmtId="0" fontId="54" fillId="0" borderId="28">
      <alignment horizontal="right"/>
    </xf>
    <xf numFmtId="40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Protection="0">
      <alignment horizontal="left" vertical="center" indent="10"/>
    </xf>
    <xf numFmtId="0" fontId="59" fillId="0" borderId="0" applyNumberFormat="0" applyFill="0" applyBorder="0" applyProtection="0">
      <alignment horizontal="left" vertical="center" indent="10"/>
    </xf>
    <xf numFmtId="0" fontId="60" fillId="0" borderId="29" applyNumberFormat="0" applyFill="0" applyAlignment="0" applyProtection="0"/>
    <xf numFmtId="0" fontId="60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0" fontId="5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65" fillId="0" borderId="0"/>
    <xf numFmtId="0" fontId="66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66" fillId="0" borderId="0"/>
    <xf numFmtId="0" fontId="5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191" fontId="67" fillId="0" borderId="0"/>
    <xf numFmtId="171" fontId="5" fillId="0" borderId="0" applyFont="0" applyFill="0" applyBorder="0" applyProtection="0">
      <alignment horizontal="right"/>
    </xf>
    <xf numFmtId="171" fontId="5" fillId="0" borderId="0" applyFont="0" applyFill="0" applyBorder="0" applyProtection="0">
      <alignment horizontal="right"/>
    </xf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26" borderId="0" applyNumberFormat="0" applyBorder="0" applyAlignment="0" applyProtection="0"/>
    <xf numFmtId="0" fontId="9" fillId="7" borderId="0" applyNumberFormat="0" applyBorder="0" applyAlignment="0" applyProtection="0"/>
    <xf numFmtId="0" fontId="9" fillId="26" borderId="0" applyNumberFormat="0" applyBorder="0" applyAlignment="0" applyProtection="0"/>
    <xf numFmtId="174" fontId="5" fillId="0" borderId="0" applyFont="0" applyFill="0" applyBorder="0" applyProtection="0">
      <alignment horizontal="right"/>
    </xf>
    <xf numFmtId="174" fontId="5" fillId="0" borderId="0" applyFont="0" applyFill="0" applyBorder="0" applyProtection="0">
      <alignment horizontal="right"/>
    </xf>
    <xf numFmtId="0" fontId="9" fillId="6" borderId="0" applyNumberFormat="0" applyBorder="0" applyAlignment="0" applyProtection="0"/>
    <xf numFmtId="0" fontId="9" fillId="25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26" borderId="0" applyNumberFormat="0" applyBorder="0" applyAlignment="0" applyProtection="0"/>
    <xf numFmtId="175" fontId="5" fillId="0" borderId="0" applyFont="0" applyFill="0" applyBorder="0" applyProtection="0">
      <alignment horizontal="right"/>
    </xf>
    <xf numFmtId="175" fontId="5" fillId="0" borderId="0" applyFont="0" applyFill="0" applyBorder="0" applyProtection="0">
      <alignment horizontal="right"/>
    </xf>
    <xf numFmtId="0" fontId="10" fillId="6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50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51" borderId="0" applyNumberFormat="0" applyBorder="0" applyAlignment="0" applyProtection="0"/>
    <xf numFmtId="0" fontId="10" fillId="17" borderId="0" applyNumberFormat="0" applyBorder="0" applyAlignment="0" applyProtection="0"/>
    <xf numFmtId="192" fontId="68" fillId="45" borderId="31">
      <alignment horizontal="center" vertical="center"/>
    </xf>
    <xf numFmtId="0" fontId="69" fillId="0" borderId="0" applyNumberFormat="0" applyFill="0" applyBorder="0" applyAlignment="0">
      <protection locked="0"/>
    </xf>
    <xf numFmtId="0" fontId="28" fillId="30" borderId="0" applyNumberFormat="0" applyFont="0" applyAlignment="0">
      <alignment vertical="top"/>
    </xf>
    <xf numFmtId="0" fontId="5" fillId="30" borderId="0" applyNumberFormat="0" applyFont="0" applyAlignment="0">
      <alignment vertical="top" wrapText="1"/>
    </xf>
    <xf numFmtId="0" fontId="5" fillId="30" borderId="0" applyNumberFormat="0" applyFont="0" applyAlignment="0">
      <alignment vertical="top" wrapText="1"/>
    </xf>
    <xf numFmtId="0" fontId="5" fillId="30" borderId="0" applyNumberFormat="0" applyFont="0" applyAlignment="0">
      <alignment vertical="top" wrapText="1"/>
    </xf>
    <xf numFmtId="0" fontId="5" fillId="30" borderId="0" applyNumberFormat="0" applyFont="0" applyAlignment="0">
      <alignment vertical="top" wrapText="1"/>
    </xf>
    <xf numFmtId="0" fontId="5" fillId="30" borderId="0" applyNumberFormat="0" applyFont="0" applyAlignment="0">
      <alignment vertical="top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5" borderId="0" applyNumberFormat="0" applyBorder="0" applyAlignment="0" applyProtection="0"/>
    <xf numFmtId="185" fontId="5" fillId="0" borderId="0" applyBorder="0"/>
    <xf numFmtId="0" fontId="70" fillId="0" borderId="0" applyNumberFormat="0" applyAlignment="0">
      <alignment horizontal="left"/>
    </xf>
    <xf numFmtId="164" fontId="71" fillId="0" borderId="32" applyAlignment="0" applyProtection="0"/>
    <xf numFmtId="49" fontId="72" fillId="0" borderId="0" applyFont="0" applyFill="0" applyBorder="0" applyAlignment="0" applyProtection="0">
      <alignment horizontal="left"/>
    </xf>
    <xf numFmtId="3" fontId="14" fillId="0" borderId="0" applyAlignment="0" applyProtection="0"/>
    <xf numFmtId="172" fontId="6" fillId="0" borderId="0" applyFill="0" applyBorder="0" applyAlignment="0" applyProtection="0"/>
    <xf numFmtId="49" fontId="6" fillId="0" borderId="0" applyNumberFormat="0" applyAlignment="0" applyProtection="0">
      <alignment horizontal="left"/>
    </xf>
    <xf numFmtId="49" fontId="73" fillId="0" borderId="33" applyNumberFormat="0" applyAlignment="0" applyProtection="0">
      <alignment horizontal="left" wrapText="1"/>
    </xf>
    <xf numFmtId="49" fontId="73" fillId="0" borderId="0" applyNumberFormat="0" applyAlignment="0" applyProtection="0">
      <alignment horizontal="left" wrapText="1"/>
    </xf>
    <xf numFmtId="49" fontId="74" fillId="0" borderId="0" applyAlignment="0" applyProtection="0">
      <alignment horizontal="left"/>
    </xf>
    <xf numFmtId="0" fontId="12" fillId="20" borderId="7" applyNumberFormat="0" applyAlignment="0" applyProtection="0"/>
    <xf numFmtId="0" fontId="75" fillId="49" borderId="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3" fontId="46" fillId="45" borderId="34"/>
    <xf numFmtId="3" fontId="76" fillId="0" borderId="0"/>
    <xf numFmtId="3" fontId="76" fillId="0" borderId="0"/>
    <xf numFmtId="3" fontId="76" fillId="0" borderId="0"/>
    <xf numFmtId="3" fontId="76" fillId="0" borderId="0"/>
    <xf numFmtId="3" fontId="76" fillId="0" borderId="0"/>
    <xf numFmtId="3" fontId="76" fillId="0" borderId="0"/>
    <xf numFmtId="3" fontId="76" fillId="0" borderId="0"/>
    <xf numFmtId="3" fontId="76" fillId="0" borderId="0"/>
    <xf numFmtId="4" fontId="77" fillId="0" borderId="32" applyFont="0" applyFill="0" applyBorder="0" applyAlignment="0">
      <alignment horizontal="center" vertical="center"/>
    </xf>
    <xf numFmtId="0" fontId="78" fillId="0" borderId="0" applyFont="0" applyFill="0" applyBorder="0" applyAlignment="0" applyProtection="0">
      <alignment horizontal="right"/>
    </xf>
    <xf numFmtId="194" fontId="78" fillId="0" borderId="0" applyFont="0" applyFill="0" applyBorder="0" applyAlignment="0" applyProtection="0"/>
    <xf numFmtId="195" fontId="78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96" fontId="78" fillId="0" borderId="0" applyFont="0" applyFill="0" applyBorder="0" applyAlignment="0" applyProtection="0"/>
    <xf numFmtId="197" fontId="78" fillId="0" borderId="0" applyFont="0" applyFill="0" applyBorder="0" applyAlignment="0" applyProtection="0">
      <alignment horizontal="righ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198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9" fontId="78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/>
    <xf numFmtId="0" fontId="81" fillId="0" borderId="0"/>
    <xf numFmtId="0" fontId="82" fillId="0" borderId="0"/>
    <xf numFmtId="3" fontId="5" fillId="0" borderId="0" applyFont="0" applyFill="0" applyBorder="0" applyAlignment="0" applyProtection="0"/>
    <xf numFmtId="189" fontId="68" fillId="0" borderId="0" applyFont="0" applyFill="0" applyBorder="0" applyAlignment="0" applyProtection="0"/>
    <xf numFmtId="0" fontId="80" fillId="0" borderId="0"/>
    <xf numFmtId="0" fontId="81" fillId="0" borderId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8" fillId="0" borderId="0">
      <alignment horizontal="left" indent="3"/>
    </xf>
    <xf numFmtId="0" fontId="28" fillId="0" borderId="0">
      <alignment horizontal="left" indent="5"/>
    </xf>
    <xf numFmtId="0" fontId="5" fillId="0" borderId="0">
      <alignment horizontal="left"/>
    </xf>
    <xf numFmtId="0" fontId="5" fillId="0" borderId="0"/>
    <xf numFmtId="0" fontId="5" fillId="0" borderId="0">
      <alignment horizontal="left"/>
    </xf>
    <xf numFmtId="0" fontId="78" fillId="0" borderId="0" applyFont="0" applyFill="0" applyBorder="0" applyAlignment="0" applyProtection="0">
      <alignment horizontal="right"/>
    </xf>
    <xf numFmtId="44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83" fillId="0" borderId="0" applyFont="0" applyFill="0" applyBorder="0" applyAlignment="0" applyProtection="0"/>
    <xf numFmtId="0" fontId="78" fillId="0" borderId="0" applyFill="0" applyBorder="0" applyProtection="0"/>
    <xf numFmtId="168" fontId="5" fillId="0" borderId="0" applyFont="0" applyFill="0" applyBorder="0" applyAlignment="0" applyProtection="0"/>
    <xf numFmtId="202" fontId="83" fillId="0" borderId="0" applyFont="0" applyFill="0" applyBorder="0" applyAlignment="0" applyProtection="0"/>
    <xf numFmtId="168" fontId="5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8" fillId="0" borderId="0" applyFont="0" applyFill="0" applyBorder="0" applyAlignment="0" applyProtection="0"/>
    <xf numFmtId="205" fontId="81" fillId="0" borderId="35" applyNumberFormat="0" applyFill="0">
      <alignment horizontal="right"/>
    </xf>
    <xf numFmtId="0" fontId="79" fillId="0" borderId="0" applyFont="0" applyFill="0" applyBorder="0" applyAlignment="0" applyProtection="0"/>
    <xf numFmtId="0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8" fillId="0" borderId="0" applyFont="0" applyFill="0" applyBorder="0" applyAlignment="0" applyProtection="0"/>
    <xf numFmtId="165" fontId="84" fillId="0" borderId="0">
      <protection locked="0"/>
    </xf>
    <xf numFmtId="208" fontId="5" fillId="0" borderId="0" applyFont="0" applyFill="0" applyBorder="0" applyAlignment="0" applyProtection="0">
      <alignment wrapText="1"/>
    </xf>
    <xf numFmtId="0" fontId="5" fillId="0" borderId="0">
      <protection locked="0"/>
    </xf>
    <xf numFmtId="0" fontId="5" fillId="0" borderId="0"/>
    <xf numFmtId="0" fontId="78" fillId="0" borderId="36" applyNumberFormat="0" applyFont="0" applyFill="0" applyAlignment="0" applyProtection="0"/>
    <xf numFmtId="0" fontId="5" fillId="0" borderId="0">
      <protection locked="0"/>
    </xf>
    <xf numFmtId="0" fontId="5" fillId="0" borderId="0">
      <protection locked="0"/>
    </xf>
    <xf numFmtId="186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" fontId="79" fillId="0" borderId="0" applyFont="0" applyFill="0" applyBorder="0" applyAlignment="0" applyProtection="0"/>
    <xf numFmtId="0" fontId="81" fillId="0" borderId="0"/>
    <xf numFmtId="0" fontId="85" fillId="0" borderId="0"/>
    <xf numFmtId="0" fontId="5" fillId="0" borderId="37"/>
    <xf numFmtId="0" fontId="5" fillId="0" borderId="0">
      <alignment horizontal="left"/>
    </xf>
    <xf numFmtId="0" fontId="86" fillId="0" borderId="0">
      <alignment horizontal="left"/>
    </xf>
    <xf numFmtId="0" fontId="17" fillId="0" borderId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0" fontId="87" fillId="0" borderId="0">
      <alignment horizontal="lef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19" fillId="6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5" fillId="0" borderId="0"/>
    <xf numFmtId="0" fontId="5" fillId="0" borderId="0"/>
    <xf numFmtId="0" fontId="78" fillId="0" borderId="0" applyFont="0" applyFill="0" applyBorder="0" applyAlignment="0" applyProtection="0">
      <alignment horizontal="right"/>
    </xf>
    <xf numFmtId="0" fontId="88" fillId="0" borderId="0" applyProtection="0">
      <alignment horizontal="right"/>
    </xf>
    <xf numFmtId="0" fontId="89" fillId="0" borderId="0">
      <alignment horizontal="left"/>
    </xf>
    <xf numFmtId="0" fontId="89" fillId="0" borderId="0">
      <alignment horizontal="left"/>
    </xf>
    <xf numFmtId="0" fontId="25" fillId="0" borderId="38" applyNumberFormat="0" applyAlignment="0" applyProtection="0">
      <alignment horizontal="left" vertical="center"/>
    </xf>
    <xf numFmtId="0" fontId="25" fillId="0" borderId="39">
      <alignment horizontal="left" vertical="center"/>
    </xf>
    <xf numFmtId="0" fontId="90" fillId="0" borderId="0" applyNumberFormat="0" applyFill="0" applyBorder="0" applyAlignment="0" applyProtection="0"/>
    <xf numFmtId="0" fontId="91" fillId="0" borderId="0">
      <alignment horizontal="left"/>
    </xf>
    <xf numFmtId="0" fontId="5" fillId="0" borderId="40">
      <alignment horizontal="left" vertical="top"/>
    </xf>
    <xf numFmtId="0" fontId="92" fillId="0" borderId="0">
      <alignment horizontal="left"/>
    </xf>
    <xf numFmtId="0" fontId="5" fillId="0" borderId="40">
      <alignment horizontal="left" vertical="top"/>
    </xf>
    <xf numFmtId="0" fontId="93" fillId="0" borderId="0">
      <alignment horizontal="left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94" fillId="0" borderId="41" applyNumberFormat="0" applyFill="0" applyAlignment="0" applyProtection="0"/>
    <xf numFmtId="0" fontId="5" fillId="0" borderId="0">
      <alignment horizontal="center"/>
    </xf>
    <xf numFmtId="0" fontId="7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10" fontId="6" fillId="24" borderId="14" applyNumberFormat="0" applyBorder="0" applyAlignment="0" applyProtection="0"/>
    <xf numFmtId="10" fontId="6" fillId="24" borderId="14" applyNumberFormat="0" applyBorder="0" applyAlignment="0" applyProtection="0"/>
    <xf numFmtId="0" fontId="83" fillId="0" borderId="0" applyFill="0" applyBorder="0" applyProtection="0"/>
    <xf numFmtId="0" fontId="83" fillId="0" borderId="0" applyFill="0" applyBorder="0" applyProtection="0"/>
    <xf numFmtId="0" fontId="83" fillId="0" borderId="0" applyFill="0" applyBorder="0" applyProtection="0"/>
    <xf numFmtId="0" fontId="83" fillId="0" borderId="0" applyFill="0" applyBorder="0" applyProtection="0"/>
    <xf numFmtId="0" fontId="5" fillId="0" borderId="0"/>
    <xf numFmtId="0" fontId="61" fillId="0" borderId="42" applyNumberFormat="0" applyFill="0" applyAlignment="0" applyProtection="0"/>
    <xf numFmtId="0" fontId="5" fillId="0" borderId="0"/>
    <xf numFmtId="0" fontId="5" fillId="0" borderId="0"/>
    <xf numFmtId="210" fontId="78" fillId="0" borderId="0" applyFont="0" applyFill="0" applyBorder="0" applyAlignment="0" applyProtection="0"/>
    <xf numFmtId="211" fontId="78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97" fillId="0" borderId="0" applyNumberFormat="0">
      <alignment horizontal="left"/>
    </xf>
    <xf numFmtId="0" fontId="78" fillId="0" borderId="0" applyFont="0" applyFill="0" applyBorder="0" applyAlignment="0" applyProtection="0">
      <alignment horizontal="right"/>
    </xf>
    <xf numFmtId="212" fontId="78" fillId="0" borderId="0" applyFont="0" applyFill="0" applyBorder="0" applyAlignment="0" applyProtection="0">
      <alignment horizontal="right"/>
    </xf>
    <xf numFmtId="1" fontId="5" fillId="0" borderId="0" applyFont="0" applyFill="0" applyBorder="0" applyProtection="0">
      <alignment horizontal="right"/>
    </xf>
    <xf numFmtId="1" fontId="5" fillId="0" borderId="0" applyFont="0" applyFill="0" applyBorder="0" applyProtection="0">
      <alignment horizontal="right"/>
    </xf>
    <xf numFmtId="0" fontId="98" fillId="25" borderId="0" applyNumberFormat="0" applyBorder="0" applyAlignment="0" applyProtection="0"/>
    <xf numFmtId="37" fontId="99" fillId="0" borderId="0"/>
    <xf numFmtId="3" fontId="100" fillId="0" borderId="0"/>
    <xf numFmtId="213" fontId="68" fillId="0" borderId="0"/>
    <xf numFmtId="0" fontId="78" fillId="0" borderId="0" applyFill="0" applyBorder="0" applyProtection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" fillId="0" borderId="0"/>
    <xf numFmtId="0" fontId="5" fillId="0" borderId="0"/>
    <xf numFmtId="0" fontId="101" fillId="0" borderId="0">
      <alignment vertical="center"/>
    </xf>
    <xf numFmtId="0" fontId="5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" fillId="0" borderId="0"/>
    <xf numFmtId="0" fontId="101" fillId="0" borderId="0">
      <alignment vertical="center"/>
    </xf>
    <xf numFmtId="0" fontId="5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0" fontId="5" fillId="0" borderId="0" applyFill="0" applyBorder="0" applyAlignment="0" applyProtection="0"/>
    <xf numFmtId="190" fontId="5" fillId="0" borderId="0" applyFill="0" applyBorder="0" applyAlignment="0" applyProtection="0"/>
    <xf numFmtId="190" fontId="5" fillId="0" borderId="0" applyFill="0" applyBorder="0" applyAlignment="0" applyProtection="0"/>
    <xf numFmtId="0" fontId="101" fillId="0" borderId="0">
      <alignment vertical="center"/>
    </xf>
    <xf numFmtId="0" fontId="5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" fillId="0" borderId="0"/>
    <xf numFmtId="0" fontId="5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5" fillId="0" borderId="0"/>
    <xf numFmtId="0" fontId="68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" fillId="0" borderId="0"/>
    <xf numFmtId="0" fontId="101" fillId="0" borderId="0">
      <alignment vertical="center"/>
    </xf>
    <xf numFmtId="0" fontId="63" fillId="0" borderId="0"/>
    <xf numFmtId="0" fontId="101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" fillId="0" borderId="0"/>
    <xf numFmtId="0" fontId="5" fillId="0" borderId="0">
      <alignment vertical="top"/>
    </xf>
    <xf numFmtId="0" fontId="101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" fillId="0" borderId="0"/>
    <xf numFmtId="0" fontId="101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9" fillId="0" borderId="0"/>
    <xf numFmtId="0" fontId="5" fillId="0" borderId="0"/>
    <xf numFmtId="0" fontId="9" fillId="0" borderId="0"/>
    <xf numFmtId="0" fontId="5" fillId="26" borderId="18" applyNumberFormat="0" applyFont="0" applyAlignment="0" applyProtection="0"/>
    <xf numFmtId="0" fontId="102" fillId="0" borderId="0"/>
    <xf numFmtId="0" fontId="85" fillId="0" borderId="0"/>
    <xf numFmtId="0" fontId="85" fillId="0" borderId="0"/>
    <xf numFmtId="0" fontId="37" fillId="49" borderId="19" applyNumberFormat="0" applyAlignment="0" applyProtection="0"/>
    <xf numFmtId="178" fontId="5" fillId="0" borderId="0" applyFont="0" applyFill="0" applyBorder="0" applyProtection="0">
      <alignment horizontal="right"/>
    </xf>
    <xf numFmtId="178" fontId="5" fillId="0" borderId="0" applyFont="0" applyFill="0" applyBorder="0" applyProtection="0">
      <alignment horizontal="right"/>
    </xf>
    <xf numFmtId="1" fontId="103" fillId="0" borderId="0" applyProtection="0">
      <alignment horizontal="right" vertical="center"/>
    </xf>
    <xf numFmtId="9" fontId="104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14" fontId="83" fillId="0" borderId="0" applyFont="0" applyFill="0" applyBorder="0" applyAlignment="0" applyProtection="0"/>
    <xf numFmtId="3" fontId="6" fillId="52" borderId="43"/>
    <xf numFmtId="3" fontId="6" fillId="0" borderId="43" applyFont="0" applyFill="0" applyBorder="0" applyAlignment="0" applyProtection="0">
      <protection locked="0"/>
    </xf>
    <xf numFmtId="215" fontId="106" fillId="0" borderId="0">
      <protection locked="0"/>
    </xf>
    <xf numFmtId="0" fontId="102" fillId="0" borderId="0"/>
    <xf numFmtId="0" fontId="5" fillId="0" borderId="0"/>
    <xf numFmtId="0" fontId="6" fillId="0" borderId="0"/>
    <xf numFmtId="216" fontId="107" fillId="0" borderId="0"/>
    <xf numFmtId="0" fontId="5" fillId="0" borderId="0"/>
    <xf numFmtId="0" fontId="5" fillId="0" borderId="0"/>
    <xf numFmtId="3" fontId="108" fillId="0" borderId="44" applyBorder="0">
      <alignment horizontal="right" wrapText="1"/>
    </xf>
    <xf numFmtId="4" fontId="108" fillId="0" borderId="45" applyBorder="0">
      <alignment horizontal="right" wrapText="1"/>
    </xf>
    <xf numFmtId="0" fontId="6" fillId="0" borderId="0"/>
    <xf numFmtId="0" fontId="5" fillId="0" borderId="0">
      <alignment textRotation="90"/>
    </xf>
    <xf numFmtId="0" fontId="5" fillId="0" borderId="0"/>
    <xf numFmtId="0" fontId="5" fillId="31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29" borderId="19" applyNumberFormat="0" applyProtection="0">
      <alignment horizontal="left" vertical="center" indent="1"/>
    </xf>
    <xf numFmtId="0" fontId="5" fillId="29" borderId="19" applyNumberFormat="0" applyProtection="0">
      <alignment horizontal="left" vertical="center" indent="1"/>
    </xf>
    <xf numFmtId="0" fontId="5" fillId="22" borderId="19" applyNumberFormat="0" applyProtection="0">
      <alignment horizontal="left" vertical="center" indent="1"/>
    </xf>
    <xf numFmtId="0" fontId="5" fillId="22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5" fillId="31" borderId="19" applyNumberFormat="0" applyProtection="0">
      <alignment horizontal="left" vertical="center" indent="1"/>
    </xf>
    <xf numFmtId="0" fontId="5" fillId="0" borderId="37"/>
    <xf numFmtId="0" fontId="5" fillId="0" borderId="0"/>
    <xf numFmtId="0" fontId="5" fillId="0" borderId="23" applyNumberFormat="0" applyFill="0" applyProtection="0">
      <alignment horizontal="left" vertical="center" wrapText="1" indent="1"/>
    </xf>
    <xf numFmtId="187" fontId="5" fillId="0" borderId="23" applyFill="0" applyProtection="0">
      <alignment horizontal="right" vertical="center" wrapText="1"/>
    </xf>
    <xf numFmtId="188" fontId="5" fillId="0" borderId="23" applyFill="0" applyProtection="0">
      <alignment horizontal="right" vertical="center" wrapText="1"/>
    </xf>
    <xf numFmtId="0" fontId="5" fillId="0" borderId="0" applyNumberFormat="0" applyFill="0" applyBorder="0" applyProtection="0">
      <alignment horizontal="left" vertical="center" wrapText="1"/>
    </xf>
    <xf numFmtId="0" fontId="5" fillId="0" borderId="0" applyNumberFormat="0" applyFill="0" applyBorder="0" applyProtection="0">
      <alignment horizontal="left" vertical="center" wrapText="1" indent="1"/>
    </xf>
    <xf numFmtId="187" fontId="5" fillId="0" borderId="0" applyFill="0" applyBorder="0" applyProtection="0">
      <alignment horizontal="right" vertical="center" wrapText="1"/>
    </xf>
    <xf numFmtId="188" fontId="5" fillId="0" borderId="0" applyFill="0" applyBorder="0" applyProtection="0">
      <alignment horizontal="right" vertical="center" wrapText="1"/>
    </xf>
    <xf numFmtId="0" fontId="5" fillId="0" borderId="24" applyNumberFormat="0" applyFill="0" applyProtection="0">
      <alignment horizontal="left" vertical="center" wrapText="1"/>
    </xf>
    <xf numFmtId="0" fontId="5" fillId="0" borderId="24" applyNumberFormat="0" applyFill="0" applyProtection="0">
      <alignment horizontal="left" vertical="center" wrapText="1" indent="1"/>
    </xf>
    <xf numFmtId="187" fontId="5" fillId="0" borderId="24" applyFill="0" applyProtection="0">
      <alignment horizontal="right" vertical="center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Protection="0">
      <alignment vertical="center" wrapText="1"/>
    </xf>
    <xf numFmtId="0" fontId="5" fillId="0" borderId="0" applyNumberFormat="0" applyFill="0" applyBorder="0" applyProtection="0">
      <alignment vertical="center" wrapText="1"/>
    </xf>
    <xf numFmtId="0" fontId="5" fillId="0" borderId="0" applyNumberFormat="0" applyFill="0" applyBorder="0" applyProtection="0">
      <alignment vertical="center" wrapText="1"/>
    </xf>
    <xf numFmtId="0" fontId="5" fillId="0" borderId="0" applyNumberFormat="0" applyFill="0" applyBorder="0" applyProtection="0">
      <alignment vertical="center" wrapText="1"/>
    </xf>
    <xf numFmtId="0" fontId="25" fillId="0" borderId="25" applyNumberFormat="0" applyFill="0" applyProtection="0">
      <alignment horizontal="center" vertical="center" wrapText="1"/>
    </xf>
    <xf numFmtId="0" fontId="25" fillId="0" borderId="25" applyNumberFormat="0" applyFill="0" applyProtection="0">
      <alignment horizontal="center" vertical="center" wrapText="1"/>
    </xf>
    <xf numFmtId="0" fontId="5" fillId="0" borderId="23" applyNumberFormat="0" applyFill="0" applyProtection="0">
      <alignment horizontal="left" vertical="center" wrapText="1"/>
    </xf>
    <xf numFmtId="0" fontId="5" fillId="0" borderId="0"/>
    <xf numFmtId="0" fontId="5" fillId="0" borderId="0"/>
    <xf numFmtId="0" fontId="66" fillId="0" borderId="0"/>
    <xf numFmtId="0" fontId="5" fillId="0" borderId="0">
      <alignment vertical="top"/>
    </xf>
    <xf numFmtId="0" fontId="28" fillId="53" borderId="46" applyNumberFormat="0" applyProtection="0">
      <alignment horizontal="center" wrapText="1"/>
    </xf>
    <xf numFmtId="0" fontId="28" fillId="53" borderId="46" applyNumberFormat="0" applyProtection="0">
      <alignment horizontal="center" wrapText="1"/>
    </xf>
    <xf numFmtId="0" fontId="28" fillId="53" borderId="46" applyNumberFormat="0" applyProtection="0">
      <alignment horizontal="center" wrapText="1"/>
    </xf>
    <xf numFmtId="0" fontId="28" fillId="53" borderId="46" applyNumberFormat="0" applyProtection="0">
      <alignment horizontal="center" wrapText="1"/>
    </xf>
    <xf numFmtId="0" fontId="28" fillId="53" borderId="47" applyNumberFormat="0" applyAlignment="0" applyProtection="0">
      <alignment wrapText="1"/>
    </xf>
    <xf numFmtId="0" fontId="28" fillId="53" borderId="47" applyNumberFormat="0" applyAlignment="0" applyProtection="0">
      <alignment wrapText="1"/>
    </xf>
    <xf numFmtId="0" fontId="28" fillId="53" borderId="47" applyNumberFormat="0" applyAlignment="0" applyProtection="0">
      <alignment wrapText="1"/>
    </xf>
    <xf numFmtId="0" fontId="28" fillId="53" borderId="47" applyNumberFormat="0" applyAlignment="0" applyProtection="0">
      <alignment wrapText="1"/>
    </xf>
    <xf numFmtId="0" fontId="5" fillId="54" borderId="0" applyNumberFormat="0" applyBorder="0">
      <alignment horizontal="center" wrapText="1"/>
    </xf>
    <xf numFmtId="0" fontId="5" fillId="54" borderId="0" applyNumberFormat="0" applyBorder="0">
      <alignment wrapText="1"/>
    </xf>
    <xf numFmtId="0" fontId="5" fillId="0" borderId="0" applyNumberFormat="0" applyFill="0" applyBorder="0" applyProtection="0">
      <alignment horizontal="right" wrapText="1"/>
    </xf>
    <xf numFmtId="217" fontId="5" fillId="0" borderId="0" applyFill="0" applyBorder="0" applyAlignment="0" applyProtection="0">
      <alignment wrapText="1"/>
    </xf>
    <xf numFmtId="218" fontId="5" fillId="0" borderId="0" applyFill="0" applyBorder="0" applyAlignment="0" applyProtection="0">
      <alignment wrapText="1"/>
    </xf>
    <xf numFmtId="219" fontId="5" fillId="0" borderId="0" applyFill="0" applyBorder="0" applyAlignment="0" applyProtection="0">
      <alignment wrapText="1"/>
    </xf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166" fontId="5" fillId="0" borderId="0" applyFill="0" applyBorder="0" applyAlignment="0" applyProtection="0">
      <alignment wrapText="1"/>
    </xf>
    <xf numFmtId="0" fontId="25" fillId="0" borderId="0" applyNumberFormat="0" applyFill="0" applyBorder="0">
      <alignment horizontal="left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2" fontId="109" fillId="55" borderId="48" applyProtection="0"/>
    <xf numFmtId="2" fontId="109" fillId="55" borderId="48" applyProtection="0"/>
    <xf numFmtId="2" fontId="110" fillId="0" borderId="0" applyFill="0" applyBorder="0" applyProtection="0"/>
    <xf numFmtId="0" fontId="5" fillId="0" borderId="49"/>
    <xf numFmtId="2" fontId="110" fillId="56" borderId="48" applyProtection="0"/>
    <xf numFmtId="2" fontId="110" fillId="57" borderId="48" applyProtection="0"/>
    <xf numFmtId="2" fontId="110" fillId="58" borderId="48" applyProtection="0"/>
    <xf numFmtId="2" fontId="110" fillId="57" borderId="48" applyProtection="0">
      <alignment horizontal="center"/>
    </xf>
    <xf numFmtId="0" fontId="111" fillId="0" borderId="0" applyBorder="0" applyProtection="0">
      <alignment vertical="center"/>
    </xf>
    <xf numFmtId="0" fontId="111" fillId="0" borderId="30" applyBorder="0" applyProtection="0">
      <alignment horizontal="right" vertical="center"/>
    </xf>
    <xf numFmtId="0" fontId="112" fillId="59" borderId="0" applyBorder="0" applyProtection="0">
      <alignment horizontal="centerContinuous" vertical="center"/>
    </xf>
    <xf numFmtId="0" fontId="112" fillId="60" borderId="30" applyBorder="0" applyProtection="0">
      <alignment horizontal="centerContinuous" vertical="center"/>
    </xf>
    <xf numFmtId="0" fontId="113" fillId="0" borderId="0" applyNumberFormat="0" applyFill="0" applyBorder="0" applyProtection="0">
      <alignment horizontal="left"/>
    </xf>
    <xf numFmtId="0" fontId="53" fillId="0" borderId="0" applyBorder="0" applyProtection="0">
      <alignment horizontal="left"/>
    </xf>
    <xf numFmtId="179" fontId="6" fillId="0" borderId="0">
      <alignment wrapText="1"/>
      <protection locked="0"/>
    </xf>
    <xf numFmtId="179" fontId="6" fillId="0" borderId="0">
      <alignment wrapText="1"/>
      <protection locked="0"/>
    </xf>
    <xf numFmtId="180" fontId="6" fillId="0" borderId="0">
      <alignment wrapText="1"/>
      <protection locked="0"/>
    </xf>
    <xf numFmtId="180" fontId="6" fillId="0" borderId="0">
      <alignment wrapText="1"/>
      <protection locked="0"/>
    </xf>
    <xf numFmtId="180" fontId="6" fillId="0" borderId="0">
      <alignment wrapText="1"/>
      <protection locked="0"/>
    </xf>
    <xf numFmtId="181" fontId="6" fillId="0" borderId="0">
      <alignment wrapText="1"/>
      <protection locked="0"/>
    </xf>
    <xf numFmtId="181" fontId="6" fillId="0" borderId="0">
      <alignment wrapText="1"/>
      <protection locked="0"/>
    </xf>
    <xf numFmtId="0" fontId="87" fillId="0" borderId="0" applyNumberFormat="0" applyFill="0" applyBorder="0" applyProtection="0">
      <alignment horizontal="left"/>
    </xf>
    <xf numFmtId="0" fontId="92" fillId="0" borderId="0" applyNumberFormat="0" applyFill="0" applyBorder="0" applyProtection="0"/>
    <xf numFmtId="0" fontId="114" fillId="0" borderId="0" applyFill="0" applyBorder="0" applyProtection="0">
      <alignment horizontal="left"/>
    </xf>
    <xf numFmtId="0" fontId="6" fillId="0" borderId="40" applyFill="0" applyBorder="0" applyProtection="0">
      <alignment horizontal="left" vertical="top"/>
    </xf>
    <xf numFmtId="171" fontId="28" fillId="0" borderId="0" applyFont="0">
      <alignment horizontal="center"/>
    </xf>
    <xf numFmtId="220" fontId="5" fillId="0" borderId="0" applyNumberFormat="0" applyFill="0" applyBorder="0">
      <alignment horizontal="left"/>
    </xf>
    <xf numFmtId="220" fontId="5" fillId="0" borderId="0" applyNumberFormat="0" applyFill="0" applyBorder="0">
      <alignment horizontal="right"/>
    </xf>
    <xf numFmtId="0" fontId="5" fillId="0" borderId="0"/>
    <xf numFmtId="0" fontId="115" fillId="0" borderId="0" applyNumberFormat="0" applyFill="0" applyBorder="0" applyProtection="0"/>
    <xf numFmtId="0" fontId="115" fillId="0" borderId="0" applyNumberFormat="0" applyFill="0" applyBorder="0" applyProtection="0"/>
    <xf numFmtId="0" fontId="5" fillId="0" borderId="0" applyNumberFormat="0" applyFill="0" applyBorder="0" applyProtection="0"/>
    <xf numFmtId="0" fontId="5" fillId="0" borderId="0" applyNumberFormat="0" applyFill="0" applyBorder="0" applyProtection="0"/>
    <xf numFmtId="0" fontId="115" fillId="0" borderId="0" applyNumberFormat="0" applyFill="0" applyBorder="0" applyProtection="0"/>
    <xf numFmtId="0" fontId="115" fillId="0" borderId="0"/>
    <xf numFmtId="0" fontId="5" fillId="0" borderId="0"/>
    <xf numFmtId="0" fontId="115" fillId="0" borderId="0"/>
    <xf numFmtId="0" fontId="116" fillId="0" borderId="0" applyFill="0" applyBorder="0" applyProtection="0"/>
    <xf numFmtId="0" fontId="116" fillId="0" borderId="0" applyFill="0" applyBorder="0" applyProtection="0"/>
    <xf numFmtId="0" fontId="5" fillId="0" borderId="0"/>
    <xf numFmtId="0" fontId="102" fillId="0" borderId="0"/>
    <xf numFmtId="0" fontId="5" fillId="0" borderId="0"/>
    <xf numFmtId="37" fontId="6" fillId="30" borderId="0" applyNumberFormat="0" applyBorder="0" applyAlignment="0" applyProtection="0"/>
    <xf numFmtId="37" fontId="6" fillId="30" borderId="0" applyNumberFormat="0" applyBorder="0" applyAlignment="0" applyProtection="0"/>
    <xf numFmtId="37" fontId="6" fillId="0" borderId="0"/>
    <xf numFmtId="37" fontId="6" fillId="0" borderId="0"/>
    <xf numFmtId="37" fontId="6" fillId="0" borderId="0"/>
    <xf numFmtId="37" fontId="6" fillId="30" borderId="0" applyNumberFormat="0" applyBorder="0" applyAlignment="0" applyProtection="0"/>
    <xf numFmtId="3" fontId="117" fillId="0" borderId="41" applyProtection="0"/>
    <xf numFmtId="0" fontId="5" fillId="0" borderId="0"/>
    <xf numFmtId="0" fontId="5" fillId="0" borderId="0">
      <alignment horizontal="center" textRotation="180"/>
    </xf>
    <xf numFmtId="0" fontId="5" fillId="0" borderId="0"/>
    <xf numFmtId="0" fontId="6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24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0" fontId="68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228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21" fillId="0" borderId="0"/>
    <xf numFmtId="43" fontId="122" fillId="0" borderId="0" applyFont="0" applyFill="0" applyBorder="0" applyAlignment="0" applyProtection="0"/>
    <xf numFmtId="0" fontId="123" fillId="0" borderId="0"/>
    <xf numFmtId="232" fontId="3" fillId="0" borderId="0" applyFont="0" applyFill="0" applyBorder="0" applyAlignment="0" applyProtection="0"/>
    <xf numFmtId="15" fontId="124" fillId="0" borderId="0"/>
    <xf numFmtId="17" fontId="124" fillId="0" borderId="0"/>
    <xf numFmtId="19" fontId="124" fillId="0" borderId="0"/>
    <xf numFmtId="21" fontId="124" fillId="0" borderId="0"/>
    <xf numFmtId="0" fontId="125" fillId="0" borderId="0"/>
    <xf numFmtId="233" fontId="3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234" fontId="3" fillId="0" borderId="0" applyFont="0" applyFill="0" applyBorder="0" applyAlignment="0" applyProtection="0"/>
    <xf numFmtId="235" fontId="3" fillId="0" borderId="0" applyFont="0" applyFill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0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52" borderId="0" applyNumberFormat="0" applyBorder="0" applyAlignment="0" applyProtection="0"/>
    <xf numFmtId="0" fontId="10" fillId="68" borderId="0" applyNumberFormat="0" applyBorder="0" applyAlignment="0" applyProtection="0"/>
    <xf numFmtId="0" fontId="9" fillId="67" borderId="0" applyNumberFormat="0" applyBorder="0" applyAlignment="0" applyProtection="0"/>
    <xf numFmtId="0" fontId="9" fillId="69" borderId="0" applyNumberFormat="0" applyBorder="0" applyAlignment="0" applyProtection="0"/>
    <xf numFmtId="0" fontId="10" fillId="52" borderId="0" applyNumberFormat="0" applyBorder="0" applyAlignment="0" applyProtection="0"/>
    <xf numFmtId="0" fontId="9" fillId="65" borderId="0" applyNumberFormat="0" applyBorder="0" applyAlignment="0" applyProtection="0"/>
    <xf numFmtId="0" fontId="9" fillId="52" borderId="0" applyNumberFormat="0" applyBorder="0" applyAlignment="0" applyProtection="0"/>
    <xf numFmtId="0" fontId="10" fillId="52" borderId="0" applyNumberFormat="0" applyBorder="0" applyAlignment="0" applyProtection="0"/>
    <xf numFmtId="0" fontId="9" fillId="70" borderId="0" applyNumberFormat="0" applyBorder="0" applyAlignment="0" applyProtection="0"/>
    <xf numFmtId="0" fontId="9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18" borderId="0" applyNumberFormat="0" applyBorder="0" applyAlignment="0" applyProtection="0"/>
    <xf numFmtId="0" fontId="9" fillId="67" borderId="0" applyNumberFormat="0" applyBorder="0" applyAlignment="0" applyProtection="0"/>
    <xf numFmtId="0" fontId="9" fillId="71" borderId="0" applyNumberFormat="0" applyBorder="0" applyAlignment="0" applyProtection="0"/>
    <xf numFmtId="0" fontId="10" fillId="71" borderId="0" applyNumberFormat="0" applyBorder="0" applyAlignment="0" applyProtection="0"/>
    <xf numFmtId="0" fontId="4" fillId="72" borderId="57" applyNumberFormat="0" applyBorder="0" applyProtection="0"/>
    <xf numFmtId="0" fontId="4" fillId="72" borderId="57" applyNumberFormat="0" applyBorder="0" applyProtection="0"/>
    <xf numFmtId="0" fontId="4" fillId="72" borderId="57" applyNumberFormat="0" applyBorder="0" applyProtection="0"/>
    <xf numFmtId="0" fontId="4" fillId="72" borderId="57" applyNumberFormat="0" applyBorder="0" applyProtection="0"/>
    <xf numFmtId="0" fontId="4" fillId="20" borderId="0" applyNumberFormat="0" applyFont="0" applyAlignment="0"/>
    <xf numFmtId="0" fontId="4" fillId="20" borderId="0" applyNumberFormat="0" applyFont="0" applyAlignment="0"/>
    <xf numFmtId="0" fontId="4" fillId="20" borderId="0" applyNumberFormat="0" applyFont="0" applyAlignment="0"/>
    <xf numFmtId="0" fontId="4" fillId="20" borderId="0" applyNumberFormat="0" applyFont="0" applyAlignment="0"/>
    <xf numFmtId="0" fontId="126" fillId="73" borderId="58">
      <alignment horizontal="left"/>
    </xf>
    <xf numFmtId="236" fontId="127" fillId="0" borderId="0" applyFont="0" applyFill="0" applyBorder="0" applyAlignment="0" applyProtection="0">
      <alignment vertical="top"/>
    </xf>
    <xf numFmtId="0" fontId="128" fillId="74" borderId="0" applyNumberFormat="0" applyBorder="0">
      <alignment horizontal="left"/>
    </xf>
    <xf numFmtId="237" fontId="68" fillId="0" borderId="0" applyFont="0" applyFill="0" applyBorder="0" applyAlignment="0" applyProtection="0"/>
    <xf numFmtId="0" fontId="129" fillId="0" borderId="0" applyNumberFormat="0" applyFill="0" applyBorder="0" applyAlignment="0"/>
    <xf numFmtId="193" fontId="4" fillId="75" borderId="59" applyNumberFormat="0">
      <alignment vertical="center"/>
    </xf>
    <xf numFmtId="177" fontId="4" fillId="24" borderId="59" applyNumberFormat="0">
      <alignment vertical="center"/>
    </xf>
    <xf numFmtId="1" fontId="4" fillId="76" borderId="59" applyNumberFormat="0">
      <alignment vertical="center"/>
    </xf>
    <xf numFmtId="193" fontId="4" fillId="76" borderId="59" applyNumberFormat="0">
      <alignment vertical="center"/>
    </xf>
    <xf numFmtId="193" fontId="4" fillId="22" borderId="59" applyNumberFormat="0">
      <alignment vertical="center"/>
    </xf>
    <xf numFmtId="3" fontId="4" fillId="0" borderId="59" applyNumberFormat="0">
      <alignment vertical="center"/>
    </xf>
    <xf numFmtId="193" fontId="4" fillId="75" borderId="59" applyNumberFormat="0">
      <alignment vertical="center"/>
    </xf>
    <xf numFmtId="0" fontId="4" fillId="75" borderId="59" applyNumberFormat="0">
      <alignment vertical="center"/>
    </xf>
    <xf numFmtId="0" fontId="12" fillId="20" borderId="7" applyNumberFormat="0" applyAlignment="0" applyProtection="0"/>
    <xf numFmtId="0" fontId="12" fillId="20" borderId="7" applyNumberFormat="0" applyAlignment="0" applyProtection="0"/>
    <xf numFmtId="0" fontId="12" fillId="20" borderId="7" applyNumberFormat="0" applyAlignment="0" applyProtection="0"/>
    <xf numFmtId="0" fontId="13" fillId="21" borderId="8" applyNumberFormat="0" applyAlignment="0" applyProtection="0"/>
    <xf numFmtId="0" fontId="4" fillId="77" borderId="57" applyNumberFormat="0" applyBorder="0" applyProtection="0"/>
    <xf numFmtId="0" fontId="4" fillId="77" borderId="57" applyNumberFormat="0" applyBorder="0" applyProtection="0"/>
    <xf numFmtId="0" fontId="4" fillId="77" borderId="57" applyNumberFormat="0" applyBorder="0" applyProtection="0"/>
    <xf numFmtId="0" fontId="4" fillId="77" borderId="57" applyNumberFormat="0" applyBorder="0" applyProtection="0"/>
    <xf numFmtId="0" fontId="13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31" fillId="22" borderId="0" applyNumberFormat="0" applyFill="0" applyBorder="0" applyAlignment="0"/>
    <xf numFmtId="0" fontId="132" fillId="78" borderId="0" applyNumberFormat="0" applyBorder="0">
      <alignment horizontal="left"/>
    </xf>
    <xf numFmtId="238" fontId="92" fillId="0" borderId="0" applyFont="0" applyFill="0" applyBorder="0" applyAlignment="0" applyProtection="0"/>
    <xf numFmtId="0" fontId="13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4" fillId="0" borderId="0" applyNumberFormat="0" applyBorder="0">
      <alignment horizontal="center"/>
    </xf>
    <xf numFmtId="37" fontId="94" fillId="0" borderId="60" applyAlignment="0">
      <protection locked="0"/>
    </xf>
    <xf numFmtId="0" fontId="94" fillId="0" borderId="60" applyAlignment="0">
      <protection locked="0"/>
    </xf>
    <xf numFmtId="0" fontId="94" fillId="0" borderId="60" applyAlignment="0">
      <protection locked="0"/>
    </xf>
    <xf numFmtId="0" fontId="94" fillId="0" borderId="60" applyAlignment="0">
      <protection locked="0"/>
    </xf>
    <xf numFmtId="0" fontId="94" fillId="0" borderId="60" applyAlignment="0">
      <protection locked="0"/>
    </xf>
    <xf numFmtId="37" fontId="94" fillId="0" borderId="60" applyAlignment="0">
      <protection locked="0"/>
    </xf>
    <xf numFmtId="37" fontId="94" fillId="0" borderId="60" applyAlignment="0">
      <protection locked="0"/>
    </xf>
    <xf numFmtId="37" fontId="94" fillId="0" borderId="60" applyAlignment="0">
      <protection locked="0"/>
    </xf>
    <xf numFmtId="10" fontId="94" fillId="0" borderId="60" applyAlignment="0">
      <protection locked="0"/>
    </xf>
    <xf numFmtId="10" fontId="94" fillId="0" borderId="60" applyAlignment="0">
      <protection locked="0"/>
    </xf>
    <xf numFmtId="10" fontId="94" fillId="0" borderId="60" applyAlignment="0">
      <protection locked="0"/>
    </xf>
    <xf numFmtId="10" fontId="94" fillId="0" borderId="60" applyAlignment="0">
      <protection locked="0"/>
    </xf>
    <xf numFmtId="37" fontId="94" fillId="0" borderId="60" applyAlignment="0">
      <protection locked="0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0" fontId="4" fillId="80" borderId="61" applyNumberFormat="0" applyBorder="0">
      <alignment horizontal="left"/>
    </xf>
    <xf numFmtId="16" fontId="124" fillId="0" borderId="0"/>
    <xf numFmtId="18" fontId="124" fillId="0" borderId="0"/>
    <xf numFmtId="20" fontId="124" fillId="0" borderId="0"/>
    <xf numFmtId="239" fontId="135" fillId="22" borderId="19">
      <alignment horizontal="center"/>
    </xf>
    <xf numFmtId="239" fontId="135" fillId="22" borderId="19">
      <alignment horizontal="center"/>
    </xf>
    <xf numFmtId="239" fontId="135" fillId="22" borderId="19">
      <alignment horizontal="center"/>
    </xf>
    <xf numFmtId="239" fontId="135" fillId="22" borderId="19">
      <alignment horizontal="center"/>
    </xf>
    <xf numFmtId="239" fontId="135" fillId="22" borderId="19">
      <alignment horizontal="center"/>
    </xf>
    <xf numFmtId="239" fontId="135" fillId="22" borderId="19">
      <alignment horizontal="center"/>
    </xf>
    <xf numFmtId="14" fontId="4" fillId="0" borderId="0"/>
    <xf numFmtId="14" fontId="4" fillId="0" borderId="0"/>
    <xf numFmtId="16" fontId="4" fillId="0" borderId="0"/>
    <xf numFmtId="18" fontId="4" fillId="0" borderId="0"/>
    <xf numFmtId="20" fontId="4" fillId="0" borderId="0"/>
    <xf numFmtId="14" fontId="4" fillId="0" borderId="0"/>
    <xf numFmtId="16" fontId="4" fillId="0" borderId="0"/>
    <xf numFmtId="18" fontId="4" fillId="0" borderId="0"/>
    <xf numFmtId="20" fontId="4" fillId="0" borderId="0"/>
    <xf numFmtId="14" fontId="4" fillId="0" borderId="0"/>
    <xf numFmtId="0" fontId="97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0" fontId="68" fillId="0" borderId="0"/>
    <xf numFmtId="241" fontId="4" fillId="0" borderId="54" applyFont="0" applyFill="0" applyBorder="0" applyProtection="0"/>
    <xf numFmtId="9" fontId="136" fillId="0" borderId="14" applyNumberFormat="0" applyBorder="0" applyAlignment="0">
      <protection locked="0"/>
    </xf>
    <xf numFmtId="9" fontId="136" fillId="0" borderId="14" applyNumberFormat="0" applyBorder="0" applyAlignment="0">
      <protection locked="0"/>
    </xf>
    <xf numFmtId="9" fontId="136" fillId="0" borderId="14" applyNumberFormat="0" applyBorder="0" applyAlignment="0">
      <protection locked="0"/>
    </xf>
    <xf numFmtId="9" fontId="136" fillId="0" borderId="14" applyNumberFormat="0" applyBorder="0" applyAlignment="0">
      <protection locked="0"/>
    </xf>
    <xf numFmtId="186" fontId="4" fillId="0" borderId="0" applyFont="0" applyFill="0" applyBorder="0" applyAlignment="0" applyProtection="0">
      <alignment vertical="top"/>
    </xf>
    <xf numFmtId="186" fontId="4" fillId="0" borderId="0" applyFont="0" applyFill="0" applyBorder="0" applyAlignment="0" applyProtection="0">
      <alignment vertical="top"/>
    </xf>
    <xf numFmtId="0" fontId="135" fillId="35" borderId="62" applyNumberFormat="0"/>
    <xf numFmtId="0" fontId="137" fillId="0" borderId="0" applyNumberFormat="0" applyFill="0" applyBorder="0" applyAlignment="0" applyProtection="0"/>
    <xf numFmtId="0" fontId="135" fillId="22" borderId="19">
      <alignment horizontal="center"/>
    </xf>
    <xf numFmtId="0" fontId="135" fillId="22" borderId="19">
      <alignment horizontal="center"/>
    </xf>
    <xf numFmtId="0" fontId="135" fillId="22" borderId="19">
      <alignment horizontal="center"/>
    </xf>
    <xf numFmtId="0" fontId="135" fillId="22" borderId="19">
      <alignment horizontal="center"/>
    </xf>
    <xf numFmtId="0" fontId="135" fillId="22" borderId="19">
      <alignment horizontal="center"/>
    </xf>
    <xf numFmtId="0" fontId="135" fillId="22" borderId="19">
      <alignment horizontal="center"/>
    </xf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6" fontId="4" fillId="0" borderId="0" applyFont="0" applyFill="0" applyBorder="0" applyAlignment="0" applyProtection="0"/>
    <xf numFmtId="18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6" fontId="4" fillId="0" borderId="0" applyFont="0" applyFill="0" applyBorder="0" applyAlignment="0" applyProtection="0"/>
    <xf numFmtId="18" fontId="4" fillId="0" borderId="0" applyFont="0" applyFill="0" applyBorder="0" applyAlignment="0" applyProtection="0"/>
    <xf numFmtId="20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0" fontId="125" fillId="0" borderId="0"/>
    <xf numFmtId="0" fontId="97" fillId="0" borderId="0">
      <alignment horizontal="center"/>
    </xf>
    <xf numFmtId="0" fontId="28" fillId="29" borderId="39" applyAlignment="0" applyProtection="0"/>
    <xf numFmtId="0" fontId="28" fillId="29" borderId="39" applyAlignment="0" applyProtection="0"/>
    <xf numFmtId="0" fontId="28" fillId="29" borderId="39" applyAlignment="0" applyProtection="0"/>
    <xf numFmtId="0" fontId="28" fillId="29" borderId="39" applyAlignment="0" applyProtection="0"/>
    <xf numFmtId="0" fontId="28" fillId="29" borderId="39" applyAlignment="0" applyProtection="0"/>
    <xf numFmtId="0" fontId="28" fillId="29" borderId="39" applyAlignment="0" applyProtection="0"/>
    <xf numFmtId="0" fontId="132" fillId="22" borderId="63" applyNumberFormat="0">
      <alignment vertical="center"/>
    </xf>
    <xf numFmtId="243" fontId="138" fillId="78" borderId="0" applyBorder="0" applyAlignment="0"/>
    <xf numFmtId="0" fontId="139" fillId="0" borderId="0"/>
    <xf numFmtId="0" fontId="71" fillId="81" borderId="54" applyNumberFormat="0" applyFont="0" applyBorder="0" applyAlignment="0">
      <alignment horizontal="centerContinuous"/>
    </xf>
    <xf numFmtId="0" fontId="71" fillId="81" borderId="54" applyNumberFormat="0" applyFont="0" applyBorder="0" applyAlignment="0">
      <alignment horizontal="centerContinuous"/>
    </xf>
    <xf numFmtId="0" fontId="71" fillId="81" borderId="54" applyNumberFormat="0" applyFont="0" applyBorder="0" applyAlignment="0">
      <alignment horizontal="centerContinuous"/>
    </xf>
    <xf numFmtId="0" fontId="4" fillId="82" borderId="0" applyNumberFormat="0" applyFont="0" applyBorder="0" applyAlignment="0"/>
    <xf numFmtId="0" fontId="4" fillId="82" borderId="0" applyNumberFormat="0" applyFont="0" applyBorder="0" applyAlignment="0"/>
    <xf numFmtId="0" fontId="4" fillId="82" borderId="0" applyNumberFormat="0" applyFont="0" applyBorder="0" applyAlignment="0"/>
    <xf numFmtId="0" fontId="4" fillId="82" borderId="0" applyNumberFormat="0" applyFont="0" applyBorder="0" applyAlignment="0"/>
    <xf numFmtId="0" fontId="140" fillId="57" borderId="32"/>
    <xf numFmtId="0" fontId="141" fillId="78" borderId="0" applyNumberFormat="0" applyBorder="0" applyAlignment="0"/>
    <xf numFmtId="10" fontId="6" fillId="24" borderId="14" applyNumberFormat="0" applyBorder="0" applyAlignment="0" applyProtection="0"/>
    <xf numFmtId="193" fontId="79" fillId="30" borderId="64" applyNumberFormat="0">
      <alignment vertical="center"/>
    </xf>
    <xf numFmtId="0" fontId="33" fillId="7" borderId="7" applyNumberFormat="0" applyAlignment="0" applyProtection="0"/>
    <xf numFmtId="0" fontId="33" fillId="7" borderId="7" applyNumberFormat="0" applyAlignment="0" applyProtection="0"/>
    <xf numFmtId="0" fontId="33" fillId="7" borderId="7" applyNumberFormat="0" applyAlignment="0" applyProtection="0"/>
    <xf numFmtId="0" fontId="79" fillId="30" borderId="64" applyNumberFormat="0">
      <alignment vertical="center"/>
    </xf>
    <xf numFmtId="37" fontId="53" fillId="20" borderId="0"/>
    <xf numFmtId="0" fontId="53" fillId="20" borderId="0"/>
    <xf numFmtId="37" fontId="25" fillId="20" borderId="0"/>
    <xf numFmtId="0" fontId="25" fillId="20" borderId="0"/>
    <xf numFmtId="0" fontId="142" fillId="0" borderId="0"/>
    <xf numFmtId="38" fontId="143" fillId="0" borderId="0"/>
    <xf numFmtId="0" fontId="143" fillId="0" borderId="0"/>
    <xf numFmtId="38" fontId="143" fillId="0" borderId="0"/>
    <xf numFmtId="38" fontId="144" fillId="0" borderId="0"/>
    <xf numFmtId="0" fontId="144" fillId="0" borderId="0"/>
    <xf numFmtId="38" fontId="144" fillId="0" borderId="0"/>
    <xf numFmtId="38" fontId="145" fillId="0" borderId="0"/>
    <xf numFmtId="0" fontId="145" fillId="0" borderId="0"/>
    <xf numFmtId="38" fontId="145" fillId="0" borderId="0"/>
    <xf numFmtId="38" fontId="146" fillId="0" borderId="0"/>
    <xf numFmtId="0" fontId="146" fillId="0" borderId="0"/>
    <xf numFmtId="38" fontId="146" fillId="0" borderId="0"/>
    <xf numFmtId="0" fontId="135" fillId="0" borderId="0"/>
    <xf numFmtId="0" fontId="135" fillId="0" borderId="0"/>
    <xf numFmtId="0" fontId="147" fillId="0" borderId="0" applyNumberFormat="0" applyFill="0" applyBorder="0">
      <alignment horizontal="right"/>
    </xf>
    <xf numFmtId="37" fontId="53" fillId="0" borderId="40">
      <alignment vertical="top" wrapText="1"/>
    </xf>
    <xf numFmtId="1" fontId="148" fillId="0" borderId="39" applyNumberFormat="0" applyFont="0" applyFill="0" applyBorder="0" applyAlignment="0">
      <alignment horizontal="center"/>
      <protection locked="0"/>
    </xf>
    <xf numFmtId="1" fontId="148" fillId="0" borderId="39" applyNumberFormat="0" applyFont="0" applyFill="0" applyBorder="0" applyAlignment="0">
      <alignment horizontal="center"/>
      <protection locked="0"/>
    </xf>
    <xf numFmtId="1" fontId="148" fillId="0" borderId="39" applyNumberFormat="0" applyFont="0" applyFill="0" applyBorder="0" applyAlignment="0">
      <alignment horizontal="center"/>
      <protection locked="0"/>
    </xf>
    <xf numFmtId="1" fontId="148" fillId="0" borderId="39" applyNumberFormat="0" applyFont="0" applyFill="0" applyBorder="0" applyAlignment="0">
      <alignment horizontal="center"/>
      <protection locked="0"/>
    </xf>
    <xf numFmtId="14" fontId="149" fillId="0" borderId="0"/>
    <xf numFmtId="16" fontId="149" fillId="0" borderId="0"/>
    <xf numFmtId="18" fontId="149" fillId="0" borderId="0"/>
    <xf numFmtId="20" fontId="149" fillId="0" borderId="0"/>
    <xf numFmtId="0" fontId="1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35" fillId="0" borderId="0" applyFont="0" applyFill="0" applyBorder="0" applyAlignment="0" applyProtection="0"/>
    <xf numFmtId="247" fontId="135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38" fontId="138" fillId="78" borderId="0" applyBorder="0" applyAlignment="0"/>
    <xf numFmtId="0" fontId="138" fillId="78" borderId="0" applyBorder="0" applyAlignment="0"/>
    <xf numFmtId="0" fontId="79" fillId="75" borderId="65" applyNumberFormat="0">
      <alignment vertical="center"/>
      <protection locked="0"/>
    </xf>
    <xf numFmtId="0" fontId="150" fillId="75" borderId="65" applyFont="0">
      <protection locked="0"/>
    </xf>
    <xf numFmtId="0" fontId="151" fillId="0" borderId="0" applyBorder="0">
      <alignment horizontal="left" vertical="top"/>
    </xf>
    <xf numFmtId="0" fontId="79" fillId="75" borderId="65" applyNumberFormat="0">
      <alignment vertical="center"/>
      <protection locked="0"/>
    </xf>
    <xf numFmtId="248" fontId="152" fillId="0" borderId="0"/>
    <xf numFmtId="189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4" fillId="0" borderId="0"/>
    <xf numFmtId="24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153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9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249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9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65" fillId="0" borderId="0"/>
    <xf numFmtId="0" fontId="4" fillId="26" borderId="18" applyNumberFormat="0" applyFont="0" applyAlignment="0" applyProtection="0"/>
    <xf numFmtId="0" fontId="4" fillId="26" borderId="18" applyNumberFormat="0" applyFont="0" applyAlignment="0" applyProtection="0"/>
    <xf numFmtId="0" fontId="4" fillId="26" borderId="18" applyNumberFormat="0" applyFont="0" applyAlignment="0" applyProtection="0"/>
    <xf numFmtId="0" fontId="4" fillId="26" borderId="18" applyNumberFormat="0" applyFont="0" applyAlignment="0" applyProtection="0"/>
    <xf numFmtId="0" fontId="4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4" fillId="26" borderId="18" applyNumberFormat="0" applyFont="0" applyAlignment="0" applyProtection="0"/>
    <xf numFmtId="0" fontId="4" fillId="26" borderId="18" applyNumberFormat="0" applyFont="0" applyAlignment="0" applyProtection="0"/>
    <xf numFmtId="0" fontId="9" fillId="26" borderId="18" applyNumberFormat="0" applyFont="0" applyAlignment="0" applyProtection="0"/>
    <xf numFmtId="0" fontId="4" fillId="26" borderId="18" applyNumberFormat="0" applyFont="0" applyAlignment="0" applyProtection="0"/>
    <xf numFmtId="0" fontId="4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0" fontId="9" fillId="26" borderId="18" applyNumberFormat="0" applyFont="0" applyAlignment="0" applyProtection="0"/>
    <xf numFmtId="3" fontId="6" fillId="0" borderId="0" applyFill="0" applyBorder="0">
      <alignment horizontal="right" vertical="top" wrapText="1"/>
    </xf>
    <xf numFmtId="3" fontId="6" fillId="0" borderId="0" applyFill="0" applyBorder="0">
      <alignment horizontal="right" vertical="top" wrapText="1"/>
    </xf>
    <xf numFmtId="177" fontId="6" fillId="0" borderId="0" applyBorder="0">
      <alignment vertical="top" wrapText="1"/>
    </xf>
    <xf numFmtId="37" fontId="4" fillId="0" borderId="0"/>
    <xf numFmtId="37" fontId="4" fillId="0" borderId="0"/>
    <xf numFmtId="0" fontId="4" fillId="0" borderId="0"/>
    <xf numFmtId="37" fontId="4" fillId="0" borderId="0"/>
    <xf numFmtId="0" fontId="4" fillId="0" borderId="0"/>
    <xf numFmtId="37" fontId="4" fillId="0" borderId="0"/>
    <xf numFmtId="15" fontId="68" fillId="0" borderId="0" applyFont="0" applyFill="0" applyBorder="0" applyAlignment="0"/>
    <xf numFmtId="17" fontId="68" fillId="0" borderId="0" applyFont="0" applyFill="0" applyBorder="0" applyAlignment="0"/>
    <xf numFmtId="19" fontId="68" fillId="0" borderId="0" applyFont="0" applyFill="0" applyBorder="0" applyAlignment="0"/>
    <xf numFmtId="21" fontId="68" fillId="0" borderId="0" applyFont="0" applyFill="0" applyBorder="0" applyAlignment="0"/>
    <xf numFmtId="250" fontId="68" fillId="0" borderId="0" applyFont="0" applyFill="0" applyBorder="0" applyAlignment="0"/>
    <xf numFmtId="251" fontId="92" fillId="0" borderId="0" applyFont="0" applyFill="0" applyBorder="0" applyAlignment="0" applyProtection="0"/>
    <xf numFmtId="252" fontId="6" fillId="0" borderId="0" applyFont="0" applyFill="0" applyBorder="0" applyProtection="0"/>
    <xf numFmtId="253" fontId="68" fillId="0" borderId="0" applyFont="0" applyBorder="0" applyAlignment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79" borderId="20" applyNumberFormat="0" applyBorder="0" applyProtection="0">
      <alignment horizontal="center"/>
    </xf>
    <xf numFmtId="0" fontId="4" fillId="79" borderId="20" applyNumberFormat="0" applyBorder="0" applyProtection="0">
      <alignment horizontal="center"/>
    </xf>
    <xf numFmtId="0" fontId="4" fillId="79" borderId="20" applyNumberFormat="0" applyBorder="0" applyProtection="0">
      <alignment horizontal="center"/>
    </xf>
    <xf numFmtId="0" fontId="4" fillId="79" borderId="20" applyNumberFormat="0" applyBorder="0" applyProtection="0">
      <alignment horizontal="center"/>
    </xf>
    <xf numFmtId="0" fontId="37" fillId="20" borderId="19" applyNumberFormat="0" applyAlignment="0" applyProtection="0"/>
    <xf numFmtId="0" fontId="37" fillId="20" borderId="19" applyNumberFormat="0" applyAlignment="0" applyProtection="0"/>
    <xf numFmtId="0" fontId="37" fillId="20" borderId="19" applyNumberFormat="0" applyAlignment="0" applyProtection="0"/>
    <xf numFmtId="0" fontId="37" fillId="20" borderId="19" applyNumberFormat="0" applyAlignment="0" applyProtection="0"/>
    <xf numFmtId="0" fontId="37" fillId="20" borderId="19" applyNumberFormat="0" applyAlignment="0" applyProtection="0"/>
    <xf numFmtId="37" fontId="94" fillId="0" borderId="60">
      <protection locked="0"/>
    </xf>
    <xf numFmtId="0" fontId="94" fillId="0" borderId="60">
      <protection locked="0"/>
    </xf>
    <xf numFmtId="0" fontId="94" fillId="0" borderId="60">
      <protection locked="0"/>
    </xf>
    <xf numFmtId="0" fontId="94" fillId="0" borderId="60">
      <protection locked="0"/>
    </xf>
    <xf numFmtId="0" fontId="94" fillId="0" borderId="60">
      <protection locked="0"/>
    </xf>
    <xf numFmtId="0" fontId="94" fillId="0" borderId="60">
      <protection locked="0"/>
    </xf>
    <xf numFmtId="0" fontId="94" fillId="0" borderId="60">
      <protection locked="0"/>
    </xf>
    <xf numFmtId="37" fontId="94" fillId="0" borderId="60">
      <protection locked="0"/>
    </xf>
    <xf numFmtId="37" fontId="94" fillId="0" borderId="60">
      <protection locked="0"/>
    </xf>
    <xf numFmtId="37" fontId="94" fillId="0" borderId="60">
      <protection locked="0"/>
    </xf>
    <xf numFmtId="37" fontId="94" fillId="0" borderId="60">
      <protection locked="0"/>
    </xf>
    <xf numFmtId="37" fontId="94" fillId="0" borderId="60">
      <protection locked="0"/>
    </xf>
    <xf numFmtId="0" fontId="154" fillId="83" borderId="0" applyNumberFormat="0" applyFont="0" applyBorder="0" applyAlignment="0" applyProtection="0"/>
    <xf numFmtId="254" fontId="92" fillId="0" borderId="0" applyFont="0" applyFill="0" applyBorder="0" applyAlignment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37" fontId="94" fillId="0" borderId="0">
      <protection locked="0"/>
    </xf>
    <xf numFmtId="0" fontId="94" fillId="0" borderId="0">
      <protection locked="0"/>
    </xf>
    <xf numFmtId="255" fontId="6" fillId="0" borderId="0" applyBorder="0">
      <alignment horizontal="center"/>
    </xf>
    <xf numFmtId="0" fontId="134" fillId="17" borderId="21">
      <alignment horizontal="center"/>
    </xf>
    <xf numFmtId="37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38" fillId="78" borderId="0" applyBorder="0" applyAlignment="0"/>
    <xf numFmtId="0" fontId="3" fillId="0" borderId="20" applyNumberFormat="0" applyBorder="0" applyAlignment="0"/>
    <xf numFmtId="0" fontId="4" fillId="75" borderId="0" applyNumberFormat="0" applyFont="0" applyAlignment="0" applyProtection="0"/>
    <xf numFmtId="0" fontId="4" fillId="75" borderId="0" applyNumberFormat="0" applyFont="0" applyAlignment="0" applyProtection="0"/>
    <xf numFmtId="0" fontId="4" fillId="75" borderId="0" applyNumberFormat="0" applyFont="0" applyAlignment="0" applyProtection="0"/>
    <xf numFmtId="0" fontId="4" fillId="75" borderId="0" applyNumberFormat="0" applyFont="0" applyAlignment="0" applyProtection="0"/>
    <xf numFmtId="255" fontId="126" fillId="84" borderId="58" applyFont="0" applyBorder="0" applyAlignment="0" applyProtection="0">
      <alignment horizontal="centerContinuous"/>
    </xf>
    <xf numFmtId="4" fontId="3" fillId="30" borderId="19" applyNumberFormat="0" applyProtection="0">
      <alignment vertical="center"/>
    </xf>
    <xf numFmtId="4" fontId="3" fillId="30" borderId="19" applyNumberFormat="0" applyProtection="0">
      <alignment vertical="center"/>
    </xf>
    <xf numFmtId="4" fontId="3" fillId="30" borderId="19" applyNumberFormat="0" applyProtection="0">
      <alignment vertical="center"/>
    </xf>
    <xf numFmtId="4" fontId="3" fillId="30" borderId="19" applyNumberFormat="0" applyProtection="0">
      <alignment vertical="center"/>
    </xf>
    <xf numFmtId="4" fontId="3" fillId="30" borderId="19" applyNumberFormat="0" applyProtection="0">
      <alignment vertical="center"/>
    </xf>
    <xf numFmtId="4" fontId="45" fillId="30" borderId="19" applyNumberFormat="0" applyProtection="0">
      <alignment vertical="center"/>
    </xf>
    <xf numFmtId="4" fontId="45" fillId="30" borderId="19" applyNumberFormat="0" applyProtection="0">
      <alignment vertical="center"/>
    </xf>
    <xf numFmtId="4" fontId="45" fillId="30" borderId="19" applyNumberFormat="0" applyProtection="0">
      <alignment vertical="center"/>
    </xf>
    <xf numFmtId="4" fontId="45" fillId="30" borderId="19" applyNumberFormat="0" applyProtection="0">
      <alignment vertical="center"/>
    </xf>
    <xf numFmtId="4" fontId="45" fillId="30" borderId="19" applyNumberFormat="0" applyProtection="0">
      <alignment vertical="center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4" fontId="3" fillId="30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4" fontId="155" fillId="34" borderId="66" applyNumberFormat="0" applyProtection="0">
      <alignment vertical="center"/>
    </xf>
    <xf numFmtId="4" fontId="3" fillId="32" borderId="19" applyNumberFormat="0" applyProtection="0">
      <alignment horizontal="right" vertical="center"/>
    </xf>
    <xf numFmtId="4" fontId="3" fillId="32" borderId="19" applyNumberFormat="0" applyProtection="0">
      <alignment horizontal="right" vertical="center"/>
    </xf>
    <xf numFmtId="4" fontId="3" fillId="32" borderId="19" applyNumberFormat="0" applyProtection="0">
      <alignment horizontal="right" vertical="center"/>
    </xf>
    <xf numFmtId="4" fontId="3" fillId="32" borderId="19" applyNumberFormat="0" applyProtection="0">
      <alignment horizontal="right" vertical="center"/>
    </xf>
    <xf numFmtId="4" fontId="3" fillId="32" borderId="19" applyNumberFormat="0" applyProtection="0">
      <alignment horizontal="right" vertical="center"/>
    </xf>
    <xf numFmtId="4" fontId="3" fillId="33" borderId="19" applyNumberFormat="0" applyProtection="0">
      <alignment horizontal="right" vertical="center"/>
    </xf>
    <xf numFmtId="4" fontId="3" fillId="33" borderId="19" applyNumberFormat="0" applyProtection="0">
      <alignment horizontal="right" vertical="center"/>
    </xf>
    <xf numFmtId="4" fontId="3" fillId="33" borderId="19" applyNumberFormat="0" applyProtection="0">
      <alignment horizontal="right" vertical="center"/>
    </xf>
    <xf numFmtId="4" fontId="3" fillId="33" borderId="19" applyNumberFormat="0" applyProtection="0">
      <alignment horizontal="right" vertical="center"/>
    </xf>
    <xf numFmtId="4" fontId="3" fillId="33" borderId="19" applyNumberFormat="0" applyProtection="0">
      <alignment horizontal="right" vertical="center"/>
    </xf>
    <xf numFmtId="4" fontId="3" fillId="34" borderId="19" applyNumberFormat="0" applyProtection="0">
      <alignment horizontal="right" vertical="center"/>
    </xf>
    <xf numFmtId="4" fontId="3" fillId="34" borderId="19" applyNumberFormat="0" applyProtection="0">
      <alignment horizontal="right" vertical="center"/>
    </xf>
    <xf numFmtId="4" fontId="3" fillId="34" borderId="19" applyNumberFormat="0" applyProtection="0">
      <alignment horizontal="right" vertical="center"/>
    </xf>
    <xf numFmtId="4" fontId="3" fillId="34" borderId="19" applyNumberFormat="0" applyProtection="0">
      <alignment horizontal="right" vertical="center"/>
    </xf>
    <xf numFmtId="4" fontId="3" fillId="34" borderId="19" applyNumberFormat="0" applyProtection="0">
      <alignment horizontal="right" vertical="center"/>
    </xf>
    <xf numFmtId="4" fontId="156" fillId="28" borderId="66" applyNumberFormat="0" applyProtection="0">
      <alignment vertical="center"/>
    </xf>
    <xf numFmtId="4" fontId="3" fillId="35" borderId="19" applyNumberFormat="0" applyProtection="0">
      <alignment horizontal="right" vertical="center"/>
    </xf>
    <xf numFmtId="4" fontId="3" fillId="35" borderId="19" applyNumberFormat="0" applyProtection="0">
      <alignment horizontal="right" vertical="center"/>
    </xf>
    <xf numFmtId="4" fontId="3" fillId="35" borderId="19" applyNumberFormat="0" applyProtection="0">
      <alignment horizontal="right" vertical="center"/>
    </xf>
    <xf numFmtId="4" fontId="3" fillId="35" borderId="19" applyNumberFormat="0" applyProtection="0">
      <alignment horizontal="right" vertical="center"/>
    </xf>
    <xf numFmtId="4" fontId="3" fillId="35" borderId="19" applyNumberFormat="0" applyProtection="0">
      <alignment horizontal="right" vertical="center"/>
    </xf>
    <xf numFmtId="4" fontId="3" fillId="36" borderId="19" applyNumberFormat="0" applyProtection="0">
      <alignment horizontal="right" vertical="center"/>
    </xf>
    <xf numFmtId="4" fontId="3" fillId="36" borderId="19" applyNumberFormat="0" applyProtection="0">
      <alignment horizontal="right" vertical="center"/>
    </xf>
    <xf numFmtId="4" fontId="3" fillId="36" borderId="19" applyNumberFormat="0" applyProtection="0">
      <alignment horizontal="right" vertical="center"/>
    </xf>
    <xf numFmtId="4" fontId="3" fillId="36" borderId="19" applyNumberFormat="0" applyProtection="0">
      <alignment horizontal="right" vertical="center"/>
    </xf>
    <xf numFmtId="4" fontId="3" fillId="36" borderId="19" applyNumberFormat="0" applyProtection="0">
      <alignment horizontal="right" vertical="center"/>
    </xf>
    <xf numFmtId="4" fontId="3" fillId="37" borderId="19" applyNumberFormat="0" applyProtection="0">
      <alignment horizontal="right" vertical="center"/>
    </xf>
    <xf numFmtId="4" fontId="3" fillId="37" borderId="19" applyNumberFormat="0" applyProtection="0">
      <alignment horizontal="right" vertical="center"/>
    </xf>
    <xf numFmtId="4" fontId="3" fillId="37" borderId="19" applyNumberFormat="0" applyProtection="0">
      <alignment horizontal="right" vertical="center"/>
    </xf>
    <xf numFmtId="4" fontId="3" fillId="37" borderId="19" applyNumberFormat="0" applyProtection="0">
      <alignment horizontal="right" vertical="center"/>
    </xf>
    <xf numFmtId="4" fontId="3" fillId="37" borderId="19" applyNumberFormat="0" applyProtection="0">
      <alignment horizontal="right" vertical="center"/>
    </xf>
    <xf numFmtId="4" fontId="155" fillId="85" borderId="66" applyNumberFormat="0" applyProtection="0">
      <alignment vertical="center"/>
    </xf>
    <xf numFmtId="4" fontId="3" fillId="38" borderId="19" applyNumberFormat="0" applyProtection="0">
      <alignment horizontal="right" vertical="center"/>
    </xf>
    <xf numFmtId="4" fontId="3" fillId="38" borderId="19" applyNumberFormat="0" applyProtection="0">
      <alignment horizontal="right" vertical="center"/>
    </xf>
    <xf numFmtId="4" fontId="3" fillId="38" borderId="19" applyNumberFormat="0" applyProtection="0">
      <alignment horizontal="right" vertical="center"/>
    </xf>
    <xf numFmtId="4" fontId="3" fillId="38" borderId="19" applyNumberFormat="0" applyProtection="0">
      <alignment horizontal="right" vertical="center"/>
    </xf>
    <xf numFmtId="4" fontId="3" fillId="38" borderId="19" applyNumberFormat="0" applyProtection="0">
      <alignment horizontal="right" vertical="center"/>
    </xf>
    <xf numFmtId="4" fontId="3" fillId="39" borderId="19" applyNumberFormat="0" applyProtection="0">
      <alignment horizontal="right" vertical="center"/>
    </xf>
    <xf numFmtId="4" fontId="3" fillId="39" borderId="19" applyNumberFormat="0" applyProtection="0">
      <alignment horizontal="right" vertical="center"/>
    </xf>
    <xf numFmtId="4" fontId="3" fillId="39" borderId="19" applyNumberFormat="0" applyProtection="0">
      <alignment horizontal="right" vertical="center"/>
    </xf>
    <xf numFmtId="4" fontId="3" fillId="39" borderId="19" applyNumberFormat="0" applyProtection="0">
      <alignment horizontal="right" vertical="center"/>
    </xf>
    <xf numFmtId="4" fontId="3" fillId="39" borderId="19" applyNumberFormat="0" applyProtection="0">
      <alignment horizontal="right" vertical="center"/>
    </xf>
    <xf numFmtId="4" fontId="3" fillId="40" borderId="19" applyNumberFormat="0" applyProtection="0">
      <alignment horizontal="right" vertical="center"/>
    </xf>
    <xf numFmtId="4" fontId="3" fillId="40" borderId="19" applyNumberFormat="0" applyProtection="0">
      <alignment horizontal="right" vertical="center"/>
    </xf>
    <xf numFmtId="4" fontId="3" fillId="40" borderId="19" applyNumberFormat="0" applyProtection="0">
      <alignment horizontal="right" vertical="center"/>
    </xf>
    <xf numFmtId="4" fontId="3" fillId="40" borderId="19" applyNumberFormat="0" applyProtection="0">
      <alignment horizontal="right" vertical="center"/>
    </xf>
    <xf numFmtId="4" fontId="3" fillId="40" borderId="19" applyNumberFormat="0" applyProtection="0">
      <alignment horizontal="right" vertical="center"/>
    </xf>
    <xf numFmtId="4" fontId="157" fillId="34" borderId="66" applyNumberFormat="0" applyProtection="0">
      <alignment vertical="center"/>
    </xf>
    <xf numFmtId="4" fontId="46" fillId="41" borderId="19" applyNumberFormat="0" applyProtection="0">
      <alignment horizontal="left" vertical="center" indent="1"/>
    </xf>
    <xf numFmtId="4" fontId="46" fillId="41" borderId="19" applyNumberFormat="0" applyProtection="0">
      <alignment horizontal="left" vertical="center" indent="1"/>
    </xf>
    <xf numFmtId="4" fontId="46" fillId="41" borderId="19" applyNumberFormat="0" applyProtection="0">
      <alignment horizontal="left" vertical="center" indent="1"/>
    </xf>
    <xf numFmtId="4" fontId="46" fillId="41" borderId="19" applyNumberFormat="0" applyProtection="0">
      <alignment horizontal="left" vertical="center" indent="1"/>
    </xf>
    <xf numFmtId="4" fontId="46" fillId="41" borderId="19" applyNumberFormat="0" applyProtection="0">
      <alignment horizontal="left" vertical="center" indent="1"/>
    </xf>
    <xf numFmtId="4" fontId="3" fillId="42" borderId="22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4" fontId="158" fillId="27" borderId="66" applyNumberFormat="0" applyProtection="0">
      <alignment horizontal="left" vertical="center" indent="1"/>
    </xf>
    <xf numFmtId="4" fontId="3" fillId="42" borderId="19" applyNumberFormat="0" applyProtection="0">
      <alignment horizontal="left" vertical="center" indent="1"/>
    </xf>
    <xf numFmtId="4" fontId="3" fillId="42" borderId="19" applyNumberFormat="0" applyProtection="0">
      <alignment horizontal="left" vertical="center" indent="1"/>
    </xf>
    <xf numFmtId="4" fontId="3" fillId="42" borderId="19" applyNumberFormat="0" applyProtection="0">
      <alignment horizontal="left" vertical="center" indent="1"/>
    </xf>
    <xf numFmtId="4" fontId="3" fillId="42" borderId="19" applyNumberFormat="0" applyProtection="0">
      <alignment horizontal="left" vertical="center" indent="1"/>
    </xf>
    <xf numFmtId="4" fontId="3" fillId="42" borderId="19" applyNumberFormat="0" applyProtection="0">
      <alignment horizontal="left" vertical="center" indent="1"/>
    </xf>
    <xf numFmtId="4" fontId="3" fillId="44" borderId="19" applyNumberFormat="0" applyProtection="0">
      <alignment horizontal="left" vertical="center" indent="1"/>
    </xf>
    <xf numFmtId="4" fontId="3" fillId="44" borderId="19" applyNumberFormat="0" applyProtection="0">
      <alignment horizontal="left" vertical="center" indent="1"/>
    </xf>
    <xf numFmtId="4" fontId="3" fillId="44" borderId="19" applyNumberFormat="0" applyProtection="0">
      <alignment horizontal="left" vertical="center" indent="1"/>
    </xf>
    <xf numFmtId="4" fontId="3" fillId="44" borderId="19" applyNumberFormat="0" applyProtection="0">
      <alignment horizontal="left" vertical="center" indent="1"/>
    </xf>
    <xf numFmtId="4" fontId="3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44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9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22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4" fontId="3" fillId="24" borderId="19" applyNumberFormat="0" applyProtection="0">
      <alignment vertical="center"/>
    </xf>
    <xf numFmtId="4" fontId="3" fillId="24" borderId="19" applyNumberFormat="0" applyProtection="0">
      <alignment vertical="center"/>
    </xf>
    <xf numFmtId="4" fontId="3" fillId="24" borderId="19" applyNumberFormat="0" applyProtection="0">
      <alignment vertical="center"/>
    </xf>
    <xf numFmtId="4" fontId="3" fillId="24" borderId="19" applyNumberFormat="0" applyProtection="0">
      <alignment vertical="center"/>
    </xf>
    <xf numFmtId="4" fontId="3" fillId="24" borderId="19" applyNumberFormat="0" applyProtection="0">
      <alignment vertical="center"/>
    </xf>
    <xf numFmtId="4" fontId="45" fillId="24" borderId="19" applyNumberFormat="0" applyProtection="0">
      <alignment vertical="center"/>
    </xf>
    <xf numFmtId="4" fontId="45" fillId="24" borderId="19" applyNumberFormat="0" applyProtection="0">
      <alignment vertical="center"/>
    </xf>
    <xf numFmtId="4" fontId="45" fillId="24" borderId="19" applyNumberFormat="0" applyProtection="0">
      <alignment vertical="center"/>
    </xf>
    <xf numFmtId="4" fontId="45" fillId="24" borderId="19" applyNumberFormat="0" applyProtection="0">
      <alignment vertical="center"/>
    </xf>
    <xf numFmtId="4" fontId="45" fillId="24" borderId="19" applyNumberFormat="0" applyProtection="0">
      <alignment vertical="center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24" borderId="19" applyNumberFormat="0" applyProtection="0">
      <alignment horizontal="left" vertical="center" indent="1"/>
    </xf>
    <xf numFmtId="4" fontId="3" fillId="42" borderId="19" applyNumberFormat="0" applyProtection="0">
      <alignment horizontal="right" vertical="center"/>
    </xf>
    <xf numFmtId="4" fontId="3" fillId="42" borderId="19" applyNumberFormat="0" applyProtection="0">
      <alignment horizontal="right" vertical="center"/>
    </xf>
    <xf numFmtId="4" fontId="3" fillId="42" borderId="19" applyNumberFormat="0" applyProtection="0">
      <alignment horizontal="right" vertical="center"/>
    </xf>
    <xf numFmtId="4" fontId="3" fillId="42" borderId="19" applyNumberFormat="0" applyProtection="0">
      <alignment horizontal="right" vertical="center"/>
    </xf>
    <xf numFmtId="4" fontId="3" fillId="42" borderId="19" applyNumberFormat="0" applyProtection="0">
      <alignment horizontal="right" vertical="center"/>
    </xf>
    <xf numFmtId="4" fontId="45" fillId="42" borderId="19" applyNumberFormat="0" applyProtection="0">
      <alignment horizontal="right" vertical="center"/>
    </xf>
    <xf numFmtId="4" fontId="45" fillId="42" borderId="19" applyNumberFormat="0" applyProtection="0">
      <alignment horizontal="right" vertical="center"/>
    </xf>
    <xf numFmtId="4" fontId="45" fillId="42" borderId="19" applyNumberFormat="0" applyProtection="0">
      <alignment horizontal="right" vertical="center"/>
    </xf>
    <xf numFmtId="4" fontId="45" fillId="42" borderId="19" applyNumberFormat="0" applyProtection="0">
      <alignment horizontal="right" vertical="center"/>
    </xf>
    <xf numFmtId="4" fontId="45" fillId="42" borderId="19" applyNumberFormat="0" applyProtection="0">
      <alignment horizontal="right" vertical="center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0" fontId="4" fillId="31" borderId="19" applyNumberFormat="0" applyProtection="0">
      <alignment horizontal="left" vertical="center" indent="1"/>
    </xf>
    <xf numFmtId="4" fontId="159" fillId="27" borderId="66" applyNumberFormat="0" applyProtection="0">
      <alignment vertical="center"/>
    </xf>
    <xf numFmtId="4" fontId="160" fillId="27" borderId="66" applyNumberFormat="0" applyProtection="0">
      <alignment vertical="center"/>
    </xf>
    <xf numFmtId="4" fontId="161" fillId="24" borderId="66" applyNumberFormat="0" applyProtection="0">
      <alignment horizontal="left" vertical="center" indent="1"/>
    </xf>
    <xf numFmtId="4" fontId="49" fillId="42" borderId="19" applyNumberFormat="0" applyProtection="0">
      <alignment horizontal="right" vertical="center"/>
    </xf>
    <xf numFmtId="4" fontId="49" fillId="42" borderId="19" applyNumberFormat="0" applyProtection="0">
      <alignment horizontal="right" vertical="center"/>
    </xf>
    <xf numFmtId="4" fontId="49" fillId="42" borderId="19" applyNumberFormat="0" applyProtection="0">
      <alignment horizontal="right" vertical="center"/>
    </xf>
    <xf numFmtId="4" fontId="49" fillId="42" borderId="19" applyNumberFormat="0" applyProtection="0">
      <alignment horizontal="right" vertical="center"/>
    </xf>
    <xf numFmtId="4" fontId="49" fillId="42" borderId="19" applyNumberFormat="0" applyProtection="0">
      <alignment horizontal="right" vertical="center"/>
    </xf>
    <xf numFmtId="0" fontId="97" fillId="0" borderId="0"/>
    <xf numFmtId="0" fontId="152" fillId="0" borderId="67"/>
    <xf numFmtId="256" fontId="6" fillId="0" borderId="49" applyFont="0" applyFill="0" applyBorder="0" applyAlignment="0" applyProtection="0"/>
    <xf numFmtId="0" fontId="162" fillId="0" borderId="0" applyNumberFormat="0" applyFill="0" applyBorder="0" applyAlignment="0" applyProtection="0"/>
    <xf numFmtId="0" fontId="65" fillId="0" borderId="0"/>
    <xf numFmtId="0" fontId="163" fillId="0" borderId="0" applyNumberFormat="0" applyBorder="0">
      <alignment horizontal="left"/>
    </xf>
    <xf numFmtId="0" fontId="6" fillId="27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15" fontId="165" fillId="0" borderId="0">
      <alignment horizontal="center"/>
    </xf>
    <xf numFmtId="17" fontId="165" fillId="0" borderId="0">
      <alignment horizontal="center"/>
    </xf>
    <xf numFmtId="19" fontId="165" fillId="0" borderId="0">
      <alignment horizontal="center"/>
    </xf>
    <xf numFmtId="21" fontId="165" fillId="0" borderId="0">
      <alignment horizontal="center"/>
    </xf>
    <xf numFmtId="177" fontId="166" fillId="0" borderId="0" applyBorder="0">
      <alignment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/>
  </cellStyleXfs>
  <cellXfs count="274">
    <xf numFmtId="0" fontId="0" fillId="0" borderId="0" xfId="0"/>
    <xf numFmtId="0" fontId="119" fillId="0" borderId="0" xfId="0" applyFont="1"/>
    <xf numFmtId="0" fontId="119" fillId="48" borderId="0" xfId="0" applyFont="1" applyFill="1"/>
    <xf numFmtId="0" fontId="0" fillId="48" borderId="0" xfId="0" applyFill="1"/>
    <xf numFmtId="0" fontId="120" fillId="0" borderId="0" xfId="0" applyFont="1"/>
    <xf numFmtId="0" fontId="168" fillId="64" borderId="80" xfId="0" applyFont="1" applyFill="1" applyBorder="1" applyAlignment="1">
      <alignment horizontal="right"/>
    </xf>
    <xf numFmtId="16" fontId="168" fillId="64" borderId="80" xfId="0" applyNumberFormat="1" applyFont="1" applyFill="1" applyBorder="1" applyAlignment="1">
      <alignment horizontal="right"/>
    </xf>
    <xf numFmtId="0" fontId="168" fillId="61" borderId="80" xfId="0" applyFont="1" applyFill="1" applyBorder="1" applyAlignment="1">
      <alignment horizontal="right"/>
    </xf>
    <xf numFmtId="43" fontId="119" fillId="64" borderId="80" xfId="6" applyFont="1" applyFill="1" applyBorder="1"/>
    <xf numFmtId="43" fontId="119" fillId="61" borderId="80" xfId="6" applyFont="1" applyFill="1" applyBorder="1"/>
    <xf numFmtId="221" fontId="119" fillId="0" borderId="0" xfId="0" applyNumberFormat="1" applyFont="1" applyAlignment="1">
      <alignment horizontal="right" vertical="center" wrapText="1"/>
    </xf>
    <xf numFmtId="9" fontId="119" fillId="0" borderId="0" xfId="4624" applyFont="1"/>
    <xf numFmtId="0" fontId="168" fillId="0" borderId="0" xfId="0" applyFont="1" applyAlignment="1">
      <alignment horizontal="right" vertical="center" wrapText="1"/>
    </xf>
    <xf numFmtId="173" fontId="119" fillId="48" borderId="80" xfId="6" applyNumberFormat="1" applyFont="1" applyFill="1" applyBorder="1" applyAlignment="1">
      <alignment vertical="center" wrapText="1"/>
    </xf>
    <xf numFmtId="173" fontId="119" fillId="48" borderId="80" xfId="6" applyNumberFormat="1" applyFont="1" applyFill="1" applyBorder="1" applyAlignment="1">
      <alignment horizontal="right" vertical="center" wrapText="1"/>
    </xf>
    <xf numFmtId="0" fontId="119" fillId="0" borderId="0" xfId="0" applyFont="1" applyAlignment="1">
      <alignment horizontal="center"/>
    </xf>
    <xf numFmtId="173" fontId="119" fillId="48" borderId="80" xfId="6" applyNumberFormat="1" applyFont="1" applyFill="1" applyBorder="1"/>
    <xf numFmtId="0" fontId="119" fillId="48" borderId="80" xfId="0" applyFont="1" applyFill="1" applyBorder="1" applyAlignment="1">
      <alignment horizontal="center" wrapText="1"/>
    </xf>
    <xf numFmtId="170" fontId="119" fillId="0" borderId="0" xfId="6" applyNumberFormat="1" applyFont="1"/>
    <xf numFmtId="1" fontId="119" fillId="0" borderId="0" xfId="0" applyNumberFormat="1" applyFont="1"/>
    <xf numFmtId="3" fontId="119" fillId="0" borderId="0" xfId="0" applyNumberFormat="1" applyFont="1" applyAlignment="1">
      <alignment horizontal="right" vertical="center" wrapText="1"/>
    </xf>
    <xf numFmtId="223" fontId="119" fillId="0" borderId="0" xfId="0" applyNumberFormat="1" applyFont="1"/>
    <xf numFmtId="173" fontId="119" fillId="0" borderId="0" xfId="0" applyNumberFormat="1" applyFont="1"/>
    <xf numFmtId="0" fontId="119" fillId="48" borderId="80" xfId="0" applyFont="1" applyFill="1" applyBorder="1" applyAlignment="1">
      <alignment horizontal="right" wrapText="1"/>
    </xf>
    <xf numFmtId="173" fontId="119" fillId="0" borderId="0" xfId="6" applyNumberFormat="1" applyFont="1"/>
    <xf numFmtId="171" fontId="119" fillId="0" borderId="0" xfId="0" applyNumberFormat="1" applyFont="1"/>
    <xf numFmtId="0" fontId="168" fillId="0" borderId="0" xfId="0" applyFont="1"/>
    <xf numFmtId="0" fontId="171" fillId="0" borderId="0" xfId="0" applyFont="1" applyAlignment="1">
      <alignment vertical="center"/>
    </xf>
    <xf numFmtId="0" fontId="168" fillId="0" borderId="0" xfId="0" applyFont="1" applyAlignment="1">
      <alignment wrapText="1"/>
    </xf>
    <xf numFmtId="0" fontId="168" fillId="0" borderId="0" xfId="0" applyFont="1" applyAlignment="1">
      <alignment horizontal="center" wrapText="1"/>
    </xf>
    <xf numFmtId="0" fontId="168" fillId="0" borderId="4" xfId="0" applyFont="1" applyBorder="1" applyAlignment="1">
      <alignment wrapText="1"/>
    </xf>
    <xf numFmtId="0" fontId="168" fillId="0" borderId="4" xfId="0" applyFont="1" applyBorder="1" applyAlignment="1">
      <alignment horizontal="center" wrapText="1"/>
    </xf>
    <xf numFmtId="0" fontId="168" fillId="0" borderId="1" xfId="0" applyFont="1" applyBorder="1" applyAlignment="1">
      <alignment vertical="center"/>
    </xf>
    <xf numFmtId="0" fontId="168" fillId="0" borderId="2" xfId="0" applyFont="1" applyBorder="1" applyAlignment="1">
      <alignment horizontal="right" vertical="center" wrapText="1"/>
    </xf>
    <xf numFmtId="0" fontId="168" fillId="0" borderId="3" xfId="0" applyFont="1" applyBorder="1" applyAlignment="1">
      <alignment vertical="center"/>
    </xf>
    <xf numFmtId="0" fontId="168" fillId="0" borderId="3" xfId="0" applyFont="1" applyBorder="1" applyAlignment="1">
      <alignment vertical="center" wrapText="1"/>
    </xf>
    <xf numFmtId="0" fontId="119" fillId="0" borderId="0" xfId="0" applyFont="1" applyAlignment="1">
      <alignment horizontal="right" vertical="center" wrapText="1"/>
    </xf>
    <xf numFmtId="0" fontId="168" fillId="0" borderId="0" xfId="0" applyFont="1" applyAlignment="1">
      <alignment vertical="center" wrapText="1"/>
    </xf>
    <xf numFmtId="0" fontId="119" fillId="0" borderId="3" xfId="0" applyFont="1" applyBorder="1" applyAlignment="1">
      <alignment vertical="center" wrapText="1"/>
    </xf>
    <xf numFmtId="189" fontId="172" fillId="0" borderId="0" xfId="0" applyNumberFormat="1" applyFont="1" applyAlignment="1">
      <alignment horizontal="right" vertical="center" wrapText="1"/>
    </xf>
    <xf numFmtId="0" fontId="119" fillId="0" borderId="0" xfId="0" applyFont="1" applyAlignment="1">
      <alignment vertical="center" wrapText="1"/>
    </xf>
    <xf numFmtId="4" fontId="119" fillId="0" borderId="0" xfId="0" applyNumberFormat="1" applyFont="1" applyAlignment="1">
      <alignment horizontal="right" vertical="center" wrapText="1"/>
    </xf>
    <xf numFmtId="4" fontId="119" fillId="0" borderId="0" xfId="0" applyNumberFormat="1" applyFont="1" applyAlignment="1">
      <alignment vertical="center" wrapText="1"/>
    </xf>
    <xf numFmtId="0" fontId="119" fillId="0" borderId="3" xfId="0" applyFont="1" applyBorder="1" applyAlignment="1">
      <alignment horizontal="left" vertical="center" wrapText="1" indent="1"/>
    </xf>
    <xf numFmtId="0" fontId="119" fillId="0" borderId="0" xfId="0" applyFont="1" applyAlignment="1">
      <alignment horizontal="right"/>
    </xf>
    <xf numFmtId="221" fontId="119" fillId="0" borderId="2" xfId="0" applyNumberFormat="1" applyFont="1" applyBorder="1" applyAlignment="1">
      <alignment horizontal="right" vertical="center" wrapText="1"/>
    </xf>
    <xf numFmtId="171" fontId="172" fillId="0" borderId="0" xfId="0" applyNumberFormat="1" applyFont="1" applyAlignment="1">
      <alignment horizontal="right" vertical="center" wrapText="1"/>
    </xf>
    <xf numFmtId="171" fontId="172" fillId="0" borderId="56" xfId="0" applyNumberFormat="1" applyFont="1" applyBorder="1" applyAlignment="1">
      <alignment horizontal="right" vertical="center" wrapText="1"/>
    </xf>
    <xf numFmtId="221" fontId="119" fillId="0" borderId="50" xfId="0" applyNumberFormat="1" applyFont="1" applyBorder="1" applyAlignment="1">
      <alignment horizontal="right" vertical="center" wrapText="1"/>
    </xf>
    <xf numFmtId="257" fontId="172" fillId="0" borderId="0" xfId="0" applyNumberFormat="1" applyFont="1" applyAlignment="1">
      <alignment horizontal="right" vertical="center" wrapText="1"/>
    </xf>
    <xf numFmtId="222" fontId="119" fillId="0" borderId="0" xfId="0" applyNumberFormat="1" applyFont="1"/>
    <xf numFmtId="9" fontId="119" fillId="0" borderId="0" xfId="0" applyNumberFormat="1" applyFont="1"/>
    <xf numFmtId="257" fontId="172" fillId="0" borderId="56" xfId="0" applyNumberFormat="1" applyFont="1" applyBorder="1" applyAlignment="1">
      <alignment horizontal="right" vertical="center" wrapText="1"/>
    </xf>
    <xf numFmtId="221" fontId="119" fillId="0" borderId="51" xfId="0" applyNumberFormat="1" applyFont="1" applyBorder="1" applyAlignment="1">
      <alignment horizontal="right" vertical="center" wrapText="1"/>
    </xf>
    <xf numFmtId="221" fontId="119" fillId="0" borderId="52" xfId="0" applyNumberFormat="1" applyFont="1" applyBorder="1" applyAlignment="1">
      <alignment horizontal="right" vertical="center" wrapText="1"/>
    </xf>
    <xf numFmtId="221" fontId="119" fillId="0" borderId="4" xfId="0" applyNumberFormat="1" applyFont="1" applyBorder="1" applyAlignment="1">
      <alignment horizontal="right" vertical="center" wrapText="1"/>
    </xf>
    <xf numFmtId="258" fontId="172" fillId="0" borderId="56" xfId="0" applyNumberFormat="1" applyFont="1" applyBorder="1" applyAlignment="1">
      <alignment horizontal="right" vertical="center" wrapText="1"/>
    </xf>
    <xf numFmtId="0" fontId="168" fillId="0" borderId="5" xfId="0" applyFont="1" applyBorder="1" applyAlignment="1">
      <alignment vertical="center" wrapText="1"/>
    </xf>
    <xf numFmtId="0" fontId="119" fillId="0" borderId="0" xfId="0" applyFont="1" applyAlignment="1">
      <alignment vertical="center"/>
    </xf>
    <xf numFmtId="221" fontId="119" fillId="0" borderId="0" xfId="0" applyNumberFormat="1" applyFont="1" applyAlignment="1">
      <alignment vertical="center" wrapText="1"/>
    </xf>
    <xf numFmtId="43" fontId="119" fillId="0" borderId="0" xfId="0" applyNumberFormat="1" applyFont="1" applyAlignment="1">
      <alignment vertical="center" wrapText="1"/>
    </xf>
    <xf numFmtId="43" fontId="119" fillId="0" borderId="0" xfId="0" applyNumberFormat="1" applyFont="1"/>
    <xf numFmtId="171" fontId="168" fillId="0" borderId="0" xfId="0" applyNumberFormat="1" applyFont="1" applyAlignment="1">
      <alignment wrapText="1"/>
    </xf>
    <xf numFmtId="9" fontId="168" fillId="0" borderId="0" xfId="0" applyNumberFormat="1" applyFont="1" applyAlignment="1">
      <alignment wrapText="1"/>
    </xf>
    <xf numFmtId="0" fontId="119" fillId="0" borderId="3" xfId="0" applyFont="1" applyBorder="1" applyAlignment="1">
      <alignment vertical="center"/>
    </xf>
    <xf numFmtId="0" fontId="173" fillId="0" borderId="0" xfId="0" applyFont="1" applyAlignment="1">
      <alignment horizontal="right" vertical="center" wrapText="1"/>
    </xf>
    <xf numFmtId="221" fontId="168" fillId="0" borderId="2" xfId="0" applyNumberFormat="1" applyFont="1" applyBorder="1" applyAlignment="1">
      <alignment horizontal="right" vertical="center" wrapText="1"/>
    </xf>
    <xf numFmtId="221" fontId="168" fillId="0" borderId="52" xfId="0" applyNumberFormat="1" applyFont="1" applyBorder="1" applyAlignment="1">
      <alignment horizontal="right" vertical="center" wrapText="1"/>
    </xf>
    <xf numFmtId="171" fontId="174" fillId="0" borderId="56" xfId="0" applyNumberFormat="1" applyFont="1" applyBorder="1" applyAlignment="1">
      <alignment horizontal="right" vertical="center" wrapText="1"/>
    </xf>
    <xf numFmtId="257" fontId="172" fillId="0" borderId="52" xfId="0" applyNumberFormat="1" applyFont="1" applyBorder="1" applyAlignment="1">
      <alignment horizontal="right" vertical="center" wrapText="1"/>
    </xf>
    <xf numFmtId="0" fontId="168" fillId="0" borderId="53" xfId="0" applyFont="1" applyBorder="1" applyAlignment="1">
      <alignment vertical="center"/>
    </xf>
    <xf numFmtId="257" fontId="174" fillId="0" borderId="56" xfId="0" applyNumberFormat="1" applyFont="1" applyBorder="1" applyAlignment="1">
      <alignment horizontal="right" vertical="center" wrapText="1"/>
    </xf>
    <xf numFmtId="189" fontId="119" fillId="0" borderId="0" xfId="0" applyNumberFormat="1" applyFont="1"/>
    <xf numFmtId="0" fontId="168" fillId="0" borderId="0" xfId="0" applyFont="1" applyAlignment="1">
      <alignment vertical="center"/>
    </xf>
    <xf numFmtId="0" fontId="175" fillId="0" borderId="2" xfId="0" applyFont="1" applyBorder="1" applyAlignment="1">
      <alignment horizontal="right" vertical="center" wrapText="1"/>
    </xf>
    <xf numFmtId="0" fontId="175" fillId="0" borderId="0" xfId="0" applyFont="1" applyAlignment="1">
      <alignment horizontal="right" vertical="center" wrapText="1"/>
    </xf>
    <xf numFmtId="0" fontId="176" fillId="0" borderId="3" xfId="0" applyFont="1" applyBorder="1" applyAlignment="1">
      <alignment vertical="center"/>
    </xf>
    <xf numFmtId="171" fontId="176" fillId="0" borderId="0" xfId="0" applyNumberFormat="1" applyFont="1" applyAlignment="1">
      <alignment horizontal="right" vertical="center" wrapText="1"/>
    </xf>
    <xf numFmtId="0" fontId="176" fillId="0" borderId="0" xfId="0" applyFont="1"/>
    <xf numFmtId="0" fontId="176" fillId="0" borderId="4" xfId="0" applyFont="1" applyBorder="1" applyAlignment="1">
      <alignment horizontal="right" vertical="center" wrapText="1"/>
    </xf>
    <xf numFmtId="0" fontId="168" fillId="0" borderId="5" xfId="0" applyFont="1" applyBorder="1" applyAlignment="1">
      <alignment vertical="center"/>
    </xf>
    <xf numFmtId="0" fontId="168" fillId="0" borderId="4" xfId="0" applyFont="1" applyBorder="1" applyAlignment="1">
      <alignment horizontal="right" vertical="center" wrapText="1"/>
    </xf>
    <xf numFmtId="171" fontId="168" fillId="0" borderId="4" xfId="0" applyNumberFormat="1" applyFont="1" applyBorder="1" applyAlignment="1">
      <alignment horizontal="right" vertical="center" wrapText="1"/>
    </xf>
    <xf numFmtId="16" fontId="168" fillId="0" borderId="2" xfId="0" applyNumberFormat="1" applyFont="1" applyBorder="1" applyAlignment="1">
      <alignment horizontal="right" vertical="center" wrapText="1"/>
    </xf>
    <xf numFmtId="257" fontId="119" fillId="0" borderId="0" xfId="0" applyNumberFormat="1" applyFont="1" applyAlignment="1">
      <alignment horizontal="right" vertical="center" wrapText="1"/>
    </xf>
    <xf numFmtId="257" fontId="168" fillId="0" borderId="0" xfId="0" applyNumberFormat="1" applyFont="1" applyAlignment="1">
      <alignment horizontal="right" vertical="center" wrapText="1"/>
    </xf>
    <xf numFmtId="257" fontId="119" fillId="0" borderId="4" xfId="0" applyNumberFormat="1" applyFont="1" applyBorder="1" applyAlignment="1">
      <alignment horizontal="right" vertical="center" wrapText="1"/>
    </xf>
    <xf numFmtId="257" fontId="168" fillId="0" borderId="4" xfId="0" applyNumberFormat="1" applyFont="1" applyBorder="1" applyAlignment="1">
      <alignment horizontal="right" vertical="center" wrapText="1"/>
    </xf>
    <xf numFmtId="171" fontId="119" fillId="0" borderId="0" xfId="0" applyNumberFormat="1" applyFont="1" applyAlignment="1">
      <alignment horizontal="right" vertical="center" wrapText="1"/>
    </xf>
    <xf numFmtId="171" fontId="168" fillId="0" borderId="2" xfId="0" applyNumberFormat="1" applyFont="1" applyBorder="1" applyAlignment="1">
      <alignment horizontal="right" vertical="center" wrapText="1"/>
    </xf>
    <xf numFmtId="0" fontId="119" fillId="0" borderId="4" xfId="0" applyFont="1" applyBorder="1" applyAlignment="1">
      <alignment horizontal="right" vertical="center" wrapText="1"/>
    </xf>
    <xf numFmtId="171" fontId="172" fillId="0" borderId="69" xfId="0" applyNumberFormat="1" applyFont="1" applyBorder="1" applyAlignment="1">
      <alignment horizontal="right" vertical="center" wrapText="1"/>
    </xf>
    <xf numFmtId="170" fontId="168" fillId="0" borderId="4" xfId="6" applyNumberFormat="1" applyFont="1" applyBorder="1" applyAlignment="1">
      <alignment horizontal="right" vertical="center" wrapText="1"/>
    </xf>
    <xf numFmtId="0" fontId="177" fillId="0" borderId="0" xfId="0" applyFont="1"/>
    <xf numFmtId="9" fontId="119" fillId="0" borderId="0" xfId="1" applyFont="1"/>
    <xf numFmtId="0" fontId="119" fillId="0" borderId="5" xfId="0" applyFont="1" applyBorder="1" applyAlignment="1">
      <alignment vertical="center"/>
    </xf>
    <xf numFmtId="0" fontId="168" fillId="0" borderId="2" xfId="0" applyFont="1" applyBorder="1" applyAlignment="1">
      <alignment vertical="center"/>
    </xf>
    <xf numFmtId="221" fontId="172" fillId="0" borderId="0" xfId="0" applyNumberFormat="1" applyFont="1" applyAlignment="1">
      <alignment horizontal="right" vertical="center" wrapText="1"/>
    </xf>
    <xf numFmtId="0" fontId="119" fillId="0" borderId="0" xfId="0" applyFont="1" applyAlignment="1">
      <alignment horizontal="right" vertical="center"/>
    </xf>
    <xf numFmtId="0" fontId="168" fillId="0" borderId="4" xfId="0" applyFont="1" applyBorder="1" applyAlignment="1">
      <alignment vertical="center"/>
    </xf>
    <xf numFmtId="3" fontId="168" fillId="0" borderId="4" xfId="0" applyNumberFormat="1" applyFont="1" applyBorder="1"/>
    <xf numFmtId="3" fontId="168" fillId="0" borderId="4" xfId="0" applyNumberFormat="1" applyFont="1" applyBorder="1" applyAlignment="1">
      <alignment horizontal="right" vertical="center" wrapText="1"/>
    </xf>
    <xf numFmtId="221" fontId="176" fillId="0" borderId="0" xfId="0" applyNumberFormat="1" applyFont="1" applyAlignment="1">
      <alignment horizontal="right" vertical="center" wrapText="1"/>
    </xf>
    <xf numFmtId="221" fontId="168" fillId="0" borderId="0" xfId="0" applyNumberFormat="1" applyFont="1" applyAlignment="1">
      <alignment horizontal="right" vertical="center" wrapText="1"/>
    </xf>
    <xf numFmtId="0" fontId="119" fillId="0" borderId="0" xfId="0" applyFont="1" applyAlignment="1">
      <alignment horizontal="left"/>
    </xf>
    <xf numFmtId="221" fontId="119" fillId="0" borderId="0" xfId="0" applyNumberFormat="1" applyFont="1"/>
    <xf numFmtId="0" fontId="119" fillId="0" borderId="0" xfId="0" applyFont="1" applyAlignment="1">
      <alignment horizontal="left" vertical="center"/>
    </xf>
    <xf numFmtId="221" fontId="168" fillId="0" borderId="4" xfId="0" applyNumberFormat="1" applyFont="1" applyBorder="1" applyAlignment="1">
      <alignment horizontal="right" vertical="center" wrapText="1"/>
    </xf>
    <xf numFmtId="0" fontId="168" fillId="0" borderId="55" xfId="0" applyFont="1" applyBorder="1" applyAlignment="1">
      <alignment vertical="center"/>
    </xf>
    <xf numFmtId="0" fontId="172" fillId="0" borderId="0" xfId="0" applyFont="1" applyAlignment="1">
      <alignment vertical="center"/>
    </xf>
    <xf numFmtId="0" fontId="172" fillId="0" borderId="0" xfId="0" applyFont="1" applyAlignment="1">
      <alignment horizontal="right" vertical="center" wrapText="1"/>
    </xf>
    <xf numFmtId="0" fontId="172" fillId="0" borderId="56" xfId="0" applyFont="1" applyBorder="1" applyAlignment="1">
      <alignment horizontal="right" vertical="center" wrapText="1"/>
    </xf>
    <xf numFmtId="0" fontId="174" fillId="0" borderId="0" xfId="0" applyFont="1" applyAlignment="1">
      <alignment vertical="center"/>
    </xf>
    <xf numFmtId="171" fontId="174" fillId="0" borderId="0" xfId="0" applyNumberFormat="1" applyFont="1" applyAlignment="1">
      <alignment horizontal="right" vertical="center" wrapText="1"/>
    </xf>
    <xf numFmtId="0" fontId="174" fillId="0" borderId="0" xfId="0" applyFont="1" applyAlignment="1">
      <alignment horizontal="right" vertical="center" wrapText="1"/>
    </xf>
    <xf numFmtId="0" fontId="174" fillId="0" borderId="56" xfId="0" applyFont="1" applyBorder="1" applyAlignment="1">
      <alignment vertical="center"/>
    </xf>
    <xf numFmtId="0" fontId="174" fillId="0" borderId="56" xfId="0" applyFont="1" applyBorder="1" applyAlignment="1">
      <alignment horizontal="right" vertical="center" wrapText="1"/>
    </xf>
    <xf numFmtId="0" fontId="168" fillId="0" borderId="55" xfId="0" applyFont="1" applyBorder="1" applyAlignment="1">
      <alignment horizontal="right" vertical="center"/>
    </xf>
    <xf numFmtId="0" fontId="168" fillId="0" borderId="0" xfId="0" applyFont="1" applyAlignment="1">
      <alignment horizontal="right" vertical="center"/>
    </xf>
    <xf numFmtId="257" fontId="172" fillId="0" borderId="71" xfId="0" applyNumberFormat="1" applyFont="1" applyBorder="1" applyAlignment="1">
      <alignment horizontal="right" vertical="center" wrapText="1"/>
    </xf>
    <xf numFmtId="0" fontId="172" fillId="0" borderId="56" xfId="0" applyFont="1" applyBorder="1" applyAlignment="1">
      <alignment vertical="center"/>
    </xf>
    <xf numFmtId="189" fontId="172" fillId="0" borderId="56" xfId="0" applyNumberFormat="1" applyFont="1" applyBorder="1" applyAlignment="1">
      <alignment horizontal="right" vertical="center" wrapText="1"/>
    </xf>
    <xf numFmtId="189" fontId="172" fillId="0" borderId="68" xfId="0" applyNumberFormat="1" applyFont="1" applyBorder="1" applyAlignment="1">
      <alignment horizontal="right" vertical="center" wrapText="1"/>
    </xf>
    <xf numFmtId="4" fontId="172" fillId="0" borderId="0" xfId="0" applyNumberFormat="1" applyFont="1" applyAlignment="1">
      <alignment horizontal="right" vertical="center" wrapText="1"/>
    </xf>
    <xf numFmtId="0" fontId="172" fillId="0" borderId="0" xfId="0" applyFont="1" applyAlignment="1">
      <alignment horizontal="right" vertical="center"/>
    </xf>
    <xf numFmtId="171" fontId="119" fillId="0" borderId="0" xfId="0" applyNumberFormat="1" applyFont="1" applyAlignment="1">
      <alignment horizontal="right"/>
    </xf>
    <xf numFmtId="171" fontId="119" fillId="0" borderId="0" xfId="0" applyNumberFormat="1" applyFont="1" applyAlignment="1">
      <alignment horizontal="right" vertical="center"/>
    </xf>
    <xf numFmtId="0" fontId="119" fillId="0" borderId="3" xfId="0" applyFont="1" applyBorder="1" applyAlignment="1">
      <alignment horizontal="left" vertical="center" indent="1"/>
    </xf>
    <xf numFmtId="171" fontId="119" fillId="0" borderId="4" xfId="0" applyNumberFormat="1" applyFont="1" applyBorder="1" applyAlignment="1">
      <alignment horizontal="right" vertical="center" wrapText="1"/>
    </xf>
    <xf numFmtId="0" fontId="168" fillId="0" borderId="1" xfId="0" applyFont="1" applyBorder="1" applyAlignment="1">
      <alignment vertical="center" wrapText="1"/>
    </xf>
    <xf numFmtId="0" fontId="119" fillId="0" borderId="71" xfId="0" applyFont="1" applyBorder="1"/>
    <xf numFmtId="171" fontId="172" fillId="0" borderId="71" xfId="0" applyNumberFormat="1" applyFont="1" applyBorder="1" applyAlignment="1">
      <alignment horizontal="right" vertical="center" wrapText="1"/>
    </xf>
    <xf numFmtId="0" fontId="168" fillId="0" borderId="71" xfId="0" applyFont="1" applyBorder="1"/>
    <xf numFmtId="171" fontId="174" fillId="0" borderId="71" xfId="0" applyNumberFormat="1" applyFont="1" applyBorder="1" applyAlignment="1">
      <alignment horizontal="right" vertical="center" wrapText="1"/>
    </xf>
    <xf numFmtId="0" fontId="168" fillId="63" borderId="55" xfId="0" applyFont="1" applyFill="1" applyBorder="1" applyAlignment="1">
      <alignment vertical="center" wrapText="1"/>
    </xf>
    <xf numFmtId="0" fontId="168" fillId="63" borderId="55" xfId="0" applyFont="1" applyFill="1" applyBorder="1" applyAlignment="1">
      <alignment horizontal="right" vertical="center" wrapText="1"/>
    </xf>
    <xf numFmtId="0" fontId="168" fillId="63" borderId="0" xfId="0" applyFont="1" applyFill="1" applyAlignment="1">
      <alignment horizontal="right" vertical="center" wrapText="1"/>
    </xf>
    <xf numFmtId="0" fontId="172" fillId="0" borderId="0" xfId="0" applyFont="1" applyAlignment="1">
      <alignment vertical="center" wrapText="1"/>
    </xf>
    <xf numFmtId="4" fontId="174" fillId="0" borderId="0" xfId="0" applyNumberFormat="1" applyFont="1" applyAlignment="1">
      <alignment horizontal="right" vertical="center" wrapText="1"/>
    </xf>
    <xf numFmtId="0" fontId="172" fillId="0" borderId="56" xfId="0" applyFont="1" applyBorder="1" applyAlignment="1">
      <alignment vertical="center" wrapText="1"/>
    </xf>
    <xf numFmtId="0" fontId="119" fillId="0" borderId="1" xfId="0" applyFont="1" applyBorder="1" applyAlignment="1">
      <alignment vertical="center" wrapText="1"/>
    </xf>
    <xf numFmtId="0" fontId="119" fillId="0" borderId="2" xfId="0" applyFont="1" applyBorder="1" applyAlignment="1">
      <alignment horizontal="right" vertical="center" wrapText="1"/>
    </xf>
    <xf numFmtId="0" fontId="119" fillId="0" borderId="5" xfId="0" applyFont="1" applyBorder="1" applyAlignment="1">
      <alignment vertical="center" wrapText="1"/>
    </xf>
    <xf numFmtId="0" fontId="119" fillId="0" borderId="52" xfId="0" applyFont="1" applyBorder="1" applyAlignment="1">
      <alignment horizontal="right" vertical="center" wrapText="1"/>
    </xf>
    <xf numFmtId="4" fontId="174" fillId="0" borderId="56" xfId="0" applyNumberFormat="1" applyFont="1" applyBorder="1" applyAlignment="1">
      <alignment horizontal="right" vertical="center" wrapText="1"/>
    </xf>
    <xf numFmtId="0" fontId="174" fillId="0" borderId="56" xfId="0" applyFont="1" applyBorder="1" applyAlignment="1">
      <alignment horizontal="left" vertical="center" wrapText="1"/>
    </xf>
    <xf numFmtId="0" fontId="174" fillId="0" borderId="56" xfId="0" applyFont="1" applyBorder="1" applyAlignment="1">
      <alignment vertical="center" wrapText="1"/>
    </xf>
    <xf numFmtId="0" fontId="171" fillId="48" borderId="0" xfId="0" applyFont="1" applyFill="1" applyAlignment="1">
      <alignment vertical="center"/>
    </xf>
    <xf numFmtId="0" fontId="178" fillId="48" borderId="0" xfId="0" applyFont="1" applyFill="1"/>
    <xf numFmtId="0" fontId="119" fillId="48" borderId="80" xfId="0" applyFont="1" applyFill="1" applyBorder="1"/>
    <xf numFmtId="0" fontId="168" fillId="48" borderId="80" xfId="0" applyFont="1" applyFill="1" applyBorder="1" applyAlignment="1">
      <alignment horizontal="right" vertical="center" wrapText="1"/>
    </xf>
    <xf numFmtId="9" fontId="119" fillId="48" borderId="0" xfId="1" applyFont="1" applyFill="1"/>
    <xf numFmtId="221" fontId="119" fillId="48" borderId="80" xfId="0" applyNumberFormat="1" applyFont="1" applyFill="1" applyBorder="1"/>
    <xf numFmtId="221" fontId="119" fillId="48" borderId="0" xfId="0" applyNumberFormat="1" applyFont="1" applyFill="1"/>
    <xf numFmtId="3" fontId="119" fillId="48" borderId="80" xfId="0" applyNumberFormat="1" applyFont="1" applyFill="1" applyBorder="1"/>
    <xf numFmtId="3" fontId="119" fillId="48" borderId="0" xfId="0" applyNumberFormat="1" applyFont="1" applyFill="1"/>
    <xf numFmtId="172" fontId="119" fillId="48" borderId="0" xfId="1" applyNumberFormat="1" applyFont="1" applyFill="1"/>
    <xf numFmtId="6" fontId="119" fillId="48" borderId="0" xfId="0" applyNumberFormat="1" applyFont="1" applyFill="1"/>
    <xf numFmtId="43" fontId="119" fillId="48" borderId="0" xfId="0" applyNumberFormat="1" applyFont="1" applyFill="1"/>
    <xf numFmtId="173" fontId="119" fillId="48" borderId="0" xfId="6" applyNumberFormat="1" applyFont="1" applyFill="1"/>
    <xf numFmtId="171" fontId="119" fillId="48" borderId="0" xfId="0" applyNumberFormat="1" applyFont="1" applyFill="1"/>
    <xf numFmtId="172" fontId="119" fillId="48" borderId="0" xfId="0" applyNumberFormat="1" applyFont="1" applyFill="1"/>
    <xf numFmtId="0" fontId="119" fillId="48" borderId="80" xfId="0" applyFont="1" applyFill="1" applyBorder="1" applyAlignment="1">
      <alignment vertical="center" wrapText="1"/>
    </xf>
    <xf numFmtId="222" fontId="119" fillId="48" borderId="0" xfId="0" applyNumberFormat="1" applyFont="1" applyFill="1"/>
    <xf numFmtId="0" fontId="168" fillId="48" borderId="80" xfId="0" applyFont="1" applyFill="1" applyBorder="1" applyAlignment="1">
      <alignment vertical="center" wrapText="1"/>
    </xf>
    <xf numFmtId="0" fontId="168" fillId="48" borderId="0" xfId="0" applyFont="1" applyFill="1"/>
    <xf numFmtId="10" fontId="119" fillId="48" borderId="0" xfId="0" applyNumberFormat="1" applyFont="1" applyFill="1"/>
    <xf numFmtId="0" fontId="119" fillId="48" borderId="0" xfId="0" applyFont="1" applyFill="1" applyAlignment="1">
      <alignment vertical="center" wrapText="1"/>
    </xf>
    <xf numFmtId="221" fontId="119" fillId="48" borderId="0" xfId="0" applyNumberFormat="1" applyFont="1" applyFill="1" applyAlignment="1">
      <alignment horizontal="right" vertical="center" wrapText="1"/>
    </xf>
    <xf numFmtId="0" fontId="173" fillId="48" borderId="0" xfId="0" applyFont="1" applyFill="1"/>
    <xf numFmtId="221" fontId="173" fillId="48" borderId="80" xfId="0" applyNumberFormat="1" applyFont="1" applyFill="1" applyBorder="1"/>
    <xf numFmtId="0" fontId="179" fillId="48" borderId="0" xfId="0" applyFont="1" applyFill="1"/>
    <xf numFmtId="0" fontId="172" fillId="48" borderId="80" xfId="0" applyFont="1" applyFill="1" applyBorder="1" applyAlignment="1">
      <alignment vertical="center"/>
    </xf>
    <xf numFmtId="221" fontId="172" fillId="48" borderId="80" xfId="0" applyNumberFormat="1" applyFont="1" applyFill="1" applyBorder="1" applyAlignment="1">
      <alignment horizontal="right" vertical="center" wrapText="1"/>
    </xf>
    <xf numFmtId="221" fontId="172" fillId="0" borderId="80" xfId="0" applyNumberFormat="1" applyFont="1" applyBorder="1" applyAlignment="1">
      <alignment horizontal="right" vertical="center" wrapText="1"/>
    </xf>
    <xf numFmtId="0" fontId="172" fillId="48" borderId="80" xfId="0" applyFont="1" applyFill="1" applyBorder="1" applyAlignment="1">
      <alignment vertical="center" wrapText="1"/>
    </xf>
    <xf numFmtId="0" fontId="119" fillId="48" borderId="0" xfId="0" applyFont="1" applyFill="1" applyAlignment="1">
      <alignment horizontal="center"/>
    </xf>
    <xf numFmtId="221" fontId="119" fillId="48" borderId="80" xfId="0" applyNumberFormat="1" applyFont="1" applyFill="1" applyBorder="1" applyAlignment="1">
      <alignment horizontal="center"/>
    </xf>
    <xf numFmtId="221" fontId="119" fillId="48" borderId="0" xfId="0" applyNumberFormat="1" applyFont="1" applyFill="1" applyAlignment="1">
      <alignment horizontal="center"/>
    </xf>
    <xf numFmtId="0" fontId="119" fillId="48" borderId="80" xfId="0" applyFont="1" applyFill="1" applyBorder="1" applyAlignment="1">
      <alignment horizontal="center"/>
    </xf>
    <xf numFmtId="170" fontId="176" fillId="48" borderId="0" xfId="11" applyNumberFormat="1" applyFont="1" applyFill="1"/>
    <xf numFmtId="10" fontId="176" fillId="48" borderId="0" xfId="7" applyNumberFormat="1" applyFont="1" applyFill="1"/>
    <xf numFmtId="173" fontId="176" fillId="48" borderId="80" xfId="11" applyNumberFormat="1" applyFont="1" applyFill="1" applyBorder="1"/>
    <xf numFmtId="3" fontId="176" fillId="87" borderId="80" xfId="0" applyNumberFormat="1" applyFont="1" applyFill="1" applyBorder="1"/>
    <xf numFmtId="172" fontId="176" fillId="62" borderId="80" xfId="7" applyNumberFormat="1" applyFont="1" applyFill="1" applyBorder="1"/>
    <xf numFmtId="172" fontId="176" fillId="88" borderId="80" xfId="0" applyNumberFormat="1" applyFont="1" applyFill="1" applyBorder="1"/>
    <xf numFmtId="0" fontId="168" fillId="48" borderId="72" xfId="0" applyFont="1" applyFill="1" applyBorder="1"/>
    <xf numFmtId="0" fontId="119" fillId="48" borderId="72" xfId="0" applyFont="1" applyFill="1" applyBorder="1"/>
    <xf numFmtId="0" fontId="180" fillId="48" borderId="0" xfId="0" quotePrefix="1" applyFont="1" applyFill="1"/>
    <xf numFmtId="43" fontId="119" fillId="48" borderId="0" xfId="0" applyNumberFormat="1" applyFont="1" applyFill="1" applyAlignment="1">
      <alignment horizontal="center"/>
    </xf>
    <xf numFmtId="0" fontId="172" fillId="0" borderId="80" xfId="0" applyFont="1" applyBorder="1" applyAlignment="1">
      <alignment vertical="center"/>
    </xf>
    <xf numFmtId="9" fontId="119" fillId="48" borderId="0" xfId="0" applyNumberFormat="1" applyFont="1" applyFill="1" applyAlignment="1">
      <alignment horizontal="center"/>
    </xf>
    <xf numFmtId="1" fontId="119" fillId="48" borderId="0" xfId="0" applyNumberFormat="1" applyFont="1" applyFill="1"/>
    <xf numFmtId="1" fontId="168" fillId="48" borderId="0" xfId="0" applyNumberFormat="1" applyFont="1" applyFill="1"/>
    <xf numFmtId="222" fontId="179" fillId="48" borderId="0" xfId="0" applyNumberFormat="1" applyFont="1" applyFill="1"/>
    <xf numFmtId="0" fontId="119" fillId="48" borderId="80" xfId="0" applyFont="1" applyFill="1" applyBorder="1" applyAlignment="1">
      <alignment horizontal="right"/>
    </xf>
    <xf numFmtId="3" fontId="119" fillId="0" borderId="4" xfId="0" applyNumberFormat="1" applyFont="1" applyBorder="1" applyAlignment="1">
      <alignment horizontal="right" vertical="center" wrapText="1"/>
    </xf>
    <xf numFmtId="0" fontId="181" fillId="0" borderId="0" xfId="0" applyFont="1" applyAlignment="1">
      <alignment vertical="center" wrapText="1"/>
    </xf>
    <xf numFmtId="0" fontId="172" fillId="48" borderId="80" xfId="0" quotePrefix="1" applyFont="1" applyFill="1" applyBorder="1" applyAlignment="1">
      <alignment vertical="center"/>
    </xf>
    <xf numFmtId="17" fontId="172" fillId="48" borderId="80" xfId="0" quotePrefix="1" applyNumberFormat="1" applyFont="1" applyFill="1" applyBorder="1" applyAlignment="1">
      <alignment vertical="center"/>
    </xf>
    <xf numFmtId="0" fontId="175" fillId="0" borderId="0" xfId="0" applyFont="1" applyAlignment="1">
      <alignment vertical="center"/>
    </xf>
    <xf numFmtId="0" fontId="119" fillId="48" borderId="0" xfId="0" applyFont="1" applyFill="1" applyAlignment="1">
      <alignment horizontal="right"/>
    </xf>
    <xf numFmtId="0" fontId="182" fillId="0" borderId="0" xfId="4622" applyFont="1" applyFill="1"/>
    <xf numFmtId="0" fontId="119" fillId="0" borderId="4" xfId="0" applyFont="1" applyBorder="1"/>
    <xf numFmtId="173" fontId="119" fillId="0" borderId="0" xfId="6" applyNumberFormat="1" applyFont="1" applyFill="1"/>
    <xf numFmtId="172" fontId="119" fillId="0" borderId="0" xfId="1" applyNumberFormat="1" applyFont="1"/>
    <xf numFmtId="219" fontId="119" fillId="0" borderId="0" xfId="0" applyNumberFormat="1" applyFont="1"/>
    <xf numFmtId="173" fontId="119" fillId="0" borderId="0" xfId="4623" applyNumberFormat="1" applyFont="1"/>
    <xf numFmtId="173" fontId="119" fillId="0" borderId="0" xfId="4623" applyNumberFormat="1" applyFont="1" applyFill="1"/>
    <xf numFmtId="0" fontId="182" fillId="0" borderId="0" xfId="4622" applyFont="1" applyAlignment="1">
      <alignment vertical="center"/>
    </xf>
    <xf numFmtId="0" fontId="119" fillId="0" borderId="0" xfId="0" applyFont="1" applyAlignment="1">
      <alignment horizontal="left" vertical="top" wrapText="1"/>
    </xf>
    <xf numFmtId="173" fontId="119" fillId="0" borderId="0" xfId="4623" applyNumberFormat="1" applyFont="1" applyAlignment="1">
      <alignment horizontal="left" vertical="top" wrapText="1"/>
    </xf>
    <xf numFmtId="0" fontId="119" fillId="0" borderId="0" xfId="0" applyFont="1" applyAlignment="1">
      <alignment wrapText="1"/>
    </xf>
    <xf numFmtId="0" fontId="182" fillId="0" borderId="0" xfId="4625" applyFont="1"/>
    <xf numFmtId="9" fontId="119" fillId="61" borderId="0" xfId="4624" applyFont="1" applyFill="1"/>
    <xf numFmtId="0" fontId="119" fillId="48" borderId="0" xfId="0" applyFont="1" applyFill="1" applyAlignment="1">
      <alignment horizontal="left"/>
    </xf>
    <xf numFmtId="4" fontId="119" fillId="48" borderId="0" xfId="0" applyNumberFormat="1" applyFont="1" applyFill="1" applyAlignment="1">
      <alignment horizontal="center"/>
    </xf>
    <xf numFmtId="172" fontId="119" fillId="89" borderId="0" xfId="1" applyNumberFormat="1" applyFont="1" applyFill="1"/>
    <xf numFmtId="171" fontId="119" fillId="48" borderId="80" xfId="0" applyNumberFormat="1" applyFont="1" applyFill="1" applyBorder="1" applyAlignment="1">
      <alignment horizontal="center" wrapText="1"/>
    </xf>
    <xf numFmtId="259" fontId="119" fillId="0" borderId="0" xfId="0" applyNumberFormat="1" applyFont="1"/>
    <xf numFmtId="0" fontId="119" fillId="86" borderId="0" xfId="0" applyFont="1" applyFill="1"/>
    <xf numFmtId="0" fontId="119" fillId="0" borderId="81" xfId="0" applyFont="1" applyBorder="1"/>
    <xf numFmtId="170" fontId="168" fillId="0" borderId="0" xfId="6" applyNumberFormat="1" applyFont="1"/>
    <xf numFmtId="222" fontId="181" fillId="0" borderId="0" xfId="0" applyNumberFormat="1" applyFont="1"/>
    <xf numFmtId="0" fontId="183" fillId="0" borderId="0" xfId="0" applyFont="1"/>
    <xf numFmtId="173" fontId="168" fillId="0" borderId="0" xfId="6" applyNumberFormat="1" applyFont="1"/>
    <xf numFmtId="0" fontId="173" fillId="0" borderId="0" xfId="0" applyFont="1"/>
    <xf numFmtId="173" fontId="173" fillId="0" borderId="0" xfId="6" applyNumberFormat="1" applyFont="1"/>
    <xf numFmtId="1" fontId="181" fillId="0" borderId="0" xfId="0" applyNumberFormat="1" applyFont="1"/>
    <xf numFmtId="173" fontId="181" fillId="0" borderId="0" xfId="6" applyNumberFormat="1" applyFont="1"/>
    <xf numFmtId="0" fontId="168" fillId="0" borderId="73" xfId="0" applyFont="1" applyBorder="1"/>
    <xf numFmtId="0" fontId="119" fillId="0" borderId="74" xfId="0" applyFont="1" applyBorder="1"/>
    <xf numFmtId="0" fontId="119" fillId="0" borderId="75" xfId="0" applyFont="1" applyBorder="1"/>
    <xf numFmtId="0" fontId="119" fillId="0" borderId="76" xfId="0" applyFont="1" applyBorder="1"/>
    <xf numFmtId="0" fontId="119" fillId="0" borderId="77" xfId="0" applyFont="1" applyBorder="1"/>
    <xf numFmtId="1" fontId="119" fillId="0" borderId="77" xfId="0" applyNumberFormat="1" applyFont="1" applyBorder="1"/>
    <xf numFmtId="0" fontId="119" fillId="0" borderId="78" xfId="0" applyFont="1" applyBorder="1"/>
    <xf numFmtId="0" fontId="119" fillId="0" borderId="26" xfId="0" applyFont="1" applyBorder="1"/>
    <xf numFmtId="0" fontId="119" fillId="0" borderId="79" xfId="0" applyFont="1" applyBorder="1"/>
    <xf numFmtId="0" fontId="180" fillId="0" borderId="0" xfId="0" applyFont="1"/>
    <xf numFmtId="172" fontId="119" fillId="0" borderId="0" xfId="0" applyNumberFormat="1" applyFont="1"/>
    <xf numFmtId="6" fontId="119" fillId="0" borderId="0" xfId="0" applyNumberFormat="1" applyFont="1"/>
    <xf numFmtId="173" fontId="168" fillId="0" borderId="70" xfId="6" applyNumberFormat="1" applyFont="1" applyBorder="1"/>
    <xf numFmtId="173" fontId="168" fillId="0" borderId="70" xfId="6" applyNumberFormat="1" applyFont="1" applyFill="1" applyBorder="1"/>
    <xf numFmtId="0" fontId="175" fillId="48" borderId="0" xfId="0" applyFont="1" applyFill="1" applyAlignment="1">
      <alignment vertical="center"/>
    </xf>
    <xf numFmtId="0" fontId="168" fillId="48" borderId="2" xfId="0" applyFont="1" applyFill="1" applyBorder="1" applyAlignment="1">
      <alignment horizontal="right" vertical="center" wrapText="1"/>
    </xf>
    <xf numFmtId="3" fontId="119" fillId="0" borderId="0" xfId="0" applyNumberFormat="1" applyFont="1"/>
    <xf numFmtId="173" fontId="119" fillId="48" borderId="0" xfId="0" applyNumberFormat="1" applyFont="1" applyFill="1"/>
    <xf numFmtId="0" fontId="178" fillId="0" borderId="0" xfId="0" applyFont="1"/>
    <xf numFmtId="17" fontId="172" fillId="0" borderId="80" xfId="0" quotePrefix="1" applyNumberFormat="1" applyFont="1" applyBorder="1" applyAlignment="1">
      <alignment vertical="center" wrapText="1"/>
    </xf>
    <xf numFmtId="0" fontId="172" fillId="0" borderId="80" xfId="0" applyFont="1" applyBorder="1" applyAlignment="1">
      <alignment vertical="center" wrapText="1"/>
    </xf>
    <xf numFmtId="17" fontId="172" fillId="0" borderId="80" xfId="0" quotePrefix="1" applyNumberFormat="1" applyFont="1" applyBorder="1" applyAlignment="1">
      <alignment vertical="center"/>
    </xf>
    <xf numFmtId="0" fontId="172" fillId="0" borderId="80" xfId="0" quotePrefix="1" applyFont="1" applyBorder="1" applyAlignment="1">
      <alignment vertical="center"/>
    </xf>
    <xf numFmtId="0" fontId="175" fillId="48" borderId="0" xfId="0" applyFont="1" applyFill="1"/>
    <xf numFmtId="0" fontId="175" fillId="0" borderId="0" xfId="0" applyFont="1"/>
    <xf numFmtId="0" fontId="184" fillId="0" borderId="0" xfId="0" applyFont="1" applyAlignment="1">
      <alignment horizontal="left" vertical="center" readingOrder="1"/>
    </xf>
    <xf numFmtId="0" fontId="168" fillId="0" borderId="0" xfId="0" applyFont="1" applyAlignment="1">
      <alignment horizontal="left" vertical="top"/>
    </xf>
    <xf numFmtId="170" fontId="119" fillId="0" borderId="0" xfId="6" applyNumberFormat="1" applyFont="1" applyAlignment="1">
      <alignment horizontal="right"/>
    </xf>
    <xf numFmtId="170" fontId="119" fillId="0" borderId="0" xfId="6" applyNumberFormat="1" applyFont="1" applyAlignment="1">
      <alignment horizontal="right" vertical="center" wrapText="1"/>
    </xf>
    <xf numFmtId="170" fontId="172" fillId="0" borderId="0" xfId="6" applyNumberFormat="1" applyFont="1" applyAlignment="1">
      <alignment horizontal="right" vertical="center" wrapText="1"/>
    </xf>
    <xf numFmtId="170" fontId="119" fillId="0" borderId="0" xfId="6" applyNumberFormat="1" applyFont="1" applyAlignment="1">
      <alignment horizontal="right" vertical="center"/>
    </xf>
    <xf numFmtId="170" fontId="174" fillId="0" borderId="0" xfId="6" applyNumberFormat="1" applyFont="1" applyAlignment="1">
      <alignment horizontal="right" vertical="center" wrapText="1"/>
    </xf>
    <xf numFmtId="170" fontId="168" fillId="0" borderId="0" xfId="6" applyNumberFormat="1" applyFont="1" applyAlignment="1">
      <alignment horizontal="right" vertical="center" wrapText="1"/>
    </xf>
    <xf numFmtId="0" fontId="176" fillId="48" borderId="0" xfId="0" applyFont="1" applyFill="1"/>
    <xf numFmtId="0" fontId="120" fillId="48" borderId="0" xfId="0" applyFont="1" applyFill="1"/>
    <xf numFmtId="173" fontId="0" fillId="48" borderId="0" xfId="6" applyNumberFormat="1" applyFont="1" applyFill="1"/>
    <xf numFmtId="221" fontId="119" fillId="0" borderId="81" xfId="0" applyNumberFormat="1" applyFont="1" applyBorder="1"/>
    <xf numFmtId="173" fontId="119" fillId="0" borderId="81" xfId="6" applyNumberFormat="1" applyFont="1" applyBorder="1"/>
    <xf numFmtId="173" fontId="0" fillId="0" borderId="0" xfId="6" applyNumberFormat="1" applyFont="1"/>
    <xf numFmtId="0" fontId="168" fillId="0" borderId="1" xfId="0" applyFont="1" applyBorder="1" applyAlignment="1">
      <alignment vertical="center"/>
    </xf>
    <xf numFmtId="0" fontId="168" fillId="0" borderId="3" xfId="0" applyFont="1" applyBorder="1" applyAlignment="1">
      <alignment vertical="center"/>
    </xf>
    <xf numFmtId="0" fontId="168" fillId="63" borderId="55" xfId="0" applyFont="1" applyFill="1" applyBorder="1" applyAlignment="1">
      <alignment vertical="center" wrapText="1"/>
    </xf>
    <xf numFmtId="0" fontId="168" fillId="63" borderId="0" xfId="0" applyFont="1" applyFill="1" applyAlignment="1">
      <alignment vertical="center" wrapText="1"/>
    </xf>
    <xf numFmtId="0" fontId="119" fillId="48" borderId="0" xfId="0" applyFont="1" applyFill="1" applyAlignment="1">
      <alignment horizontal="center" vertical="center" wrapText="1"/>
    </xf>
  </cellXfs>
  <cellStyles count="4627">
    <cellStyle name=" Writer Import]_x000d__x000a_Display Dialog=No_x000d__x000a__x000d__x000a_[Horizontal Arrange]_x000d__x000a_Dimensions Interlocking=Yes_x000d__x000a_Sum Hierarchy=Yes_x000d__x000a_Generate" xfId="354" xr:uid="{00000000-0005-0000-0000-000000000000}"/>
    <cellStyle name=" Writer Import]_x000d__x000a_Display Dialog=No_x000d__x000a__x000d__x000a_[Horizontal Arrange]_x000d__x000a_Dimensions Interlocking=Yes_x000d__x000a_Sum Hierarchy=Yes_x000d__x000a_Generate 2" xfId="355" xr:uid="{00000000-0005-0000-0000-000001000000}"/>
    <cellStyle name=" Writer Import]_x000d__x000a_Display Dialog=No_x000d__x000a__x000d__x000a_[Horizontal Arrange]_x000d__x000a_Dimensions Interlocking=Yes_x000d__x000a_Sum Hierarchy=Yes_x000d__x000a_Generate 2 2" xfId="356" xr:uid="{00000000-0005-0000-0000-000002000000}"/>
    <cellStyle name=" Writer Import]_x000d__x000a_Display Dialog=No_x000d__x000a__x000d__x000a_[Horizontal Arrange]_x000d__x000a_Dimensions Interlocking=Yes_x000d__x000a_Sum Hierarchy=Yes_x000d__x000a_Generate 2_Data for charts" xfId="887" xr:uid="{00000000-0005-0000-0000-000003000000}"/>
    <cellStyle name=" Writer Import]_x000d__x000a_Display Dialog=No_x000d__x000a__x000d__x000a_[Horizontal Arrange]_x000d__x000a_Dimensions Interlocking=Yes_x000d__x000a_Sum Hierarchy=Yes_x000d__x000a_Generate 3" xfId="357" xr:uid="{00000000-0005-0000-0000-000004000000}"/>
    <cellStyle name=" Writer Import]_x000d__x000a_Display Dialog=No_x000d__x000a__x000d__x000a_[Horizontal Arrange]_x000d__x000a_Dimensions Interlocking=Yes_x000d__x000a_Sum Hierarchy=Yes_x000d__x000a_Generate_Data for charts" xfId="886" xr:uid="{00000000-0005-0000-0000-000005000000}"/>
    <cellStyle name="_x000a_386grabber=M" xfId="358" xr:uid="{00000000-0005-0000-0000-000006000000}"/>
    <cellStyle name="%" xfId="22" xr:uid="{00000000-0005-0000-0000-000007000000}"/>
    <cellStyle name="% 2" xfId="20" xr:uid="{00000000-0005-0000-0000-000008000000}"/>
    <cellStyle name="% 2 2" xfId="359" xr:uid="{00000000-0005-0000-0000-000009000000}"/>
    <cellStyle name="% 2 2 2" xfId="891" xr:uid="{00000000-0005-0000-0000-00000A000000}"/>
    <cellStyle name="% 2 2_Data for charts" xfId="890" xr:uid="{00000000-0005-0000-0000-00000B000000}"/>
    <cellStyle name="% 2 3" xfId="892" xr:uid="{00000000-0005-0000-0000-00000C000000}"/>
    <cellStyle name="% 2_Data for charts" xfId="889" xr:uid="{00000000-0005-0000-0000-00000D000000}"/>
    <cellStyle name="% 3" xfId="893" xr:uid="{00000000-0005-0000-0000-00000E000000}"/>
    <cellStyle name="% 4" xfId="894" xr:uid="{00000000-0005-0000-0000-00000F000000}"/>
    <cellStyle name="%_Accounting tests details" xfId="895" xr:uid="{00000000-0005-0000-0000-000010000000}"/>
    <cellStyle name="%_Add-information" xfId="896" xr:uid="{00000000-0005-0000-0000-000011000000}"/>
    <cellStyle name="%_Additional charts" xfId="21" xr:uid="{00000000-0005-0000-0000-000012000000}"/>
    <cellStyle name="%_Book2" xfId="360" xr:uid="{00000000-0005-0000-0000-000013000000}"/>
    <cellStyle name="%_Book2 2" xfId="898" xr:uid="{00000000-0005-0000-0000-000014000000}"/>
    <cellStyle name="%_Book2 3" xfId="899" xr:uid="{00000000-0005-0000-0000-000015000000}"/>
    <cellStyle name="%_Book2 4" xfId="900" xr:uid="{00000000-0005-0000-0000-000016000000}"/>
    <cellStyle name="%_Book2_Data for charts" xfId="897" xr:uid="{00000000-0005-0000-0000-000017000000}"/>
    <cellStyle name="%_Book6" xfId="361" xr:uid="{00000000-0005-0000-0000-000018000000}"/>
    <cellStyle name="%_charts tables TP" xfId="362" xr:uid="{00000000-0005-0000-0000-000019000000}"/>
    <cellStyle name="%_charts tables TP 070311" xfId="363" xr:uid="{00000000-0005-0000-0000-00001A000000}"/>
    <cellStyle name="%_charts tables TP-formatted " xfId="364" xr:uid="{00000000-0005-0000-0000-00001B000000}"/>
    <cellStyle name="%_charts tables TP-formatted  (2)" xfId="365" xr:uid="{00000000-0005-0000-0000-00001C000000}"/>
    <cellStyle name="%_charts tables TP-formatted  (3)" xfId="366" xr:uid="{00000000-0005-0000-0000-00001D000000}"/>
    <cellStyle name="%_charts_tables250111(1)" xfId="367" xr:uid="{00000000-0005-0000-0000-00001E000000}"/>
    <cellStyle name="%_DATA" xfId="368" xr:uid="{00000000-0005-0000-0000-00001F000000}"/>
    <cellStyle name="%_Data for charts" xfId="888" xr:uid="{00000000-0005-0000-0000-000020000000}"/>
    <cellStyle name="%_Economy Fan Charts Sheet Master 20111121" xfId="369" xr:uid="{00000000-0005-0000-0000-000021000000}"/>
    <cellStyle name="%_Economy Fan Charts Sheet Master BUD12R3 links broken" xfId="370" xr:uid="{00000000-0005-0000-0000-000022000000}"/>
    <cellStyle name="%_Economy Tables" xfId="371" xr:uid="{00000000-0005-0000-0000-000023000000}"/>
    <cellStyle name="%_FER_2012_(7Aug12)" xfId="372" xr:uid="{00000000-0005-0000-0000-000024000000}"/>
    <cellStyle name="%_Fin-Insts" xfId="901" xr:uid="{00000000-0005-0000-0000-000025000000}"/>
    <cellStyle name="%_Fiscal Tables" xfId="373" xr:uid="{00000000-0005-0000-0000-000026000000}"/>
    <cellStyle name="%_Health scenario chart (2)" xfId="14" xr:uid="{00000000-0005-0000-0000-000027000000}"/>
    <cellStyle name="%_inc to ex AS12 EFOsupps" xfId="374" xr:uid="{00000000-0005-0000-0000-000028000000}"/>
    <cellStyle name="%_INT" xfId="902" xr:uid="{00000000-0005-0000-0000-000029000000}"/>
    <cellStyle name="%_March-2012-Fiscal-Supplementary-Tables1(1)" xfId="375" xr:uid="{00000000-0005-0000-0000-00002A000000}"/>
    <cellStyle name="%_My charts (TH AS12)" xfId="376" xr:uid="{00000000-0005-0000-0000-00002B000000}"/>
    <cellStyle name="%_New cf C Pack (version1.0)" xfId="903" xr:uid="{00000000-0005-0000-0000-00002C000000}"/>
    <cellStyle name="%_New cf C Pack (version1.0) 2" xfId="904" xr:uid="{00000000-0005-0000-0000-00002D000000}"/>
    <cellStyle name="%_New cf C Pack (version1.0) 2 2" xfId="905" xr:uid="{00000000-0005-0000-0000-00002E000000}"/>
    <cellStyle name="%_New cf C Pack (version1.0) 2 3" xfId="906" xr:uid="{00000000-0005-0000-0000-00002F000000}"/>
    <cellStyle name="%_New cf C Pack (version1.0) 3" xfId="907" xr:uid="{00000000-0005-0000-0000-000030000000}"/>
    <cellStyle name="%_New cf C Pack (version1.0) 3 2" xfId="908" xr:uid="{00000000-0005-0000-0000-000031000000}"/>
    <cellStyle name="%_New cf C Pack (version1.0) 3 3" xfId="909" xr:uid="{00000000-0005-0000-0000-000032000000}"/>
    <cellStyle name="%_New cf C Pack (version1.0) 4" xfId="910" xr:uid="{00000000-0005-0000-0000-000033000000}"/>
    <cellStyle name="%_New cf C Pack (version1.0) 5" xfId="911" xr:uid="{00000000-0005-0000-0000-000034000000}"/>
    <cellStyle name="%_New cf C Pack (version1.0) 6" xfId="912" xr:uid="{00000000-0005-0000-0000-000035000000}"/>
    <cellStyle name="%_New cf C Pack (version1.0) 6 2" xfId="913" xr:uid="{00000000-0005-0000-0000-000036000000}"/>
    <cellStyle name="%_New cf C Pack (version1.0) 7" xfId="914" xr:uid="{00000000-0005-0000-0000-000037000000}"/>
    <cellStyle name="%_New cf C Pack (version1.0) 7 2" xfId="915" xr:uid="{00000000-0005-0000-0000-000038000000}"/>
    <cellStyle name="%_O-Fin-Assets" xfId="916" xr:uid="{00000000-0005-0000-0000-000039000000}"/>
    <cellStyle name="%_PEF Autumn2011" xfId="377" xr:uid="{00000000-0005-0000-0000-00003A000000}"/>
    <cellStyle name="%_PEF FSBR2011" xfId="25" xr:uid="{00000000-0005-0000-0000-00003B000000}"/>
    <cellStyle name="%_PEF FSBR2011 2" xfId="378" xr:uid="{00000000-0005-0000-0000-00003C000000}"/>
    <cellStyle name="%_PEF FSBR2011 AA simplification" xfId="379" xr:uid="{00000000-0005-0000-0000-00003D000000}"/>
    <cellStyle name="%_Proforma Mapping" xfId="917" xr:uid="{00000000-0005-0000-0000-00003E000000}"/>
    <cellStyle name="%_PSND health" xfId="380" xr:uid="{00000000-0005-0000-0000-00003F000000}"/>
    <cellStyle name="%_Reserves" xfId="918" xr:uid="{00000000-0005-0000-0000-000040000000}"/>
    <cellStyle name="%_Revised SCOAs (incl LG) 23-4-10 FINAL" xfId="919" xr:uid="{00000000-0005-0000-0000-000041000000}"/>
    <cellStyle name="%_Revised SCOAs (incl LG) 23-4-10 FINAL 2" xfId="920" xr:uid="{00000000-0005-0000-0000-000042000000}"/>
    <cellStyle name="%_Revised SCOAs 3" xfId="921" xr:uid="{00000000-0005-0000-0000-000043000000}"/>
    <cellStyle name="%_Revised SCOAs 3 2" xfId="922" xr:uid="{00000000-0005-0000-0000-000044000000}"/>
    <cellStyle name="%_Revised SCOAs 3 3" xfId="923" xr:uid="{00000000-0005-0000-0000-000045000000}"/>
    <cellStyle name="%_Revised SCOAs 3 4" xfId="924" xr:uid="{00000000-0005-0000-0000-000046000000}"/>
    <cellStyle name="%_Scorecard" xfId="381" xr:uid="{00000000-0005-0000-0000-000047000000}"/>
    <cellStyle name="%_T&amp;OR(2)" xfId="925" xr:uid="{00000000-0005-0000-0000-000048000000}"/>
    <cellStyle name="%_TP - charts tables BUD12" xfId="382" xr:uid="{00000000-0005-0000-0000-000049000000}"/>
    <cellStyle name="%_TP - charts tables Nov11" xfId="383" xr:uid="{00000000-0005-0000-0000-00004A000000}"/>
    <cellStyle name="%_transferred debt sheet FINAL" xfId="926" xr:uid="{00000000-0005-0000-0000-00004B000000}"/>
    <cellStyle name="%_transferred debt sheet FINAL_Copy of MASTER Lpack 11-03-10mk" xfId="927" xr:uid="{00000000-0005-0000-0000-00004C000000}"/>
    <cellStyle name="%_transferred debt sheet FINAL_Copy of MASTER Lpack 11-03-10mk 2" xfId="928" xr:uid="{00000000-0005-0000-0000-00004D000000}"/>
    <cellStyle name="%_transferred debt sheet FINAL_Copy of MASTER Lpack 11-03-10mk 3" xfId="929" xr:uid="{00000000-0005-0000-0000-00004E000000}"/>
    <cellStyle name="%_transferred debt sheet FINAL_Copy of MASTER Lpack 11-03-10mk 4" xfId="930" xr:uid="{00000000-0005-0000-0000-00004F000000}"/>
    <cellStyle name="%_transferred debt sheet FINAL_Master L Pack 02032010" xfId="931" xr:uid="{00000000-0005-0000-0000-000050000000}"/>
    <cellStyle name="%_transferred debt sheet FINAL_Master L Pack 02032010 2" xfId="932" xr:uid="{00000000-0005-0000-0000-000051000000}"/>
    <cellStyle name="%_transferred debt sheet FINAL_Master L Pack 02032010 3" xfId="933" xr:uid="{00000000-0005-0000-0000-000052000000}"/>
    <cellStyle name="%_transferred debt sheet FINAL_Master L Pack 02032010 4" xfId="934" xr:uid="{00000000-0005-0000-0000-000053000000}"/>
    <cellStyle name="%_transferred debt sheet FINAL_MASTER Lpack 12-03-10 Pooled Budgets" xfId="935" xr:uid="{00000000-0005-0000-0000-000054000000}"/>
    <cellStyle name="%_transferred debt sheet FINAL_MASTER Lpack 12-03-10 Pooled Budgets 2" xfId="936" xr:uid="{00000000-0005-0000-0000-000055000000}"/>
    <cellStyle name="%_transferred debt sheet FINAL_MASTER Lpack 12-03-10 Pooled Budgets 3" xfId="937" xr:uid="{00000000-0005-0000-0000-000056000000}"/>
    <cellStyle name="%_transferred debt sheet FINAL_MASTER Lpack 12-03-10 Pooled Budgets 4" xfId="938" xr:uid="{00000000-0005-0000-0000-000057000000}"/>
    <cellStyle name="%_transferred debt sheet FINAL_WGA - Financial  Instruments - Workbook (LA) V2.0" xfId="939" xr:uid="{00000000-0005-0000-0000-000058000000}"/>
    <cellStyle name="%_transferred debt sheet FINAL_WGA - Financial  Instruments - Workbook (LA) V2.0 2" xfId="940" xr:uid="{00000000-0005-0000-0000-000059000000}"/>
    <cellStyle name="%_transferred debt sheet FINAL_WGA - Financial  Instruments - Workbook (LA) V2.0_Copy of MASTER Lpack 11-03-10mk" xfId="941" xr:uid="{00000000-0005-0000-0000-00005A000000}"/>
    <cellStyle name="%_transferred debt sheet FINAL_WGA - Financial  Instruments - Workbook (LA) V2.0_Copy of MASTER Lpack 11-03-10mk 2" xfId="942" xr:uid="{00000000-0005-0000-0000-00005B000000}"/>
    <cellStyle name="%_transferred debt sheet FINAL_WGA - Financial  Instruments - Workbook (LA) V2.0_Copy of MASTER Lpack 11-03-10mk 3" xfId="943" xr:uid="{00000000-0005-0000-0000-00005C000000}"/>
    <cellStyle name="%_transferred debt sheet FINAL_WGA - Financial  Instruments - Workbook (LA) V2.0_Copy of MASTER Lpack 11-03-10mk 4" xfId="944" xr:uid="{00000000-0005-0000-0000-00005D000000}"/>
    <cellStyle name="%_transferred debt sheet FINAL_WGA - Financial  Instruments - Workbook (LA) V2.0_Master L Pack 02032010" xfId="945" xr:uid="{00000000-0005-0000-0000-00005E000000}"/>
    <cellStyle name="%_transferred debt sheet FINAL_WGA - Financial  Instruments - Workbook (LA) V2.0_Master L Pack 02032010 2" xfId="946" xr:uid="{00000000-0005-0000-0000-00005F000000}"/>
    <cellStyle name="%_transferred debt sheet FINAL_WGA - Financial  Instruments - Workbook (LA) V2.0_Master L Pack 02032010 3" xfId="947" xr:uid="{00000000-0005-0000-0000-000060000000}"/>
    <cellStyle name="%_transferred debt sheet FINAL_WGA - Financial  Instruments - Workbook (LA) V2.0_Master L Pack 02032010 4" xfId="948" xr:uid="{00000000-0005-0000-0000-000061000000}"/>
    <cellStyle name="%_transferred debt sheet FINAL_WGA - Financial  Instruments - Workbook (LA) V2.0_MASTER Lpack 12-03-10 Pooled Budgets" xfId="949" xr:uid="{00000000-0005-0000-0000-000062000000}"/>
    <cellStyle name="%_transferred debt sheet FINAL_WGA - Financial  Instruments - Workbook (LA) V2.0_MASTER Lpack 12-03-10 Pooled Budgets 2" xfId="950" xr:uid="{00000000-0005-0000-0000-000063000000}"/>
    <cellStyle name="%_transferred debt sheet FINAL_WGA - Financial  Instruments - Workbook (LA) V2.0_MASTER Lpack 12-03-10 Pooled Budgets 3" xfId="951" xr:uid="{00000000-0005-0000-0000-000064000000}"/>
    <cellStyle name="%_transferred debt sheet FINAL_WGA - Financial  Instruments - Workbook (LA) V2.0_MASTER Lpack 12-03-10 Pooled Budgets 4" xfId="952" xr:uid="{00000000-0005-0000-0000-000065000000}"/>
    <cellStyle name="%_TREND_DEFLATE01#" xfId="384" xr:uid="{00000000-0005-0000-0000-000066000000}"/>
    <cellStyle name="%_VAT refunds" xfId="385" xr:uid="{00000000-0005-0000-0000-000067000000}"/>
    <cellStyle name="%_WGA - Financial  Instruments - Workbook (LA) V2.0" xfId="953" xr:uid="{00000000-0005-0000-0000-000068000000}"/>
    <cellStyle name="%_WGA - Financial  Instruments - Workbook (LA) V2.0 2" xfId="954" xr:uid="{00000000-0005-0000-0000-000069000000}"/>
    <cellStyle name="%_WGA - Financial  Instruments - Workbook (LA) V2.0_Copy of MASTER Lpack 11-03-10mk" xfId="955" xr:uid="{00000000-0005-0000-0000-00006A000000}"/>
    <cellStyle name="%_WGA - Financial  Instruments - Workbook (LA) V2.0_Copy of MASTER Lpack 11-03-10mk 2" xfId="956" xr:uid="{00000000-0005-0000-0000-00006B000000}"/>
    <cellStyle name="%_WGA - Financial  Instruments - Workbook (LA) V2.0_Copy of MASTER Lpack 11-03-10mk 3" xfId="957" xr:uid="{00000000-0005-0000-0000-00006C000000}"/>
    <cellStyle name="%_WGA - Financial  Instruments - Workbook (LA) V2.0_Copy of MASTER Lpack 11-03-10mk 4" xfId="958" xr:uid="{00000000-0005-0000-0000-00006D000000}"/>
    <cellStyle name="%_WGA - Financial  Instruments - Workbook (LA) V2.0_Master L Pack 02032010" xfId="959" xr:uid="{00000000-0005-0000-0000-00006E000000}"/>
    <cellStyle name="%_WGA - Financial  Instruments - Workbook (LA) V2.0_Master L Pack 02032010 2" xfId="960" xr:uid="{00000000-0005-0000-0000-00006F000000}"/>
    <cellStyle name="%_WGA - Financial  Instruments - Workbook (LA) V2.0_Master L Pack 02032010 3" xfId="961" xr:uid="{00000000-0005-0000-0000-000070000000}"/>
    <cellStyle name="%_WGA - Financial  Instruments - Workbook (LA) V2.0_Master L Pack 02032010 4" xfId="962" xr:uid="{00000000-0005-0000-0000-000071000000}"/>
    <cellStyle name="%_WGA - Financial  Instruments - Workbook (LA) V2.0_MASTER Lpack 12-03-10 Pooled Budgets" xfId="963" xr:uid="{00000000-0005-0000-0000-000072000000}"/>
    <cellStyle name="%_WGA - Financial  Instruments - Workbook (LA) V2.0_MASTER Lpack 12-03-10 Pooled Budgets 2" xfId="964" xr:uid="{00000000-0005-0000-0000-000073000000}"/>
    <cellStyle name="%_WGA - Financial  Instruments - Workbook (LA) V2.0_MASTER Lpack 12-03-10 Pooled Budgets 3" xfId="965" xr:uid="{00000000-0005-0000-0000-000074000000}"/>
    <cellStyle name="%_WGA - Financial  Instruments - Workbook (LA) V2.0_MASTER Lpack 12-03-10 Pooled Budgets 4" xfId="966" xr:uid="{00000000-0005-0000-0000-000075000000}"/>
    <cellStyle name="?? [0.00]_Monthly off bal. info1" xfId="967" xr:uid="{00000000-0005-0000-0000-000076000000}"/>
    <cellStyle name="???? [0.00]_Monthly off bal. info1" xfId="968" xr:uid="{00000000-0005-0000-0000-000077000000}"/>
    <cellStyle name="????_Monthly off bal. info1" xfId="969" xr:uid="{00000000-0005-0000-0000-000078000000}"/>
    <cellStyle name="??_Monthly off bal. info1" xfId="970" xr:uid="{00000000-0005-0000-0000-000079000000}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971" xr:uid="{00000000-0005-0000-0000-00007A000000}"/>
    <cellStyle name="]_x000d__x000a_Zoomed=1_x000d__x000a_Row=0_x000d__x000a_Column=0_x000d__x000a_Height=0_x000d__x000a_Width=0_x000d__x000a_FontName=FoxFont_x000d__x000a_FontStyle=0_x000d__x000a_FontSize=9_x000d__x000a_PrtFontName=FoxPrin" xfId="13" xr:uid="{00000000-0005-0000-0000-00007B000000}"/>
    <cellStyle name="]_x000d__x000a_Zoomed=1_x000d__x000a_Row=0_x000d__x000a_Column=0_x000d__x000a_Height=0_x000d__x000a_Width=0_x000d__x000a_FontName=FoxFont_x000d__x000a_FontStyle=0_x000d__x000a_FontSize=9_x000d__x000a_PrtFontName=FoxPrin 2" xfId="386" xr:uid="{00000000-0005-0000-0000-00007C000000}"/>
    <cellStyle name="_110621 OBRoutput FSR transUpdate and tobacco jun25" xfId="23" xr:uid="{00000000-0005-0000-0000-00007D000000}"/>
    <cellStyle name="_110621 OBRoutput FSR transUpdate and tobacco jun25 (2)" xfId="19" xr:uid="{00000000-0005-0000-0000-00007E000000}"/>
    <cellStyle name="_110621 OBRoutput FSR transUpdate and tobacco jun25 (2) 2" xfId="388" xr:uid="{00000000-0005-0000-0000-00007F000000}"/>
    <cellStyle name="_110621 OBRoutput FSR transUpdate and tobacco jun25 2" xfId="387" xr:uid="{00000000-0005-0000-0000-000080000000}"/>
    <cellStyle name="_111125 APDPassengerNumbers" xfId="389" xr:uid="{00000000-0005-0000-0000-000081000000}"/>
    <cellStyle name="_111125 APDPassengerNumbers_inc to ex AS12 EFOsupps" xfId="390" xr:uid="{00000000-0005-0000-0000-000082000000}"/>
    <cellStyle name="_App 2(i) Confirms London" xfId="972" xr:uid="{00000000-0005-0000-0000-000083000000}"/>
    <cellStyle name="_App 2(i) Confirms London 2" xfId="973" xr:uid="{00000000-0005-0000-0000-000084000000}"/>
    <cellStyle name="_App 2(i) Confirms London 2 2" xfId="974" xr:uid="{00000000-0005-0000-0000-000085000000}"/>
    <cellStyle name="_App 2(i) Confirms London 3" xfId="975" xr:uid="{00000000-0005-0000-0000-000086000000}"/>
    <cellStyle name="_Apr 2010 IMBE Report" xfId="391" xr:uid="{00000000-0005-0000-0000-000087000000}"/>
    <cellStyle name="_Asset Co - 2014-40" xfId="392" xr:uid="{00000000-0005-0000-0000-000088000000}"/>
    <cellStyle name="_Autumn 2011 Audit Trail full template" xfId="393" xr:uid="{00000000-0005-0000-0000-000089000000}"/>
    <cellStyle name="_Breakdown" xfId="976" xr:uid="{00000000-0005-0000-0000-00008A000000}"/>
    <cellStyle name="_Breakdown 2" xfId="977" xr:uid="{00000000-0005-0000-0000-00008B000000}"/>
    <cellStyle name="_Breakdown 2 2" xfId="978" xr:uid="{00000000-0005-0000-0000-00008C000000}"/>
    <cellStyle name="_Breakdown 3" xfId="979" xr:uid="{00000000-0005-0000-0000-00008D000000}"/>
    <cellStyle name="_Comma" xfId="980" xr:uid="{00000000-0005-0000-0000-00008E000000}"/>
    <cellStyle name="_Comma 2" xfId="981" xr:uid="{00000000-0005-0000-0000-00008F000000}"/>
    <cellStyle name="_Comma 2 2" xfId="982" xr:uid="{00000000-0005-0000-0000-000090000000}"/>
    <cellStyle name="_Comma 3" xfId="983" xr:uid="{00000000-0005-0000-0000-000091000000}"/>
    <cellStyle name="_covered bonds" xfId="394" xr:uid="{00000000-0005-0000-0000-000092000000}"/>
    <cellStyle name="_covered bonds_20110317 Guarantee Data sheet with CDS Expected Losses" xfId="395" xr:uid="{00000000-0005-0000-0000-000093000000}"/>
    <cellStyle name="_Currency" xfId="984" xr:uid="{00000000-0005-0000-0000-000094000000}"/>
    <cellStyle name="_Currency 2" xfId="985" xr:uid="{00000000-0005-0000-0000-000095000000}"/>
    <cellStyle name="_Currency 2 2" xfId="986" xr:uid="{00000000-0005-0000-0000-000096000000}"/>
    <cellStyle name="_Currency 3" xfId="987" xr:uid="{00000000-0005-0000-0000-000097000000}"/>
    <cellStyle name="_Currency_App 5(v) AFS Reserve" xfId="988" xr:uid="{00000000-0005-0000-0000-000098000000}"/>
    <cellStyle name="_Currency_App 5(v) AFS Reserve 2" xfId="989" xr:uid="{00000000-0005-0000-0000-000099000000}"/>
    <cellStyle name="_Currency_App 5(v) AFS Reserve 2 2" xfId="990" xr:uid="{00000000-0005-0000-0000-00009A000000}"/>
    <cellStyle name="_Currency_App 5(v) AFS Reserve 3" xfId="991" xr:uid="{00000000-0005-0000-0000-00009B000000}"/>
    <cellStyle name="_Currency_App 8(iii) Nostro v Swaps" xfId="992" xr:uid="{00000000-0005-0000-0000-00009C000000}"/>
    <cellStyle name="_Currency_App 8(iii) Nostro v Swaps 2" xfId="993" xr:uid="{00000000-0005-0000-0000-00009D000000}"/>
    <cellStyle name="_Currency_App 8(iii) Nostro v Swaps 2 2" xfId="994" xr:uid="{00000000-0005-0000-0000-00009E000000}"/>
    <cellStyle name="_Currency_App 8(iii) Nostro v Swaps 3" xfId="995" xr:uid="{00000000-0005-0000-0000-00009F000000}"/>
    <cellStyle name="_CurrencySpace" xfId="996" xr:uid="{00000000-0005-0000-0000-0000A0000000}"/>
    <cellStyle name="_CurrencySpace 2" xfId="997" xr:uid="{00000000-0005-0000-0000-0000A1000000}"/>
    <cellStyle name="_CurrencySpace 2 2" xfId="998" xr:uid="{00000000-0005-0000-0000-0000A2000000}"/>
    <cellStyle name="_CurrencySpace 2 3" xfId="999" xr:uid="{00000000-0005-0000-0000-0000A3000000}"/>
    <cellStyle name="_CurrencySpace 3" xfId="1000" xr:uid="{00000000-0005-0000-0000-0000A4000000}"/>
    <cellStyle name="_CurrencySpace 4" xfId="1001" xr:uid="{00000000-0005-0000-0000-0000A5000000}"/>
    <cellStyle name="_DAILY0306" xfId="1002" xr:uid="{00000000-0005-0000-0000-0000A6000000}"/>
    <cellStyle name="_DAILY0306 2" xfId="1003" xr:uid="{00000000-0005-0000-0000-0000A7000000}"/>
    <cellStyle name="_DAILY0306 2 2" xfId="1004" xr:uid="{00000000-0005-0000-0000-0000A8000000}"/>
    <cellStyle name="_DAILY0306 3" xfId="1005" xr:uid="{00000000-0005-0000-0000-0000A9000000}"/>
    <cellStyle name="_Dpn Forecast 2008-2010 (14-Dec-07)" xfId="396" xr:uid="{00000000-0005-0000-0000-0000AA000000}"/>
    <cellStyle name="_Dpn Forecast 2008-2010 (14-Dec-07)_20110317 Guarantee Data sheet with CDS Expected Losses" xfId="397" xr:uid="{00000000-0005-0000-0000-0000AB000000}"/>
    <cellStyle name="_Fair Value schedule" xfId="398" xr:uid="{00000000-0005-0000-0000-0000AC000000}"/>
    <cellStyle name="_Fair Value schedule_20110317 Guarantee Data sheet with CDS Expected Losses" xfId="399" xr:uid="{00000000-0005-0000-0000-0000AD000000}"/>
    <cellStyle name="_FCAST" xfId="400" xr:uid="{00000000-0005-0000-0000-0000AE000000}"/>
    <cellStyle name="_FPS Options High Level Costing 23rd Aug 06" xfId="401" xr:uid="{00000000-0005-0000-0000-0000AF000000}"/>
    <cellStyle name="_HMT expl text summary Tables" xfId="402" xr:uid="{00000000-0005-0000-0000-0000B0000000}"/>
    <cellStyle name="_HOD Gosforth_current" xfId="403" xr:uid="{00000000-0005-0000-0000-0000B1000000}"/>
    <cellStyle name="_IMBE P0 10-11 profiles" xfId="404" xr:uid="{00000000-0005-0000-0000-0000B2000000}"/>
    <cellStyle name="_IT HOD Rainton - Tower Cost Update 5th April 2007 (Revised) V3" xfId="405" xr:uid="{00000000-0005-0000-0000-0000B3000000}"/>
    <cellStyle name="_IT HOD Rainton - Tower Cost Update 5th April 2007 (Revised) V3_20110317 Guarantee Data sheet with CDS Expected Losses" xfId="406" xr:uid="{00000000-0005-0000-0000-0000B4000000}"/>
    <cellStyle name="_Ldn Totals" xfId="1006" xr:uid="{00000000-0005-0000-0000-0000B5000000}"/>
    <cellStyle name="_Ldn Totals 2" xfId="1007" xr:uid="{00000000-0005-0000-0000-0000B6000000}"/>
    <cellStyle name="_Ldn Totals 2 2" xfId="1008" xr:uid="{00000000-0005-0000-0000-0000B7000000}"/>
    <cellStyle name="_Ldn Totals 3" xfId="1009" xr:uid="{00000000-0005-0000-0000-0000B8000000}"/>
    <cellStyle name="_libor0306" xfId="1010" xr:uid="{00000000-0005-0000-0000-0000B9000000}"/>
    <cellStyle name="_libor0306 2" xfId="1011" xr:uid="{00000000-0005-0000-0000-0000BA000000}"/>
    <cellStyle name="_libor0306 2 2" xfId="1012" xr:uid="{00000000-0005-0000-0000-0000BB000000}"/>
    <cellStyle name="_libor0306 3" xfId="1013" xr:uid="{00000000-0005-0000-0000-0000BC000000}"/>
    <cellStyle name="_Multiple" xfId="1014" xr:uid="{00000000-0005-0000-0000-0000BD000000}"/>
    <cellStyle name="_Multiple 2" xfId="1015" xr:uid="{00000000-0005-0000-0000-0000BE000000}"/>
    <cellStyle name="_Multiple 2 2" xfId="1016" xr:uid="{00000000-0005-0000-0000-0000BF000000}"/>
    <cellStyle name="_Multiple 3" xfId="1017" xr:uid="{00000000-0005-0000-0000-0000C0000000}"/>
    <cellStyle name="_MultipleSpace" xfId="1018" xr:uid="{00000000-0005-0000-0000-0000C1000000}"/>
    <cellStyle name="_MultipleSpace 2" xfId="1019" xr:uid="{00000000-0005-0000-0000-0000C2000000}"/>
    <cellStyle name="_MultipleSpace 2 2" xfId="1020" xr:uid="{00000000-0005-0000-0000-0000C3000000}"/>
    <cellStyle name="_MultipleSpace 3" xfId="1021" xr:uid="{00000000-0005-0000-0000-0000C4000000}"/>
    <cellStyle name="_P&amp;L by Product - Comment here" xfId="1022" xr:uid="{00000000-0005-0000-0000-0000C5000000}"/>
    <cellStyle name="_P&amp;L by Product - Comment here 2" xfId="1023" xr:uid="{00000000-0005-0000-0000-0000C6000000}"/>
    <cellStyle name="_P&amp;L by Product - Comment here 2 2" xfId="1024" xr:uid="{00000000-0005-0000-0000-0000C7000000}"/>
    <cellStyle name="_P&amp;L by Product - Comment here 3" xfId="1025" xr:uid="{00000000-0005-0000-0000-0000C8000000}"/>
    <cellStyle name="_P11) Apr 10 IMBE workbook" xfId="407" xr:uid="{00000000-0005-0000-0000-0000C9000000}"/>
    <cellStyle name="_P12) May 10 (prov outturn) IMBE workbook" xfId="408" xr:uid="{00000000-0005-0000-0000-0000CA000000}"/>
    <cellStyle name="_PBR 2009_NATIONAL ACCOUNTS ADJUSTMENTS" xfId="1026" xr:uid="{00000000-0005-0000-0000-0000CB000000}"/>
    <cellStyle name="_Percent" xfId="1027" xr:uid="{00000000-0005-0000-0000-0000CC000000}"/>
    <cellStyle name="_Percent 2" xfId="1028" xr:uid="{00000000-0005-0000-0000-0000CD000000}"/>
    <cellStyle name="_Percent 2 2" xfId="1029" xr:uid="{00000000-0005-0000-0000-0000CE000000}"/>
    <cellStyle name="_Percent 3" xfId="1030" xr:uid="{00000000-0005-0000-0000-0000CF000000}"/>
    <cellStyle name="_PercentSpace" xfId="1031" xr:uid="{00000000-0005-0000-0000-0000D0000000}"/>
    <cellStyle name="_PercentSpace 2" xfId="1032" xr:uid="{00000000-0005-0000-0000-0000D1000000}"/>
    <cellStyle name="_PercentSpace 2 2" xfId="1033" xr:uid="{00000000-0005-0000-0000-0000D2000000}"/>
    <cellStyle name="_PercentSpace 3" xfId="1034" xr:uid="{00000000-0005-0000-0000-0000D3000000}"/>
    <cellStyle name="_Project Details Report Aug v0.12" xfId="409" xr:uid="{00000000-0005-0000-0000-0000D4000000}"/>
    <cellStyle name="_RB_Update_current" xfId="410" xr:uid="{00000000-0005-0000-0000-0000D5000000}"/>
    <cellStyle name="_RB_Update_current (SCA draft)PH review" xfId="411" xr:uid="{00000000-0005-0000-0000-0000D6000000}"/>
    <cellStyle name="_RB_Update_current (SCA draft)PH review_20110317 Guarantee Data sheet with CDS Expected Losses" xfId="412" xr:uid="{00000000-0005-0000-0000-0000D7000000}"/>
    <cellStyle name="_RB_Update_current (SCA draft)revised" xfId="413" xr:uid="{00000000-0005-0000-0000-0000D8000000}"/>
    <cellStyle name="_RB_Update_current (SCA draft)revised_20110317 Guarantee Data sheet with CDS Expected Losses" xfId="414" xr:uid="{00000000-0005-0000-0000-0000D9000000}"/>
    <cellStyle name="_RB_Update_current_20110317 Guarantee Data sheet with CDS Expected Losses" xfId="415" xr:uid="{00000000-0005-0000-0000-0000DA000000}"/>
    <cellStyle name="_Sample change log v0 2" xfId="416" xr:uid="{00000000-0005-0000-0000-0000DB000000}"/>
    <cellStyle name="_Sample change log v0 2_20110317 Guarantee Data sheet with CDS Expected Losses" xfId="417" xr:uid="{00000000-0005-0000-0000-0000DC000000}"/>
    <cellStyle name="_Sheet1" xfId="1035" xr:uid="{00000000-0005-0000-0000-0000DD000000}"/>
    <cellStyle name="_Sheet1 2" xfId="1036" xr:uid="{00000000-0005-0000-0000-0000DE000000}"/>
    <cellStyle name="_Sheet1 2 2" xfId="1037" xr:uid="{00000000-0005-0000-0000-0000DF000000}"/>
    <cellStyle name="_Sheet1 3" xfId="1038" xr:uid="{00000000-0005-0000-0000-0000E0000000}"/>
    <cellStyle name="_Sheet2" xfId="1039" xr:uid="{00000000-0005-0000-0000-0000E1000000}"/>
    <cellStyle name="_Sheet2 2" xfId="1040" xr:uid="{00000000-0005-0000-0000-0000E2000000}"/>
    <cellStyle name="_Sheet2 2 2" xfId="1041" xr:uid="{00000000-0005-0000-0000-0000E3000000}"/>
    <cellStyle name="_Sheet2 3" xfId="1042" xr:uid="{00000000-0005-0000-0000-0000E4000000}"/>
    <cellStyle name="_SHSUPP09" xfId="1043" xr:uid="{00000000-0005-0000-0000-0000E5000000}"/>
    <cellStyle name="_SHSUPP09 2" xfId="1044" xr:uid="{00000000-0005-0000-0000-0000E6000000}"/>
    <cellStyle name="_SHSUPP09 2 2" xfId="1045" xr:uid="{00000000-0005-0000-0000-0000E7000000}"/>
    <cellStyle name="_SHSUPP09 3" xfId="1046" xr:uid="{00000000-0005-0000-0000-0000E8000000}"/>
    <cellStyle name="_SHSUPP10" xfId="1047" xr:uid="{00000000-0005-0000-0000-0000E9000000}"/>
    <cellStyle name="_SHSUPP10 2" xfId="1048" xr:uid="{00000000-0005-0000-0000-0000EA000000}"/>
    <cellStyle name="_SHSUPP10 2 2" xfId="1049" xr:uid="{00000000-0005-0000-0000-0000EB000000}"/>
    <cellStyle name="_SHSUPP10 3" xfId="1050" xr:uid="{00000000-0005-0000-0000-0000EC000000}"/>
    <cellStyle name="_Stratford accrual-GMIS-0207" xfId="1051" xr:uid="{00000000-0005-0000-0000-0000ED000000}"/>
    <cellStyle name="_Stratford accrual-GMIS-0207 2" xfId="1052" xr:uid="{00000000-0005-0000-0000-0000EE000000}"/>
    <cellStyle name="_Stratford accrual-GMIS-0207 2 2" xfId="1053" xr:uid="{00000000-0005-0000-0000-0000EF000000}"/>
    <cellStyle name="_Stratford accrual-GMIS-0207 3" xfId="1054" xr:uid="{00000000-0005-0000-0000-0000F0000000}"/>
    <cellStyle name="_Stratford accrual-GMIS-0806" xfId="1055" xr:uid="{00000000-0005-0000-0000-0000F1000000}"/>
    <cellStyle name="_Stratford accrual-GMIS-0806 2" xfId="1056" xr:uid="{00000000-0005-0000-0000-0000F2000000}"/>
    <cellStyle name="_Stratford accrual-GMIS-0806 2 2" xfId="1057" xr:uid="{00000000-0005-0000-0000-0000F3000000}"/>
    <cellStyle name="_Stratford accrual-GMIS-0806 3" xfId="1058" xr:uid="{00000000-0005-0000-0000-0000F4000000}"/>
    <cellStyle name="_Stratford accrual-GMIS-1206" xfId="1059" xr:uid="{00000000-0005-0000-0000-0000F5000000}"/>
    <cellStyle name="_Stratford accrual-GMIS-1206 2" xfId="1060" xr:uid="{00000000-0005-0000-0000-0000F6000000}"/>
    <cellStyle name="_Stratford accrual-GMIS-1206 2 2" xfId="1061" xr:uid="{00000000-0005-0000-0000-0000F7000000}"/>
    <cellStyle name="_Stratford accrual-GMIS-1206 3" xfId="1062" xr:uid="{00000000-0005-0000-0000-0000F8000000}"/>
    <cellStyle name="_Sub debt extension discount table 31 1 11 v2" xfId="418" xr:uid="{00000000-0005-0000-0000-0000F9000000}"/>
    <cellStyle name="_sub debt int" xfId="419" xr:uid="{00000000-0005-0000-0000-0000FA000000}"/>
    <cellStyle name="_sub debt int_20110317 Guarantee Data sheet with CDS Expected Losses" xfId="420" xr:uid="{00000000-0005-0000-0000-0000FB000000}"/>
    <cellStyle name="_TableHead" xfId="26" xr:uid="{00000000-0005-0000-0000-0000FC000000}"/>
    <cellStyle name="_Tailor Analysis 1.11 (1 Dec take up rates)" xfId="421" xr:uid="{00000000-0005-0000-0000-0000FD000000}"/>
    <cellStyle name="_Welfare cap - Current SPA" xfId="422" xr:uid="{00000000-0005-0000-0000-0000FE000000}"/>
    <cellStyle name="_Welfare cap workings v1" xfId="423" xr:uid="{00000000-0005-0000-0000-0000FF000000}"/>
    <cellStyle name="=C:\WINNT\SYSTEM32\COMMAND.COM" xfId="424" xr:uid="{00000000-0005-0000-0000-000000010000}"/>
    <cellStyle name="=C:\WINNT35\SYSTEM32\COMMAND.COM" xfId="1063" xr:uid="{00000000-0005-0000-0000-000001010000}"/>
    <cellStyle name="=C:\WINNT35\SYSTEM32\COMMAND.COM 2" xfId="1064" xr:uid="{00000000-0005-0000-0000-000002010000}"/>
    <cellStyle name="=C:\WINNT35\SYSTEM32\COMMAND.COM 2 2" xfId="1065" xr:uid="{00000000-0005-0000-0000-000003010000}"/>
    <cellStyle name="=C:\WINNT35\SYSTEM32\COMMAND.COM 3" xfId="1066" xr:uid="{00000000-0005-0000-0000-000004010000}"/>
    <cellStyle name="•W€_NewOriginal100" xfId="1067" xr:uid="{00000000-0005-0000-0000-000005010000}"/>
    <cellStyle name="æØè [0.00]_INTALL200110" xfId="1068" xr:uid="{00000000-0005-0000-0000-000006010000}"/>
    <cellStyle name="W_INTALL200110" xfId="1069" xr:uid="{00000000-0005-0000-0000-000007010000}"/>
    <cellStyle name="1. Number" xfId="1070" xr:uid="{00000000-0005-0000-0000-000008010000}"/>
    <cellStyle name="10pt Gen bold" xfId="1071" xr:uid="{00000000-0005-0000-0000-000009010000}"/>
    <cellStyle name="10pt Gen bold 2" xfId="1072" xr:uid="{00000000-0005-0000-0000-00000A010000}"/>
    <cellStyle name="10pt Gen bold 2 2" xfId="1073" xr:uid="{00000000-0005-0000-0000-00000B010000}"/>
    <cellStyle name="10pt Gen bold 2 2 2" xfId="1074" xr:uid="{00000000-0005-0000-0000-00000C010000}"/>
    <cellStyle name="10pt Geneva" xfId="1075" xr:uid="{00000000-0005-0000-0000-00000D010000}"/>
    <cellStyle name="1dp" xfId="27" xr:uid="{00000000-0005-0000-0000-00000E010000}"/>
    <cellStyle name="1dp 2" xfId="28" xr:uid="{00000000-0005-0000-0000-00000F010000}"/>
    <cellStyle name="1dp 2 2" xfId="426" xr:uid="{00000000-0005-0000-0000-000010010000}"/>
    <cellStyle name="1dp 3" xfId="425" xr:uid="{00000000-0005-0000-0000-000011010000}"/>
    <cellStyle name="2. GBP" xfId="1076" xr:uid="{00000000-0005-0000-0000-000012010000}"/>
    <cellStyle name="20% - Accent1 2" xfId="30" xr:uid="{00000000-0005-0000-0000-000013010000}"/>
    <cellStyle name="20% - Accent1 3" xfId="427" xr:uid="{00000000-0005-0000-0000-000014010000}"/>
    <cellStyle name="20% - Accent1 3 2" xfId="1077" xr:uid="{00000000-0005-0000-0000-000015010000}"/>
    <cellStyle name="20% - Accent1 3 2 2" xfId="1078" xr:uid="{00000000-0005-0000-0000-000016010000}"/>
    <cellStyle name="20% - Accent1 3 2 2 2" xfId="1079" xr:uid="{00000000-0005-0000-0000-000017010000}"/>
    <cellStyle name="20% - Accent1 3 2 2_a.Data" xfId="1080" xr:uid="{00000000-0005-0000-0000-000018010000}"/>
    <cellStyle name="20% - Accent1 3 2 3" xfId="1081" xr:uid="{00000000-0005-0000-0000-000019010000}"/>
    <cellStyle name="20% - Accent1 3 2_a.Data" xfId="1082" xr:uid="{00000000-0005-0000-0000-00001A010000}"/>
    <cellStyle name="20% - Accent1 3 3" xfId="1083" xr:uid="{00000000-0005-0000-0000-00001B010000}"/>
    <cellStyle name="20% - Accent1 3 3 2" xfId="1084" xr:uid="{00000000-0005-0000-0000-00001C010000}"/>
    <cellStyle name="20% - Accent1 3 3_a.Data" xfId="1085" xr:uid="{00000000-0005-0000-0000-00001D010000}"/>
    <cellStyle name="20% - Accent1 3 4" xfId="1086" xr:uid="{00000000-0005-0000-0000-00001E010000}"/>
    <cellStyle name="20% - Accent1 3_a.Data" xfId="1087" xr:uid="{00000000-0005-0000-0000-00001F010000}"/>
    <cellStyle name="20% - Accent1 4" xfId="29" xr:uid="{00000000-0005-0000-0000-000020010000}"/>
    <cellStyle name="20% - Accent1 4 2" xfId="1088" xr:uid="{00000000-0005-0000-0000-000021010000}"/>
    <cellStyle name="20% - Accent1 4 2 2" xfId="1089" xr:uid="{00000000-0005-0000-0000-000022010000}"/>
    <cellStyle name="20% - Accent1 4 2_a.Data" xfId="1090" xr:uid="{00000000-0005-0000-0000-000023010000}"/>
    <cellStyle name="20% - Accent1 4 3" xfId="1091" xr:uid="{00000000-0005-0000-0000-000024010000}"/>
    <cellStyle name="20% - Accent1 4_a.Data" xfId="1092" xr:uid="{00000000-0005-0000-0000-000025010000}"/>
    <cellStyle name="20% - Accent1 5" xfId="1093" xr:uid="{00000000-0005-0000-0000-000026010000}"/>
    <cellStyle name="20% - Accent1 5 2" xfId="1094" xr:uid="{00000000-0005-0000-0000-000027010000}"/>
    <cellStyle name="20% - Accent1 5_a.Data" xfId="1095" xr:uid="{00000000-0005-0000-0000-000028010000}"/>
    <cellStyle name="20% - Accent1 6" xfId="1096" xr:uid="{00000000-0005-0000-0000-000029010000}"/>
    <cellStyle name="20% - Accent2 2" xfId="32" xr:uid="{00000000-0005-0000-0000-00002A010000}"/>
    <cellStyle name="20% - Accent2 3" xfId="428" xr:uid="{00000000-0005-0000-0000-00002B010000}"/>
    <cellStyle name="20% - Accent2 3 2" xfId="1097" xr:uid="{00000000-0005-0000-0000-00002C010000}"/>
    <cellStyle name="20% - Accent2 3 2 2" xfId="1098" xr:uid="{00000000-0005-0000-0000-00002D010000}"/>
    <cellStyle name="20% - Accent2 3 2 2 2" xfId="1099" xr:uid="{00000000-0005-0000-0000-00002E010000}"/>
    <cellStyle name="20% - Accent2 3 2 2_a.Data" xfId="1100" xr:uid="{00000000-0005-0000-0000-00002F010000}"/>
    <cellStyle name="20% - Accent2 3 2 3" xfId="1101" xr:uid="{00000000-0005-0000-0000-000030010000}"/>
    <cellStyle name="20% - Accent2 3 2_a.Data" xfId="1102" xr:uid="{00000000-0005-0000-0000-000031010000}"/>
    <cellStyle name="20% - Accent2 3 3" xfId="1103" xr:uid="{00000000-0005-0000-0000-000032010000}"/>
    <cellStyle name="20% - Accent2 3 3 2" xfId="1104" xr:uid="{00000000-0005-0000-0000-000033010000}"/>
    <cellStyle name="20% - Accent2 3 3_a.Data" xfId="1105" xr:uid="{00000000-0005-0000-0000-000034010000}"/>
    <cellStyle name="20% - Accent2 3 4" xfId="1106" xr:uid="{00000000-0005-0000-0000-000035010000}"/>
    <cellStyle name="20% - Accent2 3_a.Data" xfId="1107" xr:uid="{00000000-0005-0000-0000-000036010000}"/>
    <cellStyle name="20% - Accent2 4" xfId="31" xr:uid="{00000000-0005-0000-0000-000037010000}"/>
    <cellStyle name="20% - Accent2 4 2" xfId="1108" xr:uid="{00000000-0005-0000-0000-000038010000}"/>
    <cellStyle name="20% - Accent2 4 2 2" xfId="1109" xr:uid="{00000000-0005-0000-0000-000039010000}"/>
    <cellStyle name="20% - Accent2 4 2_a.Data" xfId="1110" xr:uid="{00000000-0005-0000-0000-00003A010000}"/>
    <cellStyle name="20% - Accent2 4 3" xfId="1111" xr:uid="{00000000-0005-0000-0000-00003B010000}"/>
    <cellStyle name="20% - Accent2 4_a.Data" xfId="1112" xr:uid="{00000000-0005-0000-0000-00003C010000}"/>
    <cellStyle name="20% - Accent2 5" xfId="1113" xr:uid="{00000000-0005-0000-0000-00003D010000}"/>
    <cellStyle name="20% - Accent2 5 2" xfId="1114" xr:uid="{00000000-0005-0000-0000-00003E010000}"/>
    <cellStyle name="20% - Accent2 5_a.Data" xfId="1115" xr:uid="{00000000-0005-0000-0000-00003F010000}"/>
    <cellStyle name="20% - Accent2 6" xfId="1116" xr:uid="{00000000-0005-0000-0000-000040010000}"/>
    <cellStyle name="20% - Accent3 2" xfId="34" xr:uid="{00000000-0005-0000-0000-000041010000}"/>
    <cellStyle name="20% - Accent3 3" xfId="429" xr:uid="{00000000-0005-0000-0000-000042010000}"/>
    <cellStyle name="20% - Accent3 3 2" xfId="1117" xr:uid="{00000000-0005-0000-0000-000043010000}"/>
    <cellStyle name="20% - Accent3 3 2 2" xfId="1118" xr:uid="{00000000-0005-0000-0000-000044010000}"/>
    <cellStyle name="20% - Accent3 3 2 2 2" xfId="1119" xr:uid="{00000000-0005-0000-0000-000045010000}"/>
    <cellStyle name="20% - Accent3 3 2 2_a.Data" xfId="1120" xr:uid="{00000000-0005-0000-0000-000046010000}"/>
    <cellStyle name="20% - Accent3 3 2 3" xfId="1121" xr:uid="{00000000-0005-0000-0000-000047010000}"/>
    <cellStyle name="20% - Accent3 3 2_a.Data" xfId="1122" xr:uid="{00000000-0005-0000-0000-000048010000}"/>
    <cellStyle name="20% - Accent3 3 3" xfId="1123" xr:uid="{00000000-0005-0000-0000-000049010000}"/>
    <cellStyle name="20% - Accent3 3 3 2" xfId="1124" xr:uid="{00000000-0005-0000-0000-00004A010000}"/>
    <cellStyle name="20% - Accent3 3 3_a.Data" xfId="1125" xr:uid="{00000000-0005-0000-0000-00004B010000}"/>
    <cellStyle name="20% - Accent3 3 4" xfId="1126" xr:uid="{00000000-0005-0000-0000-00004C010000}"/>
    <cellStyle name="20% - Accent3 3_a.Data" xfId="1127" xr:uid="{00000000-0005-0000-0000-00004D010000}"/>
    <cellStyle name="20% - Accent3 4" xfId="33" xr:uid="{00000000-0005-0000-0000-00004E010000}"/>
    <cellStyle name="20% - Accent3 4 2" xfId="1128" xr:uid="{00000000-0005-0000-0000-00004F010000}"/>
    <cellStyle name="20% - Accent3 4 2 2" xfId="1129" xr:uid="{00000000-0005-0000-0000-000050010000}"/>
    <cellStyle name="20% - Accent3 4 2_a.Data" xfId="1130" xr:uid="{00000000-0005-0000-0000-000051010000}"/>
    <cellStyle name="20% - Accent3 4 3" xfId="1131" xr:uid="{00000000-0005-0000-0000-000052010000}"/>
    <cellStyle name="20% - Accent3 4_a.Data" xfId="1132" xr:uid="{00000000-0005-0000-0000-000053010000}"/>
    <cellStyle name="20% - Accent3 5" xfId="1133" xr:uid="{00000000-0005-0000-0000-000054010000}"/>
    <cellStyle name="20% - Accent3 5 2" xfId="1134" xr:uid="{00000000-0005-0000-0000-000055010000}"/>
    <cellStyle name="20% - Accent3 5_a.Data" xfId="1135" xr:uid="{00000000-0005-0000-0000-000056010000}"/>
    <cellStyle name="20% - Accent3 6" xfId="1136" xr:uid="{00000000-0005-0000-0000-000057010000}"/>
    <cellStyle name="20% - Accent4 2" xfId="36" xr:uid="{00000000-0005-0000-0000-000058010000}"/>
    <cellStyle name="20% - Accent4 3" xfId="430" xr:uid="{00000000-0005-0000-0000-000059010000}"/>
    <cellStyle name="20% - Accent4 3 2" xfId="1137" xr:uid="{00000000-0005-0000-0000-00005A010000}"/>
    <cellStyle name="20% - Accent4 3 2 2" xfId="1138" xr:uid="{00000000-0005-0000-0000-00005B010000}"/>
    <cellStyle name="20% - Accent4 3 2 2 2" xfId="1139" xr:uid="{00000000-0005-0000-0000-00005C010000}"/>
    <cellStyle name="20% - Accent4 3 2 2_a.Data" xfId="1140" xr:uid="{00000000-0005-0000-0000-00005D010000}"/>
    <cellStyle name="20% - Accent4 3 2 3" xfId="1141" xr:uid="{00000000-0005-0000-0000-00005E010000}"/>
    <cellStyle name="20% - Accent4 3 2_a.Data" xfId="1142" xr:uid="{00000000-0005-0000-0000-00005F010000}"/>
    <cellStyle name="20% - Accent4 3 3" xfId="1143" xr:uid="{00000000-0005-0000-0000-000060010000}"/>
    <cellStyle name="20% - Accent4 3 3 2" xfId="1144" xr:uid="{00000000-0005-0000-0000-000061010000}"/>
    <cellStyle name="20% - Accent4 3 3_a.Data" xfId="1145" xr:uid="{00000000-0005-0000-0000-000062010000}"/>
    <cellStyle name="20% - Accent4 3 4" xfId="1146" xr:uid="{00000000-0005-0000-0000-000063010000}"/>
    <cellStyle name="20% - Accent4 3_a.Data" xfId="1147" xr:uid="{00000000-0005-0000-0000-000064010000}"/>
    <cellStyle name="20% - Accent4 4" xfId="35" xr:uid="{00000000-0005-0000-0000-000065010000}"/>
    <cellStyle name="20% - Accent4 4 2" xfId="1148" xr:uid="{00000000-0005-0000-0000-000066010000}"/>
    <cellStyle name="20% - Accent4 4 2 2" xfId="1149" xr:uid="{00000000-0005-0000-0000-000067010000}"/>
    <cellStyle name="20% - Accent4 4 2_a.Data" xfId="1150" xr:uid="{00000000-0005-0000-0000-000068010000}"/>
    <cellStyle name="20% - Accent4 4 3" xfId="1151" xr:uid="{00000000-0005-0000-0000-000069010000}"/>
    <cellStyle name="20% - Accent4 4_a.Data" xfId="1152" xr:uid="{00000000-0005-0000-0000-00006A010000}"/>
    <cellStyle name="20% - Accent4 5" xfId="1153" xr:uid="{00000000-0005-0000-0000-00006B010000}"/>
    <cellStyle name="20% - Accent4 5 2" xfId="1154" xr:uid="{00000000-0005-0000-0000-00006C010000}"/>
    <cellStyle name="20% - Accent4 5_a.Data" xfId="1155" xr:uid="{00000000-0005-0000-0000-00006D010000}"/>
    <cellStyle name="20% - Accent4 6" xfId="1156" xr:uid="{00000000-0005-0000-0000-00006E010000}"/>
    <cellStyle name="20% - Accent5 2" xfId="38" xr:uid="{00000000-0005-0000-0000-00006F010000}"/>
    <cellStyle name="20% - Accent5 3" xfId="37" xr:uid="{00000000-0005-0000-0000-000070010000}"/>
    <cellStyle name="20% - Accent5 3 2" xfId="1157" xr:uid="{00000000-0005-0000-0000-000071010000}"/>
    <cellStyle name="20% - Accent5 3 2 2" xfId="1158" xr:uid="{00000000-0005-0000-0000-000072010000}"/>
    <cellStyle name="20% - Accent5 3 2 2 2" xfId="1159" xr:uid="{00000000-0005-0000-0000-000073010000}"/>
    <cellStyle name="20% - Accent5 3 2 2_a.Data" xfId="1160" xr:uid="{00000000-0005-0000-0000-000074010000}"/>
    <cellStyle name="20% - Accent5 3 2 3" xfId="1161" xr:uid="{00000000-0005-0000-0000-000075010000}"/>
    <cellStyle name="20% - Accent5 3 2_a.Data" xfId="1162" xr:uid="{00000000-0005-0000-0000-000076010000}"/>
    <cellStyle name="20% - Accent5 3 3" xfId="1163" xr:uid="{00000000-0005-0000-0000-000077010000}"/>
    <cellStyle name="20% - Accent5 3 3 2" xfId="1164" xr:uid="{00000000-0005-0000-0000-000078010000}"/>
    <cellStyle name="20% - Accent5 3 3_a.Data" xfId="1165" xr:uid="{00000000-0005-0000-0000-000079010000}"/>
    <cellStyle name="20% - Accent5 3 4" xfId="1166" xr:uid="{00000000-0005-0000-0000-00007A010000}"/>
    <cellStyle name="20% - Accent5 3_a.Data" xfId="1167" xr:uid="{00000000-0005-0000-0000-00007B010000}"/>
    <cellStyle name="20% - Accent5 4" xfId="1168" xr:uid="{00000000-0005-0000-0000-00007C010000}"/>
    <cellStyle name="20% - Accent5 4 2" xfId="1169" xr:uid="{00000000-0005-0000-0000-00007D010000}"/>
    <cellStyle name="20% - Accent5 4 2 2" xfId="1170" xr:uid="{00000000-0005-0000-0000-00007E010000}"/>
    <cellStyle name="20% - Accent5 4 2_a.Data" xfId="1171" xr:uid="{00000000-0005-0000-0000-00007F010000}"/>
    <cellStyle name="20% - Accent5 4 3" xfId="1172" xr:uid="{00000000-0005-0000-0000-000080010000}"/>
    <cellStyle name="20% - Accent5 4_a.Data" xfId="1173" xr:uid="{00000000-0005-0000-0000-000081010000}"/>
    <cellStyle name="20% - Accent5 5" xfId="1174" xr:uid="{00000000-0005-0000-0000-000082010000}"/>
    <cellStyle name="20% - Accent5 5 2" xfId="1175" xr:uid="{00000000-0005-0000-0000-000083010000}"/>
    <cellStyle name="20% - Accent5 5_a.Data" xfId="1176" xr:uid="{00000000-0005-0000-0000-000084010000}"/>
    <cellStyle name="20% - Accent5 6" xfId="1177" xr:uid="{00000000-0005-0000-0000-000085010000}"/>
    <cellStyle name="20% - Accent6 2" xfId="40" xr:uid="{00000000-0005-0000-0000-000086010000}"/>
    <cellStyle name="20% - Accent6 3" xfId="431" xr:uid="{00000000-0005-0000-0000-000087010000}"/>
    <cellStyle name="20% - Accent6 3 2" xfId="1178" xr:uid="{00000000-0005-0000-0000-000088010000}"/>
    <cellStyle name="20% - Accent6 3 2 2" xfId="1179" xr:uid="{00000000-0005-0000-0000-000089010000}"/>
    <cellStyle name="20% - Accent6 3 2 2 2" xfId="1180" xr:uid="{00000000-0005-0000-0000-00008A010000}"/>
    <cellStyle name="20% - Accent6 3 2 2_a.Data" xfId="1181" xr:uid="{00000000-0005-0000-0000-00008B010000}"/>
    <cellStyle name="20% - Accent6 3 2 3" xfId="1182" xr:uid="{00000000-0005-0000-0000-00008C010000}"/>
    <cellStyle name="20% - Accent6 3 2_a.Data" xfId="1183" xr:uid="{00000000-0005-0000-0000-00008D010000}"/>
    <cellStyle name="20% - Accent6 3 3" xfId="1184" xr:uid="{00000000-0005-0000-0000-00008E010000}"/>
    <cellStyle name="20% - Accent6 3 3 2" xfId="1185" xr:uid="{00000000-0005-0000-0000-00008F010000}"/>
    <cellStyle name="20% - Accent6 3 3_a.Data" xfId="1186" xr:uid="{00000000-0005-0000-0000-000090010000}"/>
    <cellStyle name="20% - Accent6 3 4" xfId="1187" xr:uid="{00000000-0005-0000-0000-000091010000}"/>
    <cellStyle name="20% - Accent6 3_a.Data" xfId="1188" xr:uid="{00000000-0005-0000-0000-000092010000}"/>
    <cellStyle name="20% - Accent6 4" xfId="39" xr:uid="{00000000-0005-0000-0000-000093010000}"/>
    <cellStyle name="20% - Accent6 4 2" xfId="1189" xr:uid="{00000000-0005-0000-0000-000094010000}"/>
    <cellStyle name="20% - Accent6 4 2 2" xfId="1190" xr:uid="{00000000-0005-0000-0000-000095010000}"/>
    <cellStyle name="20% - Accent6 4 2_a.Data" xfId="1191" xr:uid="{00000000-0005-0000-0000-000096010000}"/>
    <cellStyle name="20% - Accent6 4 3" xfId="1192" xr:uid="{00000000-0005-0000-0000-000097010000}"/>
    <cellStyle name="20% - Accent6 4_a.Data" xfId="1193" xr:uid="{00000000-0005-0000-0000-000098010000}"/>
    <cellStyle name="20% - Accent6 5" xfId="1194" xr:uid="{00000000-0005-0000-0000-000099010000}"/>
    <cellStyle name="20% - Accent6 5 2" xfId="1195" xr:uid="{00000000-0005-0000-0000-00009A010000}"/>
    <cellStyle name="20% - Accent6 5_a.Data" xfId="1196" xr:uid="{00000000-0005-0000-0000-00009B010000}"/>
    <cellStyle name="20% - Accent6 6" xfId="1197" xr:uid="{00000000-0005-0000-0000-00009C010000}"/>
    <cellStyle name="3. Percent" xfId="1198" xr:uid="{00000000-0005-0000-0000-00009D010000}"/>
    <cellStyle name="3dp" xfId="41" xr:uid="{00000000-0005-0000-0000-00009E010000}"/>
    <cellStyle name="3dp 2" xfId="42" xr:uid="{00000000-0005-0000-0000-00009F010000}"/>
    <cellStyle name="3dp 2 2" xfId="433" xr:uid="{00000000-0005-0000-0000-0000A0010000}"/>
    <cellStyle name="3dp 3" xfId="432" xr:uid="{00000000-0005-0000-0000-0000A1010000}"/>
    <cellStyle name="4. Date" xfId="1199" xr:uid="{00000000-0005-0000-0000-0000A2010000}"/>
    <cellStyle name="40% - Accent1 2" xfId="44" xr:uid="{00000000-0005-0000-0000-0000A3010000}"/>
    <cellStyle name="40% - Accent1 3" xfId="434" xr:uid="{00000000-0005-0000-0000-0000A4010000}"/>
    <cellStyle name="40% - Accent1 3 2" xfId="1200" xr:uid="{00000000-0005-0000-0000-0000A5010000}"/>
    <cellStyle name="40% - Accent1 3 2 2" xfId="1201" xr:uid="{00000000-0005-0000-0000-0000A6010000}"/>
    <cellStyle name="40% - Accent1 3 2 2 2" xfId="1202" xr:uid="{00000000-0005-0000-0000-0000A7010000}"/>
    <cellStyle name="40% - Accent1 3 2 2_a.Data" xfId="1203" xr:uid="{00000000-0005-0000-0000-0000A8010000}"/>
    <cellStyle name="40% - Accent1 3 2 3" xfId="1204" xr:uid="{00000000-0005-0000-0000-0000A9010000}"/>
    <cellStyle name="40% - Accent1 3 2_a.Data" xfId="1205" xr:uid="{00000000-0005-0000-0000-0000AA010000}"/>
    <cellStyle name="40% - Accent1 3 3" xfId="1206" xr:uid="{00000000-0005-0000-0000-0000AB010000}"/>
    <cellStyle name="40% - Accent1 3 3 2" xfId="1207" xr:uid="{00000000-0005-0000-0000-0000AC010000}"/>
    <cellStyle name="40% - Accent1 3 3_a.Data" xfId="1208" xr:uid="{00000000-0005-0000-0000-0000AD010000}"/>
    <cellStyle name="40% - Accent1 3 4" xfId="1209" xr:uid="{00000000-0005-0000-0000-0000AE010000}"/>
    <cellStyle name="40% - Accent1 3_a.Data" xfId="1210" xr:uid="{00000000-0005-0000-0000-0000AF010000}"/>
    <cellStyle name="40% - Accent1 4" xfId="43" xr:uid="{00000000-0005-0000-0000-0000B0010000}"/>
    <cellStyle name="40% - Accent1 4 2" xfId="1211" xr:uid="{00000000-0005-0000-0000-0000B1010000}"/>
    <cellStyle name="40% - Accent1 4 2 2" xfId="1212" xr:uid="{00000000-0005-0000-0000-0000B2010000}"/>
    <cellStyle name="40% - Accent1 4 2_a.Data" xfId="1213" xr:uid="{00000000-0005-0000-0000-0000B3010000}"/>
    <cellStyle name="40% - Accent1 4 3" xfId="1214" xr:uid="{00000000-0005-0000-0000-0000B4010000}"/>
    <cellStyle name="40% - Accent1 4_a.Data" xfId="1215" xr:uid="{00000000-0005-0000-0000-0000B5010000}"/>
    <cellStyle name="40% - Accent1 5" xfId="1216" xr:uid="{00000000-0005-0000-0000-0000B6010000}"/>
    <cellStyle name="40% - Accent1 5 2" xfId="1217" xr:uid="{00000000-0005-0000-0000-0000B7010000}"/>
    <cellStyle name="40% - Accent1 5_a.Data" xfId="1218" xr:uid="{00000000-0005-0000-0000-0000B8010000}"/>
    <cellStyle name="40% - Accent1 6" xfId="1219" xr:uid="{00000000-0005-0000-0000-0000B9010000}"/>
    <cellStyle name="40% - Accent2 2" xfId="46" xr:uid="{00000000-0005-0000-0000-0000BA010000}"/>
    <cellStyle name="40% - Accent2 3" xfId="45" xr:uid="{00000000-0005-0000-0000-0000BB010000}"/>
    <cellStyle name="40% - Accent2 3 2" xfId="1220" xr:uid="{00000000-0005-0000-0000-0000BC010000}"/>
    <cellStyle name="40% - Accent2 3 2 2" xfId="1221" xr:uid="{00000000-0005-0000-0000-0000BD010000}"/>
    <cellStyle name="40% - Accent2 3 2 2 2" xfId="1222" xr:uid="{00000000-0005-0000-0000-0000BE010000}"/>
    <cellStyle name="40% - Accent2 3 2 2_a.Data" xfId="1223" xr:uid="{00000000-0005-0000-0000-0000BF010000}"/>
    <cellStyle name="40% - Accent2 3 2 3" xfId="1224" xr:uid="{00000000-0005-0000-0000-0000C0010000}"/>
    <cellStyle name="40% - Accent2 3 2_a.Data" xfId="1225" xr:uid="{00000000-0005-0000-0000-0000C1010000}"/>
    <cellStyle name="40% - Accent2 3 3" xfId="1226" xr:uid="{00000000-0005-0000-0000-0000C2010000}"/>
    <cellStyle name="40% - Accent2 3 3 2" xfId="1227" xr:uid="{00000000-0005-0000-0000-0000C3010000}"/>
    <cellStyle name="40% - Accent2 3 3_a.Data" xfId="1228" xr:uid="{00000000-0005-0000-0000-0000C4010000}"/>
    <cellStyle name="40% - Accent2 3 4" xfId="1229" xr:uid="{00000000-0005-0000-0000-0000C5010000}"/>
    <cellStyle name="40% - Accent2 3_a.Data" xfId="1230" xr:uid="{00000000-0005-0000-0000-0000C6010000}"/>
    <cellStyle name="40% - Accent2 4" xfId="1231" xr:uid="{00000000-0005-0000-0000-0000C7010000}"/>
    <cellStyle name="40% - Accent2 4 2" xfId="1232" xr:uid="{00000000-0005-0000-0000-0000C8010000}"/>
    <cellStyle name="40% - Accent2 4 2 2" xfId="1233" xr:uid="{00000000-0005-0000-0000-0000C9010000}"/>
    <cellStyle name="40% - Accent2 4 2_a.Data" xfId="1234" xr:uid="{00000000-0005-0000-0000-0000CA010000}"/>
    <cellStyle name="40% - Accent2 4 3" xfId="1235" xr:uid="{00000000-0005-0000-0000-0000CB010000}"/>
    <cellStyle name="40% - Accent2 4_a.Data" xfId="1236" xr:uid="{00000000-0005-0000-0000-0000CC010000}"/>
    <cellStyle name="40% - Accent2 5" xfId="1237" xr:uid="{00000000-0005-0000-0000-0000CD010000}"/>
    <cellStyle name="40% - Accent2 5 2" xfId="1238" xr:uid="{00000000-0005-0000-0000-0000CE010000}"/>
    <cellStyle name="40% - Accent2 5_a.Data" xfId="1239" xr:uid="{00000000-0005-0000-0000-0000CF010000}"/>
    <cellStyle name="40% - Accent2 6" xfId="1240" xr:uid="{00000000-0005-0000-0000-0000D0010000}"/>
    <cellStyle name="40% - Accent3 2" xfId="48" xr:uid="{00000000-0005-0000-0000-0000D1010000}"/>
    <cellStyle name="40% - Accent3 3" xfId="435" xr:uid="{00000000-0005-0000-0000-0000D2010000}"/>
    <cellStyle name="40% - Accent3 3 2" xfId="1241" xr:uid="{00000000-0005-0000-0000-0000D3010000}"/>
    <cellStyle name="40% - Accent3 3 2 2" xfId="1242" xr:uid="{00000000-0005-0000-0000-0000D4010000}"/>
    <cellStyle name="40% - Accent3 3 2 2 2" xfId="1243" xr:uid="{00000000-0005-0000-0000-0000D5010000}"/>
    <cellStyle name="40% - Accent3 3 2 2_a.Data" xfId="1244" xr:uid="{00000000-0005-0000-0000-0000D6010000}"/>
    <cellStyle name="40% - Accent3 3 2 3" xfId="1245" xr:uid="{00000000-0005-0000-0000-0000D7010000}"/>
    <cellStyle name="40% - Accent3 3 2_a.Data" xfId="1246" xr:uid="{00000000-0005-0000-0000-0000D8010000}"/>
    <cellStyle name="40% - Accent3 3 3" xfId="1247" xr:uid="{00000000-0005-0000-0000-0000D9010000}"/>
    <cellStyle name="40% - Accent3 3 3 2" xfId="1248" xr:uid="{00000000-0005-0000-0000-0000DA010000}"/>
    <cellStyle name="40% - Accent3 3 3_a.Data" xfId="1249" xr:uid="{00000000-0005-0000-0000-0000DB010000}"/>
    <cellStyle name="40% - Accent3 3 4" xfId="1250" xr:uid="{00000000-0005-0000-0000-0000DC010000}"/>
    <cellStyle name="40% - Accent3 3_a.Data" xfId="1251" xr:uid="{00000000-0005-0000-0000-0000DD010000}"/>
    <cellStyle name="40% - Accent3 4" xfId="47" xr:uid="{00000000-0005-0000-0000-0000DE010000}"/>
    <cellStyle name="40% - Accent3 4 2" xfId="1252" xr:uid="{00000000-0005-0000-0000-0000DF010000}"/>
    <cellStyle name="40% - Accent3 4 2 2" xfId="1253" xr:uid="{00000000-0005-0000-0000-0000E0010000}"/>
    <cellStyle name="40% - Accent3 4 2_a.Data" xfId="1254" xr:uid="{00000000-0005-0000-0000-0000E1010000}"/>
    <cellStyle name="40% - Accent3 4 3" xfId="1255" xr:uid="{00000000-0005-0000-0000-0000E2010000}"/>
    <cellStyle name="40% - Accent3 4_a.Data" xfId="1256" xr:uid="{00000000-0005-0000-0000-0000E3010000}"/>
    <cellStyle name="40% - Accent3 5" xfId="1257" xr:uid="{00000000-0005-0000-0000-0000E4010000}"/>
    <cellStyle name="40% - Accent3 5 2" xfId="1258" xr:uid="{00000000-0005-0000-0000-0000E5010000}"/>
    <cellStyle name="40% - Accent3 5_a.Data" xfId="1259" xr:uid="{00000000-0005-0000-0000-0000E6010000}"/>
    <cellStyle name="40% - Accent3 6" xfId="1260" xr:uid="{00000000-0005-0000-0000-0000E7010000}"/>
    <cellStyle name="40% - Accent4 2" xfId="50" xr:uid="{00000000-0005-0000-0000-0000E8010000}"/>
    <cellStyle name="40% - Accent4 3" xfId="436" xr:uid="{00000000-0005-0000-0000-0000E9010000}"/>
    <cellStyle name="40% - Accent4 3 2" xfId="1261" xr:uid="{00000000-0005-0000-0000-0000EA010000}"/>
    <cellStyle name="40% - Accent4 3 2 2" xfId="1262" xr:uid="{00000000-0005-0000-0000-0000EB010000}"/>
    <cellStyle name="40% - Accent4 3 2 2 2" xfId="1263" xr:uid="{00000000-0005-0000-0000-0000EC010000}"/>
    <cellStyle name="40% - Accent4 3 2 2_a.Data" xfId="1264" xr:uid="{00000000-0005-0000-0000-0000ED010000}"/>
    <cellStyle name="40% - Accent4 3 2 3" xfId="1265" xr:uid="{00000000-0005-0000-0000-0000EE010000}"/>
    <cellStyle name="40% - Accent4 3 2_a.Data" xfId="1266" xr:uid="{00000000-0005-0000-0000-0000EF010000}"/>
    <cellStyle name="40% - Accent4 3 3" xfId="1267" xr:uid="{00000000-0005-0000-0000-0000F0010000}"/>
    <cellStyle name="40% - Accent4 3 3 2" xfId="1268" xr:uid="{00000000-0005-0000-0000-0000F1010000}"/>
    <cellStyle name="40% - Accent4 3 3_a.Data" xfId="1269" xr:uid="{00000000-0005-0000-0000-0000F2010000}"/>
    <cellStyle name="40% - Accent4 3 4" xfId="1270" xr:uid="{00000000-0005-0000-0000-0000F3010000}"/>
    <cellStyle name="40% - Accent4 3_a.Data" xfId="1271" xr:uid="{00000000-0005-0000-0000-0000F4010000}"/>
    <cellStyle name="40% - Accent4 4" xfId="49" xr:uid="{00000000-0005-0000-0000-0000F5010000}"/>
    <cellStyle name="40% - Accent4 4 2" xfId="1272" xr:uid="{00000000-0005-0000-0000-0000F6010000}"/>
    <cellStyle name="40% - Accent4 4 2 2" xfId="1273" xr:uid="{00000000-0005-0000-0000-0000F7010000}"/>
    <cellStyle name="40% - Accent4 4 2_a.Data" xfId="1274" xr:uid="{00000000-0005-0000-0000-0000F8010000}"/>
    <cellStyle name="40% - Accent4 4 3" xfId="1275" xr:uid="{00000000-0005-0000-0000-0000F9010000}"/>
    <cellStyle name="40% - Accent4 4_a.Data" xfId="1276" xr:uid="{00000000-0005-0000-0000-0000FA010000}"/>
    <cellStyle name="40% - Accent4 5" xfId="1277" xr:uid="{00000000-0005-0000-0000-0000FB010000}"/>
    <cellStyle name="40% - Accent4 5 2" xfId="1278" xr:uid="{00000000-0005-0000-0000-0000FC010000}"/>
    <cellStyle name="40% - Accent4 5_a.Data" xfId="1279" xr:uid="{00000000-0005-0000-0000-0000FD010000}"/>
    <cellStyle name="40% - Accent4 6" xfId="1280" xr:uid="{00000000-0005-0000-0000-0000FE010000}"/>
    <cellStyle name="40% - Accent5 2" xfId="52" xr:uid="{00000000-0005-0000-0000-0000FF010000}"/>
    <cellStyle name="40% - Accent5 3" xfId="437" xr:uid="{00000000-0005-0000-0000-000000020000}"/>
    <cellStyle name="40% - Accent5 3 2" xfId="1281" xr:uid="{00000000-0005-0000-0000-000001020000}"/>
    <cellStyle name="40% - Accent5 3 2 2" xfId="1282" xr:uid="{00000000-0005-0000-0000-000002020000}"/>
    <cellStyle name="40% - Accent5 3 2 2 2" xfId="1283" xr:uid="{00000000-0005-0000-0000-000003020000}"/>
    <cellStyle name="40% - Accent5 3 2 2_a.Data" xfId="1284" xr:uid="{00000000-0005-0000-0000-000004020000}"/>
    <cellStyle name="40% - Accent5 3 2 3" xfId="1285" xr:uid="{00000000-0005-0000-0000-000005020000}"/>
    <cellStyle name="40% - Accent5 3 2_a.Data" xfId="1286" xr:uid="{00000000-0005-0000-0000-000006020000}"/>
    <cellStyle name="40% - Accent5 3 3" xfId="1287" xr:uid="{00000000-0005-0000-0000-000007020000}"/>
    <cellStyle name="40% - Accent5 3 3 2" xfId="1288" xr:uid="{00000000-0005-0000-0000-000008020000}"/>
    <cellStyle name="40% - Accent5 3 3_a.Data" xfId="1289" xr:uid="{00000000-0005-0000-0000-000009020000}"/>
    <cellStyle name="40% - Accent5 3 4" xfId="1290" xr:uid="{00000000-0005-0000-0000-00000A020000}"/>
    <cellStyle name="40% - Accent5 3_a.Data" xfId="1291" xr:uid="{00000000-0005-0000-0000-00000B020000}"/>
    <cellStyle name="40% - Accent5 4" xfId="51" xr:uid="{00000000-0005-0000-0000-00000C020000}"/>
    <cellStyle name="40% - Accent5 4 2" xfId="1292" xr:uid="{00000000-0005-0000-0000-00000D020000}"/>
    <cellStyle name="40% - Accent5 4 2 2" xfId="1293" xr:uid="{00000000-0005-0000-0000-00000E020000}"/>
    <cellStyle name="40% - Accent5 4 2_a.Data" xfId="1294" xr:uid="{00000000-0005-0000-0000-00000F020000}"/>
    <cellStyle name="40% - Accent5 4 3" xfId="1295" xr:uid="{00000000-0005-0000-0000-000010020000}"/>
    <cellStyle name="40% - Accent5 4_a.Data" xfId="1296" xr:uid="{00000000-0005-0000-0000-000011020000}"/>
    <cellStyle name="40% - Accent5 5" xfId="1297" xr:uid="{00000000-0005-0000-0000-000012020000}"/>
    <cellStyle name="40% - Accent5 5 2" xfId="1298" xr:uid="{00000000-0005-0000-0000-000013020000}"/>
    <cellStyle name="40% - Accent5 5_a.Data" xfId="1299" xr:uid="{00000000-0005-0000-0000-000014020000}"/>
    <cellStyle name="40% - Accent5 6" xfId="1300" xr:uid="{00000000-0005-0000-0000-000015020000}"/>
    <cellStyle name="40% - Accent6 2" xfId="54" xr:uid="{00000000-0005-0000-0000-000016020000}"/>
    <cellStyle name="40% - Accent6 3" xfId="438" xr:uid="{00000000-0005-0000-0000-000017020000}"/>
    <cellStyle name="40% - Accent6 3 2" xfId="1301" xr:uid="{00000000-0005-0000-0000-000018020000}"/>
    <cellStyle name="40% - Accent6 3 2 2" xfId="1302" xr:uid="{00000000-0005-0000-0000-000019020000}"/>
    <cellStyle name="40% - Accent6 3 2 2 2" xfId="1303" xr:uid="{00000000-0005-0000-0000-00001A020000}"/>
    <cellStyle name="40% - Accent6 3 2 2_a.Data" xfId="1304" xr:uid="{00000000-0005-0000-0000-00001B020000}"/>
    <cellStyle name="40% - Accent6 3 2 3" xfId="1305" xr:uid="{00000000-0005-0000-0000-00001C020000}"/>
    <cellStyle name="40% - Accent6 3 2_a.Data" xfId="1306" xr:uid="{00000000-0005-0000-0000-00001D020000}"/>
    <cellStyle name="40% - Accent6 3 3" xfId="1307" xr:uid="{00000000-0005-0000-0000-00001E020000}"/>
    <cellStyle name="40% - Accent6 3 3 2" xfId="1308" xr:uid="{00000000-0005-0000-0000-00001F020000}"/>
    <cellStyle name="40% - Accent6 3 3_a.Data" xfId="1309" xr:uid="{00000000-0005-0000-0000-000020020000}"/>
    <cellStyle name="40% - Accent6 3 4" xfId="1310" xr:uid="{00000000-0005-0000-0000-000021020000}"/>
    <cellStyle name="40% - Accent6 3_a.Data" xfId="1311" xr:uid="{00000000-0005-0000-0000-000022020000}"/>
    <cellStyle name="40% - Accent6 4" xfId="53" xr:uid="{00000000-0005-0000-0000-000023020000}"/>
    <cellStyle name="40% - Accent6 4 2" xfId="1312" xr:uid="{00000000-0005-0000-0000-000024020000}"/>
    <cellStyle name="40% - Accent6 4 2 2" xfId="1313" xr:uid="{00000000-0005-0000-0000-000025020000}"/>
    <cellStyle name="40% - Accent6 4 2_a.Data" xfId="1314" xr:uid="{00000000-0005-0000-0000-000026020000}"/>
    <cellStyle name="40% - Accent6 4 3" xfId="1315" xr:uid="{00000000-0005-0000-0000-000027020000}"/>
    <cellStyle name="40% - Accent6 4_a.Data" xfId="1316" xr:uid="{00000000-0005-0000-0000-000028020000}"/>
    <cellStyle name="40% - Accent6 5" xfId="1317" xr:uid="{00000000-0005-0000-0000-000029020000}"/>
    <cellStyle name="40% - Accent6 5 2" xfId="1318" xr:uid="{00000000-0005-0000-0000-00002A020000}"/>
    <cellStyle name="40% - Accent6 5_a.Data" xfId="1319" xr:uid="{00000000-0005-0000-0000-00002B020000}"/>
    <cellStyle name="40% - Accent6 6" xfId="1320" xr:uid="{00000000-0005-0000-0000-00002C020000}"/>
    <cellStyle name="4dp" xfId="55" xr:uid="{00000000-0005-0000-0000-00002D020000}"/>
    <cellStyle name="4dp 2" xfId="56" xr:uid="{00000000-0005-0000-0000-00002E020000}"/>
    <cellStyle name="4dp 2 2" xfId="440" xr:uid="{00000000-0005-0000-0000-00002F020000}"/>
    <cellStyle name="4dp 3" xfId="439" xr:uid="{00000000-0005-0000-0000-000030020000}"/>
    <cellStyle name="60% - Accent1 2" xfId="58" xr:uid="{00000000-0005-0000-0000-000031020000}"/>
    <cellStyle name="60% - Accent1 3" xfId="441" xr:uid="{00000000-0005-0000-0000-000032020000}"/>
    <cellStyle name="60% - Accent1 4" xfId="57" xr:uid="{00000000-0005-0000-0000-000033020000}"/>
    <cellStyle name="60% - Accent2 2" xfId="60" xr:uid="{00000000-0005-0000-0000-000034020000}"/>
    <cellStyle name="60% - Accent2 3" xfId="442" xr:uid="{00000000-0005-0000-0000-000035020000}"/>
    <cellStyle name="60% - Accent2 4" xfId="59" xr:uid="{00000000-0005-0000-0000-000036020000}"/>
    <cellStyle name="60% - Accent3 2" xfId="62" xr:uid="{00000000-0005-0000-0000-000037020000}"/>
    <cellStyle name="60% - Accent3 3" xfId="443" xr:uid="{00000000-0005-0000-0000-000038020000}"/>
    <cellStyle name="60% - Accent3 4" xfId="61" xr:uid="{00000000-0005-0000-0000-000039020000}"/>
    <cellStyle name="60% - Accent4 2" xfId="64" xr:uid="{00000000-0005-0000-0000-00003A020000}"/>
    <cellStyle name="60% - Accent4 3" xfId="444" xr:uid="{00000000-0005-0000-0000-00003B020000}"/>
    <cellStyle name="60% - Accent4 4" xfId="63" xr:uid="{00000000-0005-0000-0000-00003C020000}"/>
    <cellStyle name="60% - Accent5 2" xfId="66" xr:uid="{00000000-0005-0000-0000-00003D020000}"/>
    <cellStyle name="60% - Accent5 3" xfId="445" xr:uid="{00000000-0005-0000-0000-00003E020000}"/>
    <cellStyle name="60% - Accent5 4" xfId="65" xr:uid="{00000000-0005-0000-0000-00003F020000}"/>
    <cellStyle name="60% - Accent6 2" xfId="68" xr:uid="{00000000-0005-0000-0000-000040020000}"/>
    <cellStyle name="60% - Accent6 3" xfId="446" xr:uid="{00000000-0005-0000-0000-000041020000}"/>
    <cellStyle name="60% - Accent6 4" xfId="67" xr:uid="{00000000-0005-0000-0000-000042020000}"/>
    <cellStyle name="Accent1 - 20%" xfId="1321" xr:uid="{00000000-0005-0000-0000-000043020000}"/>
    <cellStyle name="Accent1 - 40%" xfId="1322" xr:uid="{00000000-0005-0000-0000-000044020000}"/>
    <cellStyle name="Accent1 - 60%" xfId="1323" xr:uid="{00000000-0005-0000-0000-000045020000}"/>
    <cellStyle name="Accent1 2" xfId="70" xr:uid="{00000000-0005-0000-0000-000046020000}"/>
    <cellStyle name="Accent1 3" xfId="447" xr:uid="{00000000-0005-0000-0000-000047020000}"/>
    <cellStyle name="Accent1 4" xfId="69" xr:uid="{00000000-0005-0000-0000-000048020000}"/>
    <cellStyle name="Accent2 - 20%" xfId="1324" xr:uid="{00000000-0005-0000-0000-000049020000}"/>
    <cellStyle name="Accent2 - 40%" xfId="1325" xr:uid="{00000000-0005-0000-0000-00004A020000}"/>
    <cellStyle name="Accent2 - 60%" xfId="1326" xr:uid="{00000000-0005-0000-0000-00004B020000}"/>
    <cellStyle name="Accent2 2" xfId="72" xr:uid="{00000000-0005-0000-0000-00004C020000}"/>
    <cellStyle name="Accent2 3" xfId="448" xr:uid="{00000000-0005-0000-0000-00004D020000}"/>
    <cellStyle name="Accent2 4" xfId="71" xr:uid="{00000000-0005-0000-0000-00004E020000}"/>
    <cellStyle name="Accent3 - 20%" xfId="1327" xr:uid="{00000000-0005-0000-0000-00004F020000}"/>
    <cellStyle name="Accent3 - 40%" xfId="1328" xr:uid="{00000000-0005-0000-0000-000050020000}"/>
    <cellStyle name="Accent3 - 60%" xfId="1329" xr:uid="{00000000-0005-0000-0000-000051020000}"/>
    <cellStyle name="Accent3 2" xfId="74" xr:uid="{00000000-0005-0000-0000-000052020000}"/>
    <cellStyle name="Accent3 3" xfId="449" xr:uid="{00000000-0005-0000-0000-000053020000}"/>
    <cellStyle name="Accent3 4" xfId="73" xr:uid="{00000000-0005-0000-0000-000054020000}"/>
    <cellStyle name="Accent4 - 20%" xfId="1330" xr:uid="{00000000-0005-0000-0000-000055020000}"/>
    <cellStyle name="Accent4 - 40%" xfId="1331" xr:uid="{00000000-0005-0000-0000-000056020000}"/>
    <cellStyle name="Accent4 - 60%" xfId="1332" xr:uid="{00000000-0005-0000-0000-000057020000}"/>
    <cellStyle name="Accent4 2" xfId="76" xr:uid="{00000000-0005-0000-0000-000058020000}"/>
    <cellStyle name="Accent4 3" xfId="450" xr:uid="{00000000-0005-0000-0000-000059020000}"/>
    <cellStyle name="Accent4 4" xfId="75" xr:uid="{00000000-0005-0000-0000-00005A020000}"/>
    <cellStyle name="Accent5 - 20%" xfId="1333" xr:uid="{00000000-0005-0000-0000-00005B020000}"/>
    <cellStyle name="Accent5 - 40%" xfId="1334" xr:uid="{00000000-0005-0000-0000-00005C020000}"/>
    <cellStyle name="Accent5 - 60%" xfId="1335" xr:uid="{00000000-0005-0000-0000-00005D020000}"/>
    <cellStyle name="Accent5 2" xfId="78" xr:uid="{00000000-0005-0000-0000-00005E020000}"/>
    <cellStyle name="Accent5 3" xfId="77" xr:uid="{00000000-0005-0000-0000-00005F020000}"/>
    <cellStyle name="Accent5 4" xfId="1336" xr:uid="{00000000-0005-0000-0000-000060020000}"/>
    <cellStyle name="Accent6 - 20%" xfId="1337" xr:uid="{00000000-0005-0000-0000-000061020000}"/>
    <cellStyle name="Accent6 - 40%" xfId="1338" xr:uid="{00000000-0005-0000-0000-000062020000}"/>
    <cellStyle name="Accent6 - 60%" xfId="1339" xr:uid="{00000000-0005-0000-0000-000063020000}"/>
    <cellStyle name="Accent6 2" xfId="80" xr:uid="{00000000-0005-0000-0000-000064020000}"/>
    <cellStyle name="Accent6 3" xfId="451" xr:uid="{00000000-0005-0000-0000-000065020000}"/>
    <cellStyle name="Accent6 4" xfId="79" xr:uid="{00000000-0005-0000-0000-000066020000}"/>
    <cellStyle name="Actual Date" xfId="452" xr:uid="{00000000-0005-0000-0000-000067020000}"/>
    <cellStyle name="Adjustable" xfId="453" xr:uid="{00000000-0005-0000-0000-000068020000}"/>
    <cellStyle name="Alright" xfId="1340" xr:uid="{00000000-0005-0000-0000-000069020000}"/>
    <cellStyle name="Alright 2" xfId="1341" xr:uid="{00000000-0005-0000-0000-00006A020000}"/>
    <cellStyle name="Alright 2 2" xfId="1342" xr:uid="{00000000-0005-0000-0000-00006B020000}"/>
    <cellStyle name="Alright 3" xfId="1343" xr:uid="{00000000-0005-0000-0000-00006C020000}"/>
    <cellStyle name="Alternate Rows" xfId="454" xr:uid="{00000000-0005-0000-0000-00006D020000}"/>
    <cellStyle name="Alternate Yellow" xfId="455" xr:uid="{00000000-0005-0000-0000-00006E020000}"/>
    <cellStyle name="Alternate Yellow 2" xfId="456" xr:uid="{00000000-0005-0000-0000-00006F020000}"/>
    <cellStyle name="Alternate Yellow 3" xfId="457" xr:uid="{00000000-0005-0000-0000-000070020000}"/>
    <cellStyle name="Alternate Yellow 4" xfId="458" xr:uid="{00000000-0005-0000-0000-000071020000}"/>
    <cellStyle name="Alternate Yellow 5" xfId="459" xr:uid="{00000000-0005-0000-0000-000072020000}"/>
    <cellStyle name="ANCLAS,REZONES Y SUS PARTES,DE FUNDICION,DE HIERRO O DE ACERO" xfId="460" xr:uid="{00000000-0005-0000-0000-000073020000}"/>
    <cellStyle name="ANCLAS,REZONES Y SUS PARTES,DE FUNDICION,DE HIERRO O DE ACERO 2" xfId="461" xr:uid="{00000000-0005-0000-0000-000074020000}"/>
    <cellStyle name="ANCLAS,REZONES Y SUS PARTES,DE FUNDICION,DE HIERRO O DE ACERO_Ch4 v2" xfId="462" xr:uid="{00000000-0005-0000-0000-000075020000}"/>
    <cellStyle name="Background" xfId="1344" xr:uid="{00000000-0005-0000-0000-000076020000}"/>
    <cellStyle name="Background 2" xfId="1345" xr:uid="{00000000-0005-0000-0000-000077020000}"/>
    <cellStyle name="Background 2 2" xfId="1346" xr:uid="{00000000-0005-0000-0000-000078020000}"/>
    <cellStyle name="Background 3" xfId="1347" xr:uid="{00000000-0005-0000-0000-000079020000}"/>
    <cellStyle name="Bad 2" xfId="82" xr:uid="{00000000-0005-0000-0000-00007A020000}"/>
    <cellStyle name="Bad 3" xfId="463" xr:uid="{00000000-0005-0000-0000-00007B020000}"/>
    <cellStyle name="Bad 4" xfId="81" xr:uid="{00000000-0005-0000-0000-00007C020000}"/>
    <cellStyle name="Banner" xfId="1348" xr:uid="{00000000-0005-0000-0000-00007D020000}"/>
    <cellStyle name="Basis points" xfId="1349" xr:uid="{00000000-0005-0000-0000-00007E020000}"/>
    <cellStyle name="Bid £m format" xfId="83" xr:uid="{00000000-0005-0000-0000-00007F020000}"/>
    <cellStyle name="Bid £m format 2" xfId="464" xr:uid="{00000000-0005-0000-0000-000080020000}"/>
    <cellStyle name="Bid Lables" xfId="1350" xr:uid="{00000000-0005-0000-0000-000081020000}"/>
    <cellStyle name="BlankedZeros" xfId="1351" xr:uid="{00000000-0005-0000-0000-000082020000}"/>
    <cellStyle name="blue" xfId="465" xr:uid="{00000000-0005-0000-0000-000083020000}"/>
    <cellStyle name="Bluefont" xfId="1352" xr:uid="{00000000-0005-0000-0000-000084020000}"/>
    <cellStyle name="Border" xfId="466" xr:uid="{00000000-0005-0000-0000-000085020000}"/>
    <cellStyle name="Brand Align Left Text" xfId="467" xr:uid="{00000000-0005-0000-0000-000086020000}"/>
    <cellStyle name="Brand Default" xfId="468" xr:uid="{00000000-0005-0000-0000-000087020000}"/>
    <cellStyle name="Brand Percent" xfId="469" xr:uid="{00000000-0005-0000-0000-000088020000}"/>
    <cellStyle name="Brand Source" xfId="470" xr:uid="{00000000-0005-0000-0000-000089020000}"/>
    <cellStyle name="Brand Subtitle with Underline" xfId="471" xr:uid="{00000000-0005-0000-0000-00008A020000}"/>
    <cellStyle name="Brand Subtitle without Underline" xfId="472" xr:uid="{00000000-0005-0000-0000-00008B020000}"/>
    <cellStyle name="Brand Title" xfId="473" xr:uid="{00000000-0005-0000-0000-00008C020000}"/>
    <cellStyle name="Calc" xfId="1353" xr:uid="{00000000-0005-0000-0000-00008D020000}"/>
    <cellStyle name="Calc - Blue" xfId="1354" xr:uid="{00000000-0005-0000-0000-00008E020000}"/>
    <cellStyle name="Calc - Feed" xfId="1355" xr:uid="{00000000-0005-0000-0000-00008F020000}"/>
    <cellStyle name="Calc - Green" xfId="1356" xr:uid="{00000000-0005-0000-0000-000090020000}"/>
    <cellStyle name="Calc - Grey" xfId="1357" xr:uid="{00000000-0005-0000-0000-000091020000}"/>
    <cellStyle name="Calc - White" xfId="1358" xr:uid="{00000000-0005-0000-0000-000092020000}"/>
    <cellStyle name="Calc_CI&amp;E (5)" xfId="1359" xr:uid="{00000000-0005-0000-0000-000093020000}"/>
    <cellStyle name="Calculated Field" xfId="1360" xr:uid="{00000000-0005-0000-0000-000094020000}"/>
    <cellStyle name="Calculation 2" xfId="85" xr:uid="{00000000-0005-0000-0000-000095020000}"/>
    <cellStyle name="Calculation 2 2" xfId="1361" xr:uid="{00000000-0005-0000-0000-000096020000}"/>
    <cellStyle name="Calculation 2 2 2" xfId="1362" xr:uid="{00000000-0005-0000-0000-000097020000}"/>
    <cellStyle name="Calculation 2 3" xfId="1363" xr:uid="{00000000-0005-0000-0000-000098020000}"/>
    <cellStyle name="Calculation 3" xfId="474" xr:uid="{00000000-0005-0000-0000-000099020000}"/>
    <cellStyle name="Calculation 4" xfId="475" xr:uid="{00000000-0005-0000-0000-00009A020000}"/>
    <cellStyle name="Calculation 5" xfId="84" xr:uid="{00000000-0005-0000-0000-00009B020000}"/>
    <cellStyle name="Characteristic" xfId="476" xr:uid="{00000000-0005-0000-0000-00009C020000}"/>
    <cellStyle name="CharactGroup" xfId="477" xr:uid="{00000000-0005-0000-0000-00009D020000}"/>
    <cellStyle name="CharactNote" xfId="478" xr:uid="{00000000-0005-0000-0000-00009E020000}"/>
    <cellStyle name="CharactType" xfId="479" xr:uid="{00000000-0005-0000-0000-00009F020000}"/>
    <cellStyle name="CharactValue" xfId="480" xr:uid="{00000000-0005-0000-0000-0000A0020000}"/>
    <cellStyle name="CharactValueNote" xfId="481" xr:uid="{00000000-0005-0000-0000-0000A1020000}"/>
    <cellStyle name="CharShortType" xfId="482" xr:uid="{00000000-0005-0000-0000-0000A2020000}"/>
    <cellStyle name="Check Cell 2" xfId="87" xr:uid="{00000000-0005-0000-0000-0000A3020000}"/>
    <cellStyle name="Check Cell 3" xfId="86" xr:uid="{00000000-0005-0000-0000-0000A4020000}"/>
    <cellStyle name="Check Cell 4" xfId="1364" xr:uid="{00000000-0005-0000-0000-0000A5020000}"/>
    <cellStyle name="CIL" xfId="88" xr:uid="{00000000-0005-0000-0000-0000A6020000}"/>
    <cellStyle name="CIU" xfId="89" xr:uid="{00000000-0005-0000-0000-0000A7020000}"/>
    <cellStyle name="Clean" xfId="1365" xr:uid="{00000000-0005-0000-0000-0000A8020000}"/>
    <cellStyle name="Clean 2" xfId="1366" xr:uid="{00000000-0005-0000-0000-0000A9020000}"/>
    <cellStyle name="Clean 2 2" xfId="1367" xr:uid="{00000000-0005-0000-0000-0000AA020000}"/>
    <cellStyle name="Clean 3" xfId="1368" xr:uid="{00000000-0005-0000-0000-0000AB020000}"/>
    <cellStyle name="CodeHeading" xfId="1369" xr:uid="{00000000-0005-0000-0000-0000AC020000}"/>
    <cellStyle name="Comma" xfId="6" builtinId="3"/>
    <cellStyle name="Comma -" xfId="483" xr:uid="{00000000-0005-0000-0000-0000AE020000}"/>
    <cellStyle name="Comma  - Style1" xfId="484" xr:uid="{00000000-0005-0000-0000-0000AF020000}"/>
    <cellStyle name="Comma  - Style2" xfId="485" xr:uid="{00000000-0005-0000-0000-0000B0020000}"/>
    <cellStyle name="Comma  - Style3" xfId="486" xr:uid="{00000000-0005-0000-0000-0000B1020000}"/>
    <cellStyle name="Comma  - Style4" xfId="487" xr:uid="{00000000-0005-0000-0000-0000B2020000}"/>
    <cellStyle name="Comma  - Style5" xfId="488" xr:uid="{00000000-0005-0000-0000-0000B3020000}"/>
    <cellStyle name="Comma  - Style6" xfId="489" xr:uid="{00000000-0005-0000-0000-0000B4020000}"/>
    <cellStyle name="Comma  - Style7" xfId="490" xr:uid="{00000000-0005-0000-0000-0000B5020000}"/>
    <cellStyle name="Comma  - Style8" xfId="491" xr:uid="{00000000-0005-0000-0000-0000B6020000}"/>
    <cellStyle name="Comma [2]" xfId="492" xr:uid="{00000000-0005-0000-0000-0000B7020000}"/>
    <cellStyle name="Comma 0" xfId="493" xr:uid="{00000000-0005-0000-0000-0000B8020000}"/>
    <cellStyle name="Comma 0*" xfId="494" xr:uid="{00000000-0005-0000-0000-0000B9020000}"/>
    <cellStyle name="Comma 0__MasterJRComps" xfId="495" xr:uid="{00000000-0005-0000-0000-0000BA020000}"/>
    <cellStyle name="Comma 10" xfId="1370" xr:uid="{00000000-0005-0000-0000-0000BB020000}"/>
    <cellStyle name="Comma 10 2" xfId="1371" xr:uid="{00000000-0005-0000-0000-0000BC020000}"/>
    <cellStyle name="Comma 10_BASE Current Year 3" xfId="1372" xr:uid="{00000000-0005-0000-0000-0000BD020000}"/>
    <cellStyle name="Comma 100" xfId="1373" xr:uid="{00000000-0005-0000-0000-0000BE020000}"/>
    <cellStyle name="Comma 101" xfId="1374" xr:uid="{00000000-0005-0000-0000-0000BF020000}"/>
    <cellStyle name="Comma 102" xfId="1375" xr:uid="{00000000-0005-0000-0000-0000C0020000}"/>
    <cellStyle name="Comma 103" xfId="1376" xr:uid="{00000000-0005-0000-0000-0000C1020000}"/>
    <cellStyle name="Comma 104" xfId="1377" xr:uid="{00000000-0005-0000-0000-0000C2020000}"/>
    <cellStyle name="Comma 105" xfId="1378" xr:uid="{00000000-0005-0000-0000-0000C3020000}"/>
    <cellStyle name="Comma 106" xfId="1379" xr:uid="{00000000-0005-0000-0000-0000C4020000}"/>
    <cellStyle name="Comma 107" xfId="1380" xr:uid="{00000000-0005-0000-0000-0000C5020000}"/>
    <cellStyle name="Comma 108" xfId="1381" xr:uid="{00000000-0005-0000-0000-0000C6020000}"/>
    <cellStyle name="Comma 109" xfId="1382" xr:uid="{00000000-0005-0000-0000-0000C7020000}"/>
    <cellStyle name="Comma 11" xfId="1383" xr:uid="{00000000-0005-0000-0000-0000C8020000}"/>
    <cellStyle name="Comma 11 2" xfId="1384" xr:uid="{00000000-0005-0000-0000-0000C9020000}"/>
    <cellStyle name="Comma 11_BASE Current Year 3" xfId="1385" xr:uid="{00000000-0005-0000-0000-0000CA020000}"/>
    <cellStyle name="Comma 110" xfId="1386" xr:uid="{00000000-0005-0000-0000-0000CB020000}"/>
    <cellStyle name="Comma 111" xfId="1387" xr:uid="{00000000-0005-0000-0000-0000CC020000}"/>
    <cellStyle name="Comma 112" xfId="1388" xr:uid="{00000000-0005-0000-0000-0000CD020000}"/>
    <cellStyle name="Comma 113" xfId="1389" xr:uid="{00000000-0005-0000-0000-0000CE020000}"/>
    <cellStyle name="Comma 114" xfId="1390" xr:uid="{00000000-0005-0000-0000-0000CF020000}"/>
    <cellStyle name="Comma 115" xfId="1391" xr:uid="{00000000-0005-0000-0000-0000D0020000}"/>
    <cellStyle name="Comma 116" xfId="1392" xr:uid="{00000000-0005-0000-0000-0000D1020000}"/>
    <cellStyle name="Comma 117" xfId="1393" xr:uid="{00000000-0005-0000-0000-0000D2020000}"/>
    <cellStyle name="Comma 118" xfId="1394" xr:uid="{00000000-0005-0000-0000-0000D3020000}"/>
    <cellStyle name="Comma 119" xfId="1395" xr:uid="{00000000-0005-0000-0000-0000D4020000}"/>
    <cellStyle name="Comma 12" xfId="1396" xr:uid="{00000000-0005-0000-0000-0000D5020000}"/>
    <cellStyle name="Comma 12 2" xfId="1397" xr:uid="{00000000-0005-0000-0000-0000D6020000}"/>
    <cellStyle name="Comma 12_BASE Current Year 3" xfId="1398" xr:uid="{00000000-0005-0000-0000-0000D7020000}"/>
    <cellStyle name="Comma 120" xfId="1399" xr:uid="{00000000-0005-0000-0000-0000D8020000}"/>
    <cellStyle name="Comma 121" xfId="4623" xr:uid="{E2A0FEA1-7F2B-43C6-9E86-824F8EF67FEF}"/>
    <cellStyle name="Comma 13" xfId="1400" xr:uid="{00000000-0005-0000-0000-0000D9020000}"/>
    <cellStyle name="Comma 14" xfId="1401" xr:uid="{00000000-0005-0000-0000-0000DA020000}"/>
    <cellStyle name="Comma 15" xfId="1402" xr:uid="{00000000-0005-0000-0000-0000DB020000}"/>
    <cellStyle name="Comma 16" xfId="1403" xr:uid="{00000000-0005-0000-0000-0000DC020000}"/>
    <cellStyle name="Comma 17" xfId="1404" xr:uid="{00000000-0005-0000-0000-0000DD020000}"/>
    <cellStyle name="Comma 18" xfId="1405" xr:uid="{00000000-0005-0000-0000-0000DE020000}"/>
    <cellStyle name="Comma 18 2" xfId="1406" xr:uid="{00000000-0005-0000-0000-0000DF020000}"/>
    <cellStyle name="Comma 18_BASE Current Year 3" xfId="1407" xr:uid="{00000000-0005-0000-0000-0000E0020000}"/>
    <cellStyle name="Comma 19" xfId="1408" xr:uid="{00000000-0005-0000-0000-0000E1020000}"/>
    <cellStyle name="Comma 19 2" xfId="1409" xr:uid="{00000000-0005-0000-0000-0000E2020000}"/>
    <cellStyle name="Comma 19_BASE Current Year 3" xfId="1410" xr:uid="{00000000-0005-0000-0000-0000E3020000}"/>
    <cellStyle name="Comma 2" xfId="3" xr:uid="{00000000-0005-0000-0000-0000E4020000}"/>
    <cellStyle name="Comma 2 2" xfId="9" xr:uid="{00000000-0005-0000-0000-0000E5020000}"/>
    <cellStyle name="Comma 2 2 2" xfId="497" xr:uid="{00000000-0005-0000-0000-0000E6020000}"/>
    <cellStyle name="Comma 2 3" xfId="15" xr:uid="{00000000-0005-0000-0000-0000E7020000}"/>
    <cellStyle name="Comma 2 3 2" xfId="496" xr:uid="{00000000-0005-0000-0000-0000E8020000}"/>
    <cellStyle name="Comma 2 4" xfId="90" xr:uid="{00000000-0005-0000-0000-0000E9020000}"/>
    <cellStyle name="Comma 2 5" xfId="1411" xr:uid="{00000000-0005-0000-0000-0000EA020000}"/>
    <cellStyle name="Comma 2*" xfId="498" xr:uid="{00000000-0005-0000-0000-0000EB020000}"/>
    <cellStyle name="Comma 2__MasterJRComps" xfId="499" xr:uid="{00000000-0005-0000-0000-0000EC020000}"/>
    <cellStyle name="Comma 20" xfId="1412" xr:uid="{00000000-0005-0000-0000-0000ED020000}"/>
    <cellStyle name="Comma 20 2" xfId="1413" xr:uid="{00000000-0005-0000-0000-0000EE020000}"/>
    <cellStyle name="Comma 20_BASE Current Year 3" xfId="1414" xr:uid="{00000000-0005-0000-0000-0000EF020000}"/>
    <cellStyle name="Comma 21" xfId="1415" xr:uid="{00000000-0005-0000-0000-0000F0020000}"/>
    <cellStyle name="Comma 22" xfId="1416" xr:uid="{00000000-0005-0000-0000-0000F1020000}"/>
    <cellStyle name="Comma 23" xfId="1417" xr:uid="{00000000-0005-0000-0000-0000F2020000}"/>
    <cellStyle name="Comma 24" xfId="1418" xr:uid="{00000000-0005-0000-0000-0000F3020000}"/>
    <cellStyle name="Comma 25" xfId="1419" xr:uid="{00000000-0005-0000-0000-0000F4020000}"/>
    <cellStyle name="Comma 25 2" xfId="1420" xr:uid="{00000000-0005-0000-0000-0000F5020000}"/>
    <cellStyle name="Comma 25_BASE Current Year 3" xfId="1421" xr:uid="{00000000-0005-0000-0000-0000F6020000}"/>
    <cellStyle name="Comma 26" xfId="1422" xr:uid="{00000000-0005-0000-0000-0000F7020000}"/>
    <cellStyle name="Comma 26 2" xfId="1423" xr:uid="{00000000-0005-0000-0000-0000F8020000}"/>
    <cellStyle name="Comma 26_BASE Current Year 3" xfId="1424" xr:uid="{00000000-0005-0000-0000-0000F9020000}"/>
    <cellStyle name="Comma 27" xfId="1425" xr:uid="{00000000-0005-0000-0000-0000FA020000}"/>
    <cellStyle name="Comma 28" xfId="1426" xr:uid="{00000000-0005-0000-0000-0000FB020000}"/>
    <cellStyle name="Comma 29" xfId="1427" xr:uid="{00000000-0005-0000-0000-0000FC020000}"/>
    <cellStyle name="Comma 3" xfId="8" xr:uid="{00000000-0005-0000-0000-0000FD020000}"/>
    <cellStyle name="Comma 3 2" xfId="92" xr:uid="{00000000-0005-0000-0000-0000FE020000}"/>
    <cellStyle name="Comma 3 2 2" xfId="501" xr:uid="{00000000-0005-0000-0000-0000FF020000}"/>
    <cellStyle name="Comma 3 3" xfId="502" xr:uid="{00000000-0005-0000-0000-000000030000}"/>
    <cellStyle name="Comma 3 4" xfId="500" xr:uid="{00000000-0005-0000-0000-000001030000}"/>
    <cellStyle name="Comma 3 5" xfId="91" xr:uid="{00000000-0005-0000-0000-000002030000}"/>
    <cellStyle name="Comma 3*" xfId="503" xr:uid="{00000000-0005-0000-0000-000003030000}"/>
    <cellStyle name="Comma 3_BASE Current Year" xfId="1428" xr:uid="{00000000-0005-0000-0000-000004030000}"/>
    <cellStyle name="Comma 30" xfId="1429" xr:uid="{00000000-0005-0000-0000-000005030000}"/>
    <cellStyle name="Comma 31" xfId="1430" xr:uid="{00000000-0005-0000-0000-000006030000}"/>
    <cellStyle name="Comma 32" xfId="1431" xr:uid="{00000000-0005-0000-0000-000007030000}"/>
    <cellStyle name="Comma 33" xfId="1432" xr:uid="{00000000-0005-0000-0000-000008030000}"/>
    <cellStyle name="Comma 34" xfId="1433" xr:uid="{00000000-0005-0000-0000-000009030000}"/>
    <cellStyle name="Comma 35" xfId="1434" xr:uid="{00000000-0005-0000-0000-00000A030000}"/>
    <cellStyle name="Comma 36" xfId="1435" xr:uid="{00000000-0005-0000-0000-00000B030000}"/>
    <cellStyle name="Comma 37" xfId="1436" xr:uid="{00000000-0005-0000-0000-00000C030000}"/>
    <cellStyle name="Comma 38" xfId="1437" xr:uid="{00000000-0005-0000-0000-00000D030000}"/>
    <cellStyle name="Comma 39" xfId="1438" xr:uid="{00000000-0005-0000-0000-00000E030000}"/>
    <cellStyle name="Comma 4" xfId="11" xr:uid="{00000000-0005-0000-0000-00000F030000}"/>
    <cellStyle name="Comma 4 2" xfId="504" xr:uid="{00000000-0005-0000-0000-000010030000}"/>
    <cellStyle name="Comma 4 3" xfId="1439" xr:uid="{00000000-0005-0000-0000-000011030000}"/>
    <cellStyle name="Comma 4_BASE Current Year" xfId="1440" xr:uid="{00000000-0005-0000-0000-000012030000}"/>
    <cellStyle name="Comma 40" xfId="1441" xr:uid="{00000000-0005-0000-0000-000013030000}"/>
    <cellStyle name="Comma 41" xfId="1442" xr:uid="{00000000-0005-0000-0000-000014030000}"/>
    <cellStyle name="Comma 42" xfId="1443" xr:uid="{00000000-0005-0000-0000-000015030000}"/>
    <cellStyle name="Comma 43" xfId="1444" xr:uid="{00000000-0005-0000-0000-000016030000}"/>
    <cellStyle name="Comma 44" xfId="1445" xr:uid="{00000000-0005-0000-0000-000017030000}"/>
    <cellStyle name="Comma 45" xfId="1446" xr:uid="{00000000-0005-0000-0000-000018030000}"/>
    <cellStyle name="Comma 46" xfId="1447" xr:uid="{00000000-0005-0000-0000-000019030000}"/>
    <cellStyle name="Comma 47" xfId="1448" xr:uid="{00000000-0005-0000-0000-00001A030000}"/>
    <cellStyle name="Comma 48" xfId="1449" xr:uid="{00000000-0005-0000-0000-00001B030000}"/>
    <cellStyle name="Comma 49" xfId="1450" xr:uid="{00000000-0005-0000-0000-00001C030000}"/>
    <cellStyle name="Comma 5" xfId="505" xr:uid="{00000000-0005-0000-0000-00001D030000}"/>
    <cellStyle name="Comma 5 2" xfId="1451" xr:uid="{00000000-0005-0000-0000-00001E030000}"/>
    <cellStyle name="Comma 5_BASE Current Year" xfId="1452" xr:uid="{00000000-0005-0000-0000-00001F030000}"/>
    <cellStyle name="Comma 50" xfId="1453" xr:uid="{00000000-0005-0000-0000-000020030000}"/>
    <cellStyle name="Comma 50 2" xfId="1454" xr:uid="{00000000-0005-0000-0000-000021030000}"/>
    <cellStyle name="Comma 50_BASE Current Year 3" xfId="1455" xr:uid="{00000000-0005-0000-0000-000022030000}"/>
    <cellStyle name="Comma 51" xfId="1456" xr:uid="{00000000-0005-0000-0000-000023030000}"/>
    <cellStyle name="Comma 51 2" xfId="1457" xr:uid="{00000000-0005-0000-0000-000024030000}"/>
    <cellStyle name="Comma 51_BASE Current Year 3" xfId="1458" xr:uid="{00000000-0005-0000-0000-000025030000}"/>
    <cellStyle name="Comma 52" xfId="1459" xr:uid="{00000000-0005-0000-0000-000026030000}"/>
    <cellStyle name="Comma 53" xfId="1460" xr:uid="{00000000-0005-0000-0000-000027030000}"/>
    <cellStyle name="Comma 54" xfId="1461" xr:uid="{00000000-0005-0000-0000-000028030000}"/>
    <cellStyle name="Comma 55" xfId="1462" xr:uid="{00000000-0005-0000-0000-000029030000}"/>
    <cellStyle name="Comma 56" xfId="1463" xr:uid="{00000000-0005-0000-0000-00002A030000}"/>
    <cellStyle name="Comma 57" xfId="1464" xr:uid="{00000000-0005-0000-0000-00002B030000}"/>
    <cellStyle name="Comma 58" xfId="1465" xr:uid="{00000000-0005-0000-0000-00002C030000}"/>
    <cellStyle name="Comma 59" xfId="1466" xr:uid="{00000000-0005-0000-0000-00002D030000}"/>
    <cellStyle name="Comma 6" xfId="1467" xr:uid="{00000000-0005-0000-0000-00002E030000}"/>
    <cellStyle name="Comma 6 2" xfId="1468" xr:uid="{00000000-0005-0000-0000-00002F030000}"/>
    <cellStyle name="Comma 6_BASE Current Year" xfId="1469" xr:uid="{00000000-0005-0000-0000-000030030000}"/>
    <cellStyle name="Comma 60" xfId="1470" xr:uid="{00000000-0005-0000-0000-000031030000}"/>
    <cellStyle name="Comma 61" xfId="1471" xr:uid="{00000000-0005-0000-0000-000032030000}"/>
    <cellStyle name="Comma 62" xfId="1472" xr:uid="{00000000-0005-0000-0000-000033030000}"/>
    <cellStyle name="Comma 63" xfId="1473" xr:uid="{00000000-0005-0000-0000-000034030000}"/>
    <cellStyle name="Comma 64" xfId="1474" xr:uid="{00000000-0005-0000-0000-000035030000}"/>
    <cellStyle name="Comma 65" xfId="1475" xr:uid="{00000000-0005-0000-0000-000036030000}"/>
    <cellStyle name="Comma 66" xfId="1476" xr:uid="{00000000-0005-0000-0000-000037030000}"/>
    <cellStyle name="Comma 67" xfId="1477" xr:uid="{00000000-0005-0000-0000-000038030000}"/>
    <cellStyle name="Comma 68" xfId="1478" xr:uid="{00000000-0005-0000-0000-000039030000}"/>
    <cellStyle name="Comma 69" xfId="1479" xr:uid="{00000000-0005-0000-0000-00003A030000}"/>
    <cellStyle name="Comma 7" xfId="1480" xr:uid="{00000000-0005-0000-0000-00003B030000}"/>
    <cellStyle name="Comma 7 2" xfId="1481" xr:uid="{00000000-0005-0000-0000-00003C030000}"/>
    <cellStyle name="Comma 7_BASE Current Year 3" xfId="1482" xr:uid="{00000000-0005-0000-0000-00003D030000}"/>
    <cellStyle name="Comma 70" xfId="1483" xr:uid="{00000000-0005-0000-0000-00003E030000}"/>
    <cellStyle name="Comma 71" xfId="1484" xr:uid="{00000000-0005-0000-0000-00003F030000}"/>
    <cellStyle name="Comma 72" xfId="1485" xr:uid="{00000000-0005-0000-0000-000040030000}"/>
    <cellStyle name="Comma 73" xfId="1486" xr:uid="{00000000-0005-0000-0000-000041030000}"/>
    <cellStyle name="Comma 74" xfId="1487" xr:uid="{00000000-0005-0000-0000-000042030000}"/>
    <cellStyle name="Comma 75" xfId="1488" xr:uid="{00000000-0005-0000-0000-000043030000}"/>
    <cellStyle name="Comma 76" xfId="1489" xr:uid="{00000000-0005-0000-0000-000044030000}"/>
    <cellStyle name="Comma 77" xfId="1490" xr:uid="{00000000-0005-0000-0000-000045030000}"/>
    <cellStyle name="Comma 78" xfId="1491" xr:uid="{00000000-0005-0000-0000-000046030000}"/>
    <cellStyle name="Comma 79" xfId="1492" xr:uid="{00000000-0005-0000-0000-000047030000}"/>
    <cellStyle name="Comma 8" xfId="1493" xr:uid="{00000000-0005-0000-0000-000048030000}"/>
    <cellStyle name="Comma 8 2" xfId="1494" xr:uid="{00000000-0005-0000-0000-000049030000}"/>
    <cellStyle name="Comma 8_BASE Current Year 3" xfId="1495" xr:uid="{00000000-0005-0000-0000-00004A030000}"/>
    <cellStyle name="Comma 80" xfId="1496" xr:uid="{00000000-0005-0000-0000-00004B030000}"/>
    <cellStyle name="Comma 81" xfId="1497" xr:uid="{00000000-0005-0000-0000-00004C030000}"/>
    <cellStyle name="Comma 82" xfId="1498" xr:uid="{00000000-0005-0000-0000-00004D030000}"/>
    <cellStyle name="Comma 83" xfId="1499" xr:uid="{00000000-0005-0000-0000-00004E030000}"/>
    <cellStyle name="Comma 84" xfId="1500" xr:uid="{00000000-0005-0000-0000-00004F030000}"/>
    <cellStyle name="Comma 85" xfId="1501" xr:uid="{00000000-0005-0000-0000-000050030000}"/>
    <cellStyle name="Comma 86" xfId="1502" xr:uid="{00000000-0005-0000-0000-000051030000}"/>
    <cellStyle name="Comma 87" xfId="1503" xr:uid="{00000000-0005-0000-0000-000052030000}"/>
    <cellStyle name="Comma 88" xfId="1504" xr:uid="{00000000-0005-0000-0000-000053030000}"/>
    <cellStyle name="Comma 89" xfId="1505" xr:uid="{00000000-0005-0000-0000-000054030000}"/>
    <cellStyle name="Comma 9" xfId="1506" xr:uid="{00000000-0005-0000-0000-000055030000}"/>
    <cellStyle name="Comma 9 2" xfId="1507" xr:uid="{00000000-0005-0000-0000-000056030000}"/>
    <cellStyle name="Comma 9 3" xfId="1508" xr:uid="{00000000-0005-0000-0000-000057030000}"/>
    <cellStyle name="Comma 9_BASE Current Year 3" xfId="1509" xr:uid="{00000000-0005-0000-0000-000058030000}"/>
    <cellStyle name="Comma 90" xfId="1510" xr:uid="{00000000-0005-0000-0000-000059030000}"/>
    <cellStyle name="Comma 91" xfId="1511" xr:uid="{00000000-0005-0000-0000-00005A030000}"/>
    <cellStyle name="Comma 92" xfId="1512" xr:uid="{00000000-0005-0000-0000-00005B030000}"/>
    <cellStyle name="Comma 93" xfId="1513" xr:uid="{00000000-0005-0000-0000-00005C030000}"/>
    <cellStyle name="Comma 94" xfId="1514" xr:uid="{00000000-0005-0000-0000-00005D030000}"/>
    <cellStyle name="Comma 95" xfId="1515" xr:uid="{00000000-0005-0000-0000-00005E030000}"/>
    <cellStyle name="Comma 96" xfId="1516" xr:uid="{00000000-0005-0000-0000-00005F030000}"/>
    <cellStyle name="Comma 97" xfId="1517" xr:uid="{00000000-0005-0000-0000-000060030000}"/>
    <cellStyle name="Comma 98" xfId="1518" xr:uid="{00000000-0005-0000-0000-000061030000}"/>
    <cellStyle name="Comma 99" xfId="1519" xr:uid="{00000000-0005-0000-0000-000062030000}"/>
    <cellStyle name="Comma*" xfId="506" xr:uid="{00000000-0005-0000-0000-000063030000}"/>
    <cellStyle name="Comma0" xfId="507" xr:uid="{00000000-0005-0000-0000-000064030000}"/>
    <cellStyle name="Comma0 - Modelo1" xfId="508" xr:uid="{00000000-0005-0000-0000-000065030000}"/>
    <cellStyle name="Comma0 - Style1" xfId="509" xr:uid="{00000000-0005-0000-0000-000066030000}"/>
    <cellStyle name="Comma0 - Style2" xfId="510" xr:uid="{00000000-0005-0000-0000-000067030000}"/>
    <cellStyle name="Comma0_% Change (PW)" xfId="511" xr:uid="{00000000-0005-0000-0000-000068030000}"/>
    <cellStyle name="Comma1" xfId="512" xr:uid="{00000000-0005-0000-0000-000069030000}"/>
    <cellStyle name="Comma1 - Modelo2" xfId="513" xr:uid="{00000000-0005-0000-0000-00006A030000}"/>
    <cellStyle name="Comma1 - Style2" xfId="514" xr:uid="{00000000-0005-0000-0000-00006B030000}"/>
    <cellStyle name="Comma1 2" xfId="515" xr:uid="{00000000-0005-0000-0000-00006C030000}"/>
    <cellStyle name="Comma1 3" xfId="516" xr:uid="{00000000-0005-0000-0000-00006D030000}"/>
    <cellStyle name="Comma1 4" xfId="517" xr:uid="{00000000-0005-0000-0000-00006E030000}"/>
    <cellStyle name="Comma2" xfId="518" xr:uid="{00000000-0005-0000-0000-00006F030000}"/>
    <cellStyle name="Comma2 2" xfId="519" xr:uid="{00000000-0005-0000-0000-000070030000}"/>
    <cellStyle name="Comma2 3" xfId="520" xr:uid="{00000000-0005-0000-0000-000071030000}"/>
    <cellStyle name="Comma2 4" xfId="521" xr:uid="{00000000-0005-0000-0000-000072030000}"/>
    <cellStyle name="Comment" xfId="1520" xr:uid="{00000000-0005-0000-0000-000073030000}"/>
    <cellStyle name="comment2" xfId="1521" xr:uid="{00000000-0005-0000-0000-000074030000}"/>
    <cellStyle name="Condition" xfId="522" xr:uid="{00000000-0005-0000-0000-000075030000}"/>
    <cellStyle name="CondMandatory" xfId="523" xr:uid="{00000000-0005-0000-0000-000076030000}"/>
    <cellStyle name="Content1" xfId="524" xr:uid="{00000000-0005-0000-0000-000077030000}"/>
    <cellStyle name="Content2" xfId="525" xr:uid="{00000000-0005-0000-0000-000078030000}"/>
    <cellStyle name="Content3" xfId="526" xr:uid="{00000000-0005-0000-0000-000079030000}"/>
    <cellStyle name="Cover" xfId="1522" xr:uid="{00000000-0005-0000-0000-00007A030000}"/>
    <cellStyle name="Cover Date" xfId="527" xr:uid="{00000000-0005-0000-0000-00007B030000}"/>
    <cellStyle name="Cover Subtitle" xfId="528" xr:uid="{00000000-0005-0000-0000-00007C030000}"/>
    <cellStyle name="Cover Title" xfId="529" xr:uid="{00000000-0005-0000-0000-00007D030000}"/>
    <cellStyle name="Currency [0] 2" xfId="1523" xr:uid="{00000000-0005-0000-0000-00007E030000}"/>
    <cellStyle name="Currency 0" xfId="530" xr:uid="{00000000-0005-0000-0000-00007F030000}"/>
    <cellStyle name="Currency 10" xfId="1524" xr:uid="{00000000-0005-0000-0000-000080030000}"/>
    <cellStyle name="Currency 11" xfId="1525" xr:uid="{00000000-0005-0000-0000-000081030000}"/>
    <cellStyle name="Currency 2" xfId="93" xr:uid="{00000000-0005-0000-0000-000082030000}"/>
    <cellStyle name="Currency 2 2" xfId="532" xr:uid="{00000000-0005-0000-0000-000083030000}"/>
    <cellStyle name="Currency 2 3" xfId="533" xr:uid="{00000000-0005-0000-0000-000084030000}"/>
    <cellStyle name="Currency 2 4" xfId="531" xr:uid="{00000000-0005-0000-0000-000085030000}"/>
    <cellStyle name="Currency 2*" xfId="534" xr:uid="{00000000-0005-0000-0000-000086030000}"/>
    <cellStyle name="Currency 2_% Change" xfId="535" xr:uid="{00000000-0005-0000-0000-000087030000}"/>
    <cellStyle name="Currency 3" xfId="536" xr:uid="{00000000-0005-0000-0000-000088030000}"/>
    <cellStyle name="Currency 3 2" xfId="1526" xr:uid="{00000000-0005-0000-0000-000089030000}"/>
    <cellStyle name="Currency 3*" xfId="537" xr:uid="{00000000-0005-0000-0000-00008A030000}"/>
    <cellStyle name="Currency 3_BASE Current Year 3" xfId="1527" xr:uid="{00000000-0005-0000-0000-00008B030000}"/>
    <cellStyle name="Currency 4" xfId="538" xr:uid="{00000000-0005-0000-0000-00008C030000}"/>
    <cellStyle name="Currency 5" xfId="1528" xr:uid="{00000000-0005-0000-0000-00008D030000}"/>
    <cellStyle name="Currency 6" xfId="1529" xr:uid="{00000000-0005-0000-0000-00008E030000}"/>
    <cellStyle name="Currency 6 2" xfId="1530" xr:uid="{00000000-0005-0000-0000-00008F030000}"/>
    <cellStyle name="Currency 6_BASE Current Year 3" xfId="1531" xr:uid="{00000000-0005-0000-0000-000090030000}"/>
    <cellStyle name="Currency 7" xfId="1532" xr:uid="{00000000-0005-0000-0000-000091030000}"/>
    <cellStyle name="Currency 8" xfId="1533" xr:uid="{00000000-0005-0000-0000-000092030000}"/>
    <cellStyle name="Currency 9" xfId="1534" xr:uid="{00000000-0005-0000-0000-000093030000}"/>
    <cellStyle name="Currency*" xfId="539" xr:uid="{00000000-0005-0000-0000-000094030000}"/>
    <cellStyle name="Currency0" xfId="540" xr:uid="{00000000-0005-0000-0000-000095030000}"/>
    <cellStyle name="CurrType" xfId="1535" xr:uid="{00000000-0005-0000-0000-000096030000}"/>
    <cellStyle name="Data" xfId="541" xr:uid="{00000000-0005-0000-0000-000097030000}"/>
    <cellStyle name="DataEntry" xfId="1536" xr:uid="{00000000-0005-0000-0000-000098030000}"/>
    <cellStyle name="DataEntry 2" xfId="1537" xr:uid="{00000000-0005-0000-0000-000099030000}"/>
    <cellStyle name="DataEntry 2 2" xfId="1538" xr:uid="{00000000-0005-0000-0000-00009A030000}"/>
    <cellStyle name="DataEntry 2 2 2" xfId="1539" xr:uid="{00000000-0005-0000-0000-00009B030000}"/>
    <cellStyle name="DataEntry 2 3" xfId="1540" xr:uid="{00000000-0005-0000-0000-00009C030000}"/>
    <cellStyle name="DataEntry 3" xfId="1541" xr:uid="{00000000-0005-0000-0000-00009D030000}"/>
    <cellStyle name="DataEntry 3 2" xfId="1542" xr:uid="{00000000-0005-0000-0000-00009E030000}"/>
    <cellStyle name="DataEntry 4" xfId="1543" xr:uid="{00000000-0005-0000-0000-00009F030000}"/>
    <cellStyle name="DataEntry%" xfId="1544" xr:uid="{00000000-0005-0000-0000-0000A0030000}"/>
    <cellStyle name="DataEntry% 2" xfId="1545" xr:uid="{00000000-0005-0000-0000-0000A1030000}"/>
    <cellStyle name="DataEntry% 2 2" xfId="1546" xr:uid="{00000000-0005-0000-0000-0000A2030000}"/>
    <cellStyle name="DataEntry% 3" xfId="1547" xr:uid="{00000000-0005-0000-0000-0000A3030000}"/>
    <cellStyle name="DataEntry_041222 Equities" xfId="1548" xr:uid="{00000000-0005-0000-0000-0000A4030000}"/>
    <cellStyle name="DataInput" xfId="1549" xr:uid="{00000000-0005-0000-0000-0000A5030000}"/>
    <cellStyle name="DataInput 2" xfId="1550" xr:uid="{00000000-0005-0000-0000-0000A6030000}"/>
    <cellStyle name="DataInput 2 2" xfId="1551" xr:uid="{00000000-0005-0000-0000-0000A7030000}"/>
    <cellStyle name="DataInput 2 2 2" xfId="1552" xr:uid="{00000000-0005-0000-0000-0000A8030000}"/>
    <cellStyle name="DataInput 2 2 2 2" xfId="1553" xr:uid="{00000000-0005-0000-0000-0000A9030000}"/>
    <cellStyle name="DataInput 2 2 3" xfId="1554" xr:uid="{00000000-0005-0000-0000-0000AA030000}"/>
    <cellStyle name="DataInput 2 3" xfId="1555" xr:uid="{00000000-0005-0000-0000-0000AB030000}"/>
    <cellStyle name="DataInput 2 3 2" xfId="1556" xr:uid="{00000000-0005-0000-0000-0000AC030000}"/>
    <cellStyle name="DataInput 2 4" xfId="1557" xr:uid="{00000000-0005-0000-0000-0000AD030000}"/>
    <cellStyle name="DataInput 3" xfId="1558" xr:uid="{00000000-0005-0000-0000-0000AE030000}"/>
    <cellStyle name="DataInput 3 2" xfId="1559" xr:uid="{00000000-0005-0000-0000-0000AF030000}"/>
    <cellStyle name="DataInput 3 2 2" xfId="1560" xr:uid="{00000000-0005-0000-0000-0000B0030000}"/>
    <cellStyle name="DataInput 3 3" xfId="1561" xr:uid="{00000000-0005-0000-0000-0000B1030000}"/>
    <cellStyle name="DataInput 4" xfId="1562" xr:uid="{00000000-0005-0000-0000-0000B2030000}"/>
    <cellStyle name="DataInput 4 2" xfId="1563" xr:uid="{00000000-0005-0000-0000-0000B3030000}"/>
    <cellStyle name="DataInput 5" xfId="1564" xr:uid="{00000000-0005-0000-0000-0000B4030000}"/>
    <cellStyle name="Date" xfId="542" xr:uid="{00000000-0005-0000-0000-0000B5030000}"/>
    <cellStyle name="DATE 2" xfId="1565" xr:uid="{00000000-0005-0000-0000-0000B6030000}"/>
    <cellStyle name="DATE 2 2" xfId="1566" xr:uid="{00000000-0005-0000-0000-0000B7030000}"/>
    <cellStyle name="DATE 2 2 2" xfId="1567" xr:uid="{00000000-0005-0000-0000-0000B8030000}"/>
    <cellStyle name="Date Aligned" xfId="543" xr:uid="{00000000-0005-0000-0000-0000B9030000}"/>
    <cellStyle name="Date Aligned*" xfId="544" xr:uid="{00000000-0005-0000-0000-0000BA030000}"/>
    <cellStyle name="Date Aligned__MasterJRComps" xfId="545" xr:uid="{00000000-0005-0000-0000-0000BB030000}"/>
    <cellStyle name="Date Feeder Field" xfId="1568" xr:uid="{00000000-0005-0000-0000-0000BC030000}"/>
    <cellStyle name="Date Feeder Field 2" xfId="1569" xr:uid="{00000000-0005-0000-0000-0000BD030000}"/>
    <cellStyle name="Date Feeder Field 2 2" xfId="1570" xr:uid="{00000000-0005-0000-0000-0000BE030000}"/>
    <cellStyle name="Date Feeder Field 2_a.Data" xfId="1571" xr:uid="{00000000-0005-0000-0000-0000BF030000}"/>
    <cellStyle name="Date Feeder Field 3" xfId="1572" xr:uid="{00000000-0005-0000-0000-0000C0030000}"/>
    <cellStyle name="Date Feeder Field_a.Data" xfId="1573" xr:uid="{00000000-0005-0000-0000-0000C1030000}"/>
    <cellStyle name="Date_Ch4 v2" xfId="546" xr:uid="{00000000-0005-0000-0000-0000C2030000}"/>
    <cellStyle name="DateFormat" xfId="1574" xr:uid="{00000000-0005-0000-0000-0000C3030000}"/>
    <cellStyle name="DateFormat 2" xfId="1575" xr:uid="{00000000-0005-0000-0000-0000C4030000}"/>
    <cellStyle name="DateFormat 2 2" xfId="1576" xr:uid="{00000000-0005-0000-0000-0000C5030000}"/>
    <cellStyle name="DateFormat 2 2 2" xfId="1577" xr:uid="{00000000-0005-0000-0000-0000C6030000}"/>
    <cellStyle name="DateFormat 2 2 2 2" xfId="1578" xr:uid="{00000000-0005-0000-0000-0000C7030000}"/>
    <cellStyle name="DateFormat 2 3" xfId="1579" xr:uid="{00000000-0005-0000-0000-0000C8030000}"/>
    <cellStyle name="DateFormat 3" xfId="1580" xr:uid="{00000000-0005-0000-0000-0000C9030000}"/>
    <cellStyle name="DateFormat 3 2" xfId="1581" xr:uid="{00000000-0005-0000-0000-0000CA030000}"/>
    <cellStyle name="DateFormat 3 2 2" xfId="1582" xr:uid="{00000000-0005-0000-0000-0000CB030000}"/>
    <cellStyle name="DateFormat 4" xfId="1583" xr:uid="{00000000-0005-0000-0000-0000CC030000}"/>
    <cellStyle name="DateTime" xfId="547" xr:uid="{00000000-0005-0000-0000-0000CD030000}"/>
    <cellStyle name="DealTypeStyle" xfId="1584" xr:uid="{00000000-0005-0000-0000-0000CE030000}"/>
    <cellStyle name="Description" xfId="94" xr:uid="{00000000-0005-0000-0000-0000CF030000}"/>
    <cellStyle name="Dezimal [0]_Country" xfId="1585" xr:uid="{00000000-0005-0000-0000-0000D0030000}"/>
    <cellStyle name="Dezimal_Country" xfId="1586" xr:uid="{00000000-0005-0000-0000-0000D1030000}"/>
    <cellStyle name="DF" xfId="1587" xr:uid="{00000000-0005-0000-0000-0000D2030000}"/>
    <cellStyle name="Dia" xfId="548" xr:uid="{00000000-0005-0000-0000-0000D3030000}"/>
    <cellStyle name="DistributionType" xfId="549" xr:uid="{00000000-0005-0000-0000-0000D4030000}"/>
    <cellStyle name="Dotted Line" xfId="550" xr:uid="{00000000-0005-0000-0000-0000D5030000}"/>
    <cellStyle name="EMOscar_4Decimals" xfId="1588" xr:uid="{00000000-0005-0000-0000-0000D6030000}"/>
    <cellStyle name="Encabez1" xfId="551" xr:uid="{00000000-0005-0000-0000-0000D7030000}"/>
    <cellStyle name="Encabez2" xfId="552" xr:uid="{00000000-0005-0000-0000-0000D8030000}"/>
    <cellStyle name="Entries" xfId="1589" xr:uid="{00000000-0005-0000-0000-0000D9030000}"/>
    <cellStyle name="Entries 2" xfId="1590" xr:uid="{00000000-0005-0000-0000-0000DA030000}"/>
    <cellStyle name="Entries 2 2" xfId="1591" xr:uid="{00000000-0005-0000-0000-0000DB030000}"/>
    <cellStyle name="Entries 3" xfId="1592" xr:uid="{00000000-0005-0000-0000-0000DC030000}"/>
    <cellStyle name="Euro" xfId="95" xr:uid="{00000000-0005-0000-0000-0000DD030000}"/>
    <cellStyle name="Euro 2" xfId="554" xr:uid="{00000000-0005-0000-0000-0000DE030000}"/>
    <cellStyle name="Euro 2 2" xfId="1594" xr:uid="{00000000-0005-0000-0000-0000DF030000}"/>
    <cellStyle name="Euro 2_Data for charts" xfId="1593" xr:uid="{00000000-0005-0000-0000-0000E0030000}"/>
    <cellStyle name="Euro 3" xfId="553" xr:uid="{00000000-0005-0000-0000-0000E1030000}"/>
    <cellStyle name="Exception" xfId="1595" xr:uid="{00000000-0005-0000-0000-0000E2030000}"/>
    <cellStyle name="Explanatory Text 2" xfId="97" xr:uid="{00000000-0005-0000-0000-0000E3030000}"/>
    <cellStyle name="Explanatory Text 3" xfId="96" xr:uid="{00000000-0005-0000-0000-0000E4030000}"/>
    <cellStyle name="Explanatory Text 4" xfId="1596" xr:uid="{00000000-0005-0000-0000-0000E5030000}"/>
    <cellStyle name="F2" xfId="555" xr:uid="{00000000-0005-0000-0000-0000E6030000}"/>
    <cellStyle name="F3" xfId="556" xr:uid="{00000000-0005-0000-0000-0000E7030000}"/>
    <cellStyle name="F4" xfId="557" xr:uid="{00000000-0005-0000-0000-0000E8030000}"/>
    <cellStyle name="F5" xfId="558" xr:uid="{00000000-0005-0000-0000-0000E9030000}"/>
    <cellStyle name="F6" xfId="559" xr:uid="{00000000-0005-0000-0000-0000EA030000}"/>
    <cellStyle name="F7" xfId="560" xr:uid="{00000000-0005-0000-0000-0000EB030000}"/>
    <cellStyle name="F8" xfId="561" xr:uid="{00000000-0005-0000-0000-0000EC030000}"/>
    <cellStyle name="Feeder Field" xfId="1597" xr:uid="{00000000-0005-0000-0000-0000ED030000}"/>
    <cellStyle name="Feeder Field 2" xfId="1598" xr:uid="{00000000-0005-0000-0000-0000EE030000}"/>
    <cellStyle name="Feeder Field 2 2" xfId="1599" xr:uid="{00000000-0005-0000-0000-0000EF030000}"/>
    <cellStyle name="Feeder Field 2_a.Data" xfId="1600" xr:uid="{00000000-0005-0000-0000-0000F0030000}"/>
    <cellStyle name="Feeder Field 3" xfId="1601" xr:uid="{00000000-0005-0000-0000-0000F1030000}"/>
    <cellStyle name="Feeder Field_a.Data" xfId="1602" xr:uid="{00000000-0005-0000-0000-0000F2030000}"/>
    <cellStyle name="Fijo" xfId="562" xr:uid="{00000000-0005-0000-0000-0000F3030000}"/>
    <cellStyle name="Financiero" xfId="563" xr:uid="{00000000-0005-0000-0000-0000F4030000}"/>
    <cellStyle name="Fixed" xfId="564" xr:uid="{00000000-0005-0000-0000-0000F5030000}"/>
    <cellStyle name="Fixed1 - Style1" xfId="565" xr:uid="{00000000-0005-0000-0000-0000F6030000}"/>
    <cellStyle name="Flag" xfId="566" xr:uid="{00000000-0005-0000-0000-0000F7030000}"/>
    <cellStyle name="Flash" xfId="98" xr:uid="{00000000-0005-0000-0000-0000F8030000}"/>
    <cellStyle name="Fonts" xfId="567" xr:uid="{00000000-0005-0000-0000-0000F9030000}"/>
    <cellStyle name="Footer SBILogo1" xfId="568" xr:uid="{00000000-0005-0000-0000-0000FA030000}"/>
    <cellStyle name="Footer SBILogo2" xfId="569" xr:uid="{00000000-0005-0000-0000-0000FB030000}"/>
    <cellStyle name="Footnote" xfId="570" xr:uid="{00000000-0005-0000-0000-0000FC030000}"/>
    <cellStyle name="footnote ref" xfId="99" xr:uid="{00000000-0005-0000-0000-0000FD030000}"/>
    <cellStyle name="Footnote Reference" xfId="571" xr:uid="{00000000-0005-0000-0000-0000FE030000}"/>
    <cellStyle name="footnote text" xfId="100" xr:uid="{00000000-0005-0000-0000-0000FF030000}"/>
    <cellStyle name="Footnote_% Change" xfId="572" xr:uid="{00000000-0005-0000-0000-000000040000}"/>
    <cellStyle name="Full date" xfId="1603" xr:uid="{00000000-0005-0000-0000-000001040000}"/>
    <cellStyle name="Full date 2" xfId="1604" xr:uid="{00000000-0005-0000-0000-000002040000}"/>
    <cellStyle name="Full date 2 2" xfId="1605" xr:uid="{00000000-0005-0000-0000-000003040000}"/>
    <cellStyle name="Full date 2 2 2" xfId="1606" xr:uid="{00000000-0005-0000-0000-000004040000}"/>
    <cellStyle name="Full date 2 2 2 2" xfId="1607" xr:uid="{00000000-0005-0000-0000-000005040000}"/>
    <cellStyle name="Full date 2 3" xfId="1608" xr:uid="{00000000-0005-0000-0000-000006040000}"/>
    <cellStyle name="Full date 3" xfId="1609" xr:uid="{00000000-0005-0000-0000-000007040000}"/>
    <cellStyle name="Full date 3 2" xfId="1610" xr:uid="{00000000-0005-0000-0000-000008040000}"/>
    <cellStyle name="Full date 3 2 2" xfId="1611" xr:uid="{00000000-0005-0000-0000-000009040000}"/>
    <cellStyle name="Full date 4" xfId="1612" xr:uid="{00000000-0005-0000-0000-00000A040000}"/>
    <cellStyle name="FullTime" xfId="1613" xr:uid="{00000000-0005-0000-0000-00000B040000}"/>
    <cellStyle name="FullTime 2" xfId="1614" xr:uid="{00000000-0005-0000-0000-00000C040000}"/>
    <cellStyle name="FullTime 2 2" xfId="1615" xr:uid="{00000000-0005-0000-0000-00000D040000}"/>
    <cellStyle name="FullTime 3" xfId="1616" xr:uid="{00000000-0005-0000-0000-00000E040000}"/>
    <cellStyle name="General" xfId="101" xr:uid="{00000000-0005-0000-0000-00000F040000}"/>
    <cellStyle name="General 2" xfId="102" xr:uid="{00000000-0005-0000-0000-000010040000}"/>
    <cellStyle name="General 2 2" xfId="574" xr:uid="{00000000-0005-0000-0000-000011040000}"/>
    <cellStyle name="General 3" xfId="573" xr:uid="{00000000-0005-0000-0000-000012040000}"/>
    <cellStyle name="GENERAL ALIGNED" xfId="1617" xr:uid="{00000000-0005-0000-0000-000013040000}"/>
    <cellStyle name="GiltName" xfId="1618" xr:uid="{00000000-0005-0000-0000-000014040000}"/>
    <cellStyle name="Good 2" xfId="104" xr:uid="{00000000-0005-0000-0000-000015040000}"/>
    <cellStyle name="Good 3" xfId="575" xr:uid="{00000000-0005-0000-0000-000016040000}"/>
    <cellStyle name="Good 4" xfId="103" xr:uid="{00000000-0005-0000-0000-000017040000}"/>
    <cellStyle name="Grey" xfId="105" xr:uid="{00000000-0005-0000-0000-000018040000}"/>
    <cellStyle name="Grey 2" xfId="577" xr:uid="{00000000-0005-0000-0000-000019040000}"/>
    <cellStyle name="Grey 3" xfId="576" xr:uid="{00000000-0005-0000-0000-00001A040000}"/>
    <cellStyle name="GreybarHeader" xfId="1619" xr:uid="{00000000-0005-0000-0000-00001B040000}"/>
    <cellStyle name="GreybarHeader 2" xfId="1620" xr:uid="{00000000-0005-0000-0000-00001C040000}"/>
    <cellStyle name="GreybarHeader 2 2" xfId="1621" xr:uid="{00000000-0005-0000-0000-00001D040000}"/>
    <cellStyle name="GreybarHeader 2_Sheet1" xfId="1622" xr:uid="{00000000-0005-0000-0000-00001E040000}"/>
    <cellStyle name="GreybarHeader 3" xfId="1623" xr:uid="{00000000-0005-0000-0000-00001F040000}"/>
    <cellStyle name="GreybarHeader_Sheet1" xfId="1624" xr:uid="{00000000-0005-0000-0000-000020040000}"/>
    <cellStyle name="Greyed out" xfId="1625" xr:uid="{00000000-0005-0000-0000-000021040000}"/>
    <cellStyle name="Group" xfId="578" xr:uid="{00000000-0005-0000-0000-000022040000}"/>
    <cellStyle name="GroupNote" xfId="579" xr:uid="{00000000-0005-0000-0000-000023040000}"/>
    <cellStyle name="handle" xfId="1626" xr:uid="{00000000-0005-0000-0000-000024040000}"/>
    <cellStyle name="Hard Percent" xfId="580" xr:uid="{00000000-0005-0000-0000-000025040000}"/>
    <cellStyle name="HEAD" xfId="1627" xr:uid="{00000000-0005-0000-0000-000026040000}"/>
    <cellStyle name="Header" xfId="581" xr:uid="{00000000-0005-0000-0000-000027040000}"/>
    <cellStyle name="Header 2" xfId="1628" xr:uid="{00000000-0005-0000-0000-000028040000}"/>
    <cellStyle name="Header 2 2" xfId="1629" xr:uid="{00000000-0005-0000-0000-000029040000}"/>
    <cellStyle name="Header 3" xfId="1630" xr:uid="{00000000-0005-0000-0000-00002A040000}"/>
    <cellStyle name="Header Draft Stamp" xfId="582" xr:uid="{00000000-0005-0000-0000-00002B040000}"/>
    <cellStyle name="Header_% Change" xfId="583" xr:uid="{00000000-0005-0000-0000-00002C040000}"/>
    <cellStyle name="Header1" xfId="584" xr:uid="{00000000-0005-0000-0000-00002D040000}"/>
    <cellStyle name="Header2" xfId="585" xr:uid="{00000000-0005-0000-0000-00002E040000}"/>
    <cellStyle name="HeaderGroup" xfId="1631" xr:uid="{00000000-0005-0000-0000-00002F040000}"/>
    <cellStyle name="HeaderGroup 2" xfId="1632" xr:uid="{00000000-0005-0000-0000-000030040000}"/>
    <cellStyle name="HeaderGroup 2 2" xfId="1633" xr:uid="{00000000-0005-0000-0000-000031040000}"/>
    <cellStyle name="HeaderGroup 3" xfId="1634" xr:uid="{00000000-0005-0000-0000-000032040000}"/>
    <cellStyle name="HeaderLabel" xfId="106" xr:uid="{00000000-0005-0000-0000-000033040000}"/>
    <cellStyle name="HeaderText" xfId="107" xr:uid="{00000000-0005-0000-0000-000034040000}"/>
    <cellStyle name="Heading" xfId="586" xr:uid="{00000000-0005-0000-0000-000035040000}"/>
    <cellStyle name="Heading 1 2" xfId="109" xr:uid="{00000000-0005-0000-0000-000036040000}"/>
    <cellStyle name="Heading 1 2 2" xfId="110" xr:uid="{00000000-0005-0000-0000-000037040000}"/>
    <cellStyle name="Heading 1 2_asset sales" xfId="111" xr:uid="{00000000-0005-0000-0000-000038040000}"/>
    <cellStyle name="Heading 1 3" xfId="112" xr:uid="{00000000-0005-0000-0000-000039040000}"/>
    <cellStyle name="Heading 1 4" xfId="113" xr:uid="{00000000-0005-0000-0000-00003A040000}"/>
    <cellStyle name="Heading 1 5" xfId="108" xr:uid="{00000000-0005-0000-0000-00003B040000}"/>
    <cellStyle name="Heading 1 Above" xfId="587" xr:uid="{00000000-0005-0000-0000-00003C040000}"/>
    <cellStyle name="Heading 1+" xfId="588" xr:uid="{00000000-0005-0000-0000-00003D040000}"/>
    <cellStyle name="Heading 2 2" xfId="115" xr:uid="{00000000-0005-0000-0000-00003E040000}"/>
    <cellStyle name="Heading 2 3" xfId="116" xr:uid="{00000000-0005-0000-0000-00003F040000}"/>
    <cellStyle name="Heading 2 4" xfId="114" xr:uid="{00000000-0005-0000-0000-000040040000}"/>
    <cellStyle name="Heading 2 Below" xfId="589" xr:uid="{00000000-0005-0000-0000-000041040000}"/>
    <cellStyle name="Heading 2+" xfId="590" xr:uid="{00000000-0005-0000-0000-000042040000}"/>
    <cellStyle name="Heading 3 2" xfId="118" xr:uid="{00000000-0005-0000-0000-000043040000}"/>
    <cellStyle name="Heading 3 3" xfId="119" xr:uid="{00000000-0005-0000-0000-000044040000}"/>
    <cellStyle name="Heading 3 4" xfId="117" xr:uid="{00000000-0005-0000-0000-000045040000}"/>
    <cellStyle name="Heading 3+" xfId="591" xr:uid="{00000000-0005-0000-0000-000046040000}"/>
    <cellStyle name="Heading 4 2" xfId="121" xr:uid="{00000000-0005-0000-0000-000047040000}"/>
    <cellStyle name="Heading 4 3" xfId="122" xr:uid="{00000000-0005-0000-0000-000048040000}"/>
    <cellStyle name="Heading 4 4" xfId="120" xr:uid="{00000000-0005-0000-0000-000049040000}"/>
    <cellStyle name="Heading 5" xfId="123" xr:uid="{00000000-0005-0000-0000-00004A040000}"/>
    <cellStyle name="Heading 6" xfId="124" xr:uid="{00000000-0005-0000-0000-00004B040000}"/>
    <cellStyle name="Heading 7" xfId="125" xr:uid="{00000000-0005-0000-0000-00004C040000}"/>
    <cellStyle name="Heading 8" xfId="126" xr:uid="{00000000-0005-0000-0000-00004D040000}"/>
    <cellStyle name="heading 9" xfId="1635" xr:uid="{00000000-0005-0000-0000-00004E040000}"/>
    <cellStyle name="Heading1" xfId="592" xr:uid="{00000000-0005-0000-0000-00004F040000}"/>
    <cellStyle name="Heading2" xfId="593" xr:uid="{00000000-0005-0000-0000-000050040000}"/>
    <cellStyle name="Heading3" xfId="594" xr:uid="{00000000-0005-0000-0000-000051040000}"/>
    <cellStyle name="Heading4" xfId="595" xr:uid="{00000000-0005-0000-0000-000052040000}"/>
    <cellStyle name="Heading5" xfId="596" xr:uid="{00000000-0005-0000-0000-000053040000}"/>
    <cellStyle name="Headings" xfId="597" xr:uid="{00000000-0005-0000-0000-000054040000}"/>
    <cellStyle name="hidden" xfId="1636" xr:uid="{00000000-0005-0000-0000-000055040000}"/>
    <cellStyle name="HIGHLIGHT" xfId="598" xr:uid="{00000000-0005-0000-0000-000056040000}"/>
    <cellStyle name="Horizontal" xfId="599" xr:uid="{00000000-0005-0000-0000-000057040000}"/>
    <cellStyle name="Hyperlink" xfId="4622" builtinId="8"/>
    <cellStyle name="Hyperlink 2" xfId="17" xr:uid="{00000000-0005-0000-0000-000058040000}"/>
    <cellStyle name="Hyperlink 2 2" xfId="600" xr:uid="{00000000-0005-0000-0000-000059040000}"/>
    <cellStyle name="Hyperlink 2 3" xfId="127" xr:uid="{00000000-0005-0000-0000-00005A040000}"/>
    <cellStyle name="Hyperlink 2_Ch4 v2" xfId="601" xr:uid="{00000000-0005-0000-0000-00005B040000}"/>
    <cellStyle name="Hyperlink 3" xfId="602" xr:uid="{00000000-0005-0000-0000-00005C040000}"/>
    <cellStyle name="Hyperlink 4" xfId="603" xr:uid="{00000000-0005-0000-0000-00005D040000}"/>
    <cellStyle name="Hyperlink 5" xfId="604" xr:uid="{00000000-0005-0000-0000-00005E040000}"/>
    <cellStyle name="Hyperlink 6" xfId="605" xr:uid="{00000000-0005-0000-0000-00005F040000}"/>
    <cellStyle name="Hyperlink 7" xfId="4625" xr:uid="{920A4FA0-B9E8-46CF-BFFE-DA16276F2E45}"/>
    <cellStyle name="Information" xfId="128" xr:uid="{00000000-0005-0000-0000-000060040000}"/>
    <cellStyle name="Input [yellow]" xfId="130" xr:uid="{00000000-0005-0000-0000-000061040000}"/>
    <cellStyle name="Input [yellow] 2" xfId="607" xr:uid="{00000000-0005-0000-0000-000062040000}"/>
    <cellStyle name="Input [yellow] 2 2" xfId="1637" xr:uid="{00000000-0005-0000-0000-000063040000}"/>
    <cellStyle name="Input [yellow] 3" xfId="606" xr:uid="{00000000-0005-0000-0000-000064040000}"/>
    <cellStyle name="Input 1" xfId="1638" xr:uid="{00000000-0005-0000-0000-000065040000}"/>
    <cellStyle name="Input 10" xfId="131" xr:uid="{00000000-0005-0000-0000-000066040000}"/>
    <cellStyle name="Input 11" xfId="132" xr:uid="{00000000-0005-0000-0000-000067040000}"/>
    <cellStyle name="Input 12" xfId="133" xr:uid="{00000000-0005-0000-0000-000068040000}"/>
    <cellStyle name="Input 13" xfId="134" xr:uid="{00000000-0005-0000-0000-000069040000}"/>
    <cellStyle name="Input 14" xfId="135" xr:uid="{00000000-0005-0000-0000-00006A040000}"/>
    <cellStyle name="Input 15" xfId="136" xr:uid="{00000000-0005-0000-0000-00006B040000}"/>
    <cellStyle name="Input 16" xfId="137" xr:uid="{00000000-0005-0000-0000-00006C040000}"/>
    <cellStyle name="Input 17" xfId="138" xr:uid="{00000000-0005-0000-0000-00006D040000}"/>
    <cellStyle name="Input 18" xfId="139" xr:uid="{00000000-0005-0000-0000-00006E040000}"/>
    <cellStyle name="Input 19" xfId="140" xr:uid="{00000000-0005-0000-0000-00006F040000}"/>
    <cellStyle name="Input 2" xfId="141" xr:uid="{00000000-0005-0000-0000-000070040000}"/>
    <cellStyle name="Input 20" xfId="129" xr:uid="{00000000-0005-0000-0000-000071040000}"/>
    <cellStyle name="Input 3" xfId="142" xr:uid="{00000000-0005-0000-0000-000072040000}"/>
    <cellStyle name="Input 3 2" xfId="1639" xr:uid="{00000000-0005-0000-0000-000073040000}"/>
    <cellStyle name="Input 3 2 2" xfId="1640" xr:uid="{00000000-0005-0000-0000-000074040000}"/>
    <cellStyle name="Input 3 3" xfId="1641" xr:uid="{00000000-0005-0000-0000-000075040000}"/>
    <cellStyle name="Input 4" xfId="143" xr:uid="{00000000-0005-0000-0000-000076040000}"/>
    <cellStyle name="Input 5" xfId="144" xr:uid="{00000000-0005-0000-0000-000077040000}"/>
    <cellStyle name="Input 6" xfId="145" xr:uid="{00000000-0005-0000-0000-000078040000}"/>
    <cellStyle name="Input 7" xfId="146" xr:uid="{00000000-0005-0000-0000-000079040000}"/>
    <cellStyle name="Input 8" xfId="147" xr:uid="{00000000-0005-0000-0000-00007A040000}"/>
    <cellStyle name="Input 9" xfId="148" xr:uid="{00000000-0005-0000-0000-00007B040000}"/>
    <cellStyle name="Input Cell" xfId="1642" xr:uid="{00000000-0005-0000-0000-00007C040000}"/>
    <cellStyle name="Input Currency" xfId="608" xr:uid="{00000000-0005-0000-0000-00007D040000}"/>
    <cellStyle name="Input Currency 2" xfId="609" xr:uid="{00000000-0005-0000-0000-00007E040000}"/>
    <cellStyle name="Input Multiple" xfId="610" xr:uid="{00000000-0005-0000-0000-00007F040000}"/>
    <cellStyle name="Input Percent" xfId="611" xr:uid="{00000000-0005-0000-0000-000080040000}"/>
    <cellStyle name="InputDescriptions" xfId="1643" xr:uid="{00000000-0005-0000-0000-000081040000}"/>
    <cellStyle name="InputDescriptions 2" xfId="1644" xr:uid="{00000000-0005-0000-0000-000082040000}"/>
    <cellStyle name="InputHeading1" xfId="1645" xr:uid="{00000000-0005-0000-0000-000083040000}"/>
    <cellStyle name="InputHeading1 2" xfId="1646" xr:uid="{00000000-0005-0000-0000-000084040000}"/>
    <cellStyle name="ItalicHeader" xfId="1647" xr:uid="{00000000-0005-0000-0000-000085040000}"/>
    <cellStyle name="KPMG Heading 1" xfId="1648" xr:uid="{00000000-0005-0000-0000-000086040000}"/>
    <cellStyle name="KPMG Heading 1 2" xfId="1649" xr:uid="{00000000-0005-0000-0000-000087040000}"/>
    <cellStyle name="KPMG Heading 1 3" xfId="1650" xr:uid="{00000000-0005-0000-0000-000088040000}"/>
    <cellStyle name="KPMG Heading 2" xfId="1651" xr:uid="{00000000-0005-0000-0000-000089040000}"/>
    <cellStyle name="KPMG Heading 2 2" xfId="1652" xr:uid="{00000000-0005-0000-0000-00008A040000}"/>
    <cellStyle name="KPMG Heading 2 3" xfId="1653" xr:uid="{00000000-0005-0000-0000-00008B040000}"/>
    <cellStyle name="KPMG Heading 3" xfId="1654" xr:uid="{00000000-0005-0000-0000-00008C040000}"/>
    <cellStyle name="KPMG Heading 3 2" xfId="1655" xr:uid="{00000000-0005-0000-0000-00008D040000}"/>
    <cellStyle name="KPMG Heading 3 3" xfId="1656" xr:uid="{00000000-0005-0000-0000-00008E040000}"/>
    <cellStyle name="KPMG Heading 4" xfId="1657" xr:uid="{00000000-0005-0000-0000-00008F040000}"/>
    <cellStyle name="KPMG Heading 4 2" xfId="1658" xr:uid="{00000000-0005-0000-0000-000090040000}"/>
    <cellStyle name="KPMG Heading 4 3" xfId="1659" xr:uid="{00000000-0005-0000-0000-000091040000}"/>
    <cellStyle name="KPMG Normal" xfId="1660" xr:uid="{00000000-0005-0000-0000-000092040000}"/>
    <cellStyle name="KPMG Normal Text" xfId="1661" xr:uid="{00000000-0005-0000-0000-000093040000}"/>
    <cellStyle name="LabelIntersect" xfId="149" xr:uid="{00000000-0005-0000-0000-000094040000}"/>
    <cellStyle name="LabelLeft" xfId="150" xr:uid="{00000000-0005-0000-0000-000095040000}"/>
    <cellStyle name="Labels 8p Bold" xfId="1662" xr:uid="{00000000-0005-0000-0000-000096040000}"/>
    <cellStyle name="LabelTop" xfId="151" xr:uid="{00000000-0005-0000-0000-000097040000}"/>
    <cellStyle name="LeftBorder_WGA" xfId="1663" xr:uid="{00000000-0005-0000-0000-000098040000}"/>
    <cellStyle name="Legal 8½ x 14 in" xfId="1664" xr:uid="{00000000-0005-0000-0000-000099040000}"/>
    <cellStyle name="Legal 8½ x 14 in 2" xfId="1665" xr:uid="{00000000-0005-0000-0000-00009A040000}"/>
    <cellStyle name="Legal 8½ x 14 in 2 2" xfId="1666" xr:uid="{00000000-0005-0000-0000-00009B040000}"/>
    <cellStyle name="Legal 8½ x 14 in 3" xfId="1667" xr:uid="{00000000-0005-0000-0000-00009C040000}"/>
    <cellStyle name="Level" xfId="612" xr:uid="{00000000-0005-0000-0000-00009D040000}"/>
    <cellStyle name="Linked Cell 2" xfId="153" xr:uid="{00000000-0005-0000-0000-00009E040000}"/>
    <cellStyle name="Linked Cell 3" xfId="613" xr:uid="{00000000-0005-0000-0000-00009F040000}"/>
    <cellStyle name="Linked Cell 4" xfId="152" xr:uid="{00000000-0005-0000-0000-0000A0040000}"/>
    <cellStyle name="m" xfId="1668" xr:uid="{00000000-0005-0000-0000-0000A1040000}"/>
    <cellStyle name="m 2" xfId="1669" xr:uid="{00000000-0005-0000-0000-0000A2040000}"/>
    <cellStyle name="m 2 2" xfId="1670" xr:uid="{00000000-0005-0000-0000-0000A3040000}"/>
    <cellStyle name="m 2 2 2" xfId="1671" xr:uid="{00000000-0005-0000-0000-0000A4040000}"/>
    <cellStyle name="Macro" xfId="1672" xr:uid="{00000000-0005-0000-0000-0000A5040000}"/>
    <cellStyle name="Migliaia (0)_RiepilogoNQ" xfId="1673" xr:uid="{00000000-0005-0000-0000-0000A6040000}"/>
    <cellStyle name="Mik" xfId="154" xr:uid="{00000000-0005-0000-0000-0000A7040000}"/>
    <cellStyle name="Mik 2" xfId="155" xr:uid="{00000000-0005-0000-0000-0000A8040000}"/>
    <cellStyle name="Mik 2 2" xfId="615" xr:uid="{00000000-0005-0000-0000-0000A9040000}"/>
    <cellStyle name="Mik 3" xfId="614" xr:uid="{00000000-0005-0000-0000-0000AA040000}"/>
    <cellStyle name="Mik_Additional charts" xfId="156" xr:uid="{00000000-0005-0000-0000-0000AB040000}"/>
    <cellStyle name="Millares [0]_10 AVERIAS MASIVAS + ANT" xfId="616" xr:uid="{00000000-0005-0000-0000-0000AC040000}"/>
    <cellStyle name="Millares_10 AVERIAS MASIVAS + ANT" xfId="617" xr:uid="{00000000-0005-0000-0000-0000AD040000}"/>
    <cellStyle name="Milliers [0]_Modèles2" xfId="1674" xr:uid="{00000000-0005-0000-0000-0000AE040000}"/>
    <cellStyle name="Milliers_Modèles2" xfId="1675" xr:uid="{00000000-0005-0000-0000-0000AF040000}"/>
    <cellStyle name="Moeda [0]_BALANCETE BBG-B" xfId="1676" xr:uid="{00000000-0005-0000-0000-0000B0040000}"/>
    <cellStyle name="Moeda_BALANCETE BBG-B" xfId="1677" xr:uid="{00000000-0005-0000-0000-0000B1040000}"/>
    <cellStyle name="Moneda [0]_Clasif por Diferencial" xfId="618" xr:uid="{00000000-0005-0000-0000-0000B2040000}"/>
    <cellStyle name="Moneda_Clasif por Diferencial" xfId="619" xr:uid="{00000000-0005-0000-0000-0000B3040000}"/>
    <cellStyle name="Monétaire [0]_clinfo980818" xfId="1678" xr:uid="{00000000-0005-0000-0000-0000B4040000}"/>
    <cellStyle name="Monétaire_clinfo980818" xfId="1679" xr:uid="{00000000-0005-0000-0000-0000B5040000}"/>
    <cellStyle name="money" xfId="1680" xr:uid="{00000000-0005-0000-0000-0000B6040000}"/>
    <cellStyle name="money 2" xfId="1681" xr:uid="{00000000-0005-0000-0000-0000B7040000}"/>
    <cellStyle name="MS_English" xfId="620" xr:uid="{00000000-0005-0000-0000-0000B8040000}"/>
    <cellStyle name="Multiple" xfId="621" xr:uid="{00000000-0005-0000-0000-0000B9040000}"/>
    <cellStyle name="MultipleBelow" xfId="622" xr:uid="{00000000-0005-0000-0000-0000BA040000}"/>
    <cellStyle name="N" xfId="157" xr:uid="{00000000-0005-0000-0000-0000BB040000}"/>
    <cellStyle name="N 2" xfId="158" xr:uid="{00000000-0005-0000-0000-0000BC040000}"/>
    <cellStyle name="N 2 2" xfId="624" xr:uid="{00000000-0005-0000-0000-0000BD040000}"/>
    <cellStyle name="N 3" xfId="623" xr:uid="{00000000-0005-0000-0000-0000BE040000}"/>
    <cellStyle name="Named Range" xfId="1682" xr:uid="{00000000-0005-0000-0000-0000BF040000}"/>
    <cellStyle name="Named Range Cells" xfId="1683" xr:uid="{00000000-0005-0000-0000-0000C0040000}"/>
    <cellStyle name="Named Range Tag" xfId="1684" xr:uid="{00000000-0005-0000-0000-0000C1040000}"/>
    <cellStyle name="Named Range_CI&amp;E (5)" xfId="1685" xr:uid="{00000000-0005-0000-0000-0000C2040000}"/>
    <cellStyle name="Neutral 2" xfId="160" xr:uid="{00000000-0005-0000-0000-0000C3040000}"/>
    <cellStyle name="Neutral 3" xfId="625" xr:uid="{00000000-0005-0000-0000-0000C4040000}"/>
    <cellStyle name="Neutral 4" xfId="159" xr:uid="{00000000-0005-0000-0000-0000C5040000}"/>
    <cellStyle name="no dec" xfId="626" xr:uid="{00000000-0005-0000-0000-0000C6040000}"/>
    <cellStyle name="NODECS" xfId="1686" xr:uid="{00000000-0005-0000-0000-0000C7040000}"/>
    <cellStyle name="Normal" xfId="0" builtinId="0"/>
    <cellStyle name="Normal - Style1" xfId="161" xr:uid="{00000000-0005-0000-0000-0000C9040000}"/>
    <cellStyle name="Normal - Style1 2" xfId="627" xr:uid="{00000000-0005-0000-0000-0000CA040000}"/>
    <cellStyle name="Normal - Style1_Ch4 v2" xfId="628" xr:uid="{00000000-0005-0000-0000-0000CB040000}"/>
    <cellStyle name="Normal - Style2" xfId="162" xr:uid="{00000000-0005-0000-0000-0000CC040000}"/>
    <cellStyle name="Normal - Style3" xfId="163" xr:uid="{00000000-0005-0000-0000-0000CD040000}"/>
    <cellStyle name="Normal - Style4" xfId="164" xr:uid="{00000000-0005-0000-0000-0000CE040000}"/>
    <cellStyle name="Normal - Style5" xfId="165" xr:uid="{00000000-0005-0000-0000-0000CF040000}"/>
    <cellStyle name="Normal 0" xfId="629" xr:uid="{00000000-0005-0000-0000-0000D0040000}"/>
    <cellStyle name="Normal 10" xfId="166" xr:uid="{00000000-0005-0000-0000-0000D1040000}"/>
    <cellStyle name="Normal 10 2" xfId="630" xr:uid="{00000000-0005-0000-0000-0000D2040000}"/>
    <cellStyle name="Normal 10 3" xfId="1688" xr:uid="{00000000-0005-0000-0000-0000D3040000}"/>
    <cellStyle name="Normal 10_Data for charts" xfId="1687" xr:uid="{00000000-0005-0000-0000-0000D4040000}"/>
    <cellStyle name="Normal 100" xfId="1689" xr:uid="{00000000-0005-0000-0000-0000D5040000}"/>
    <cellStyle name="Normal 100 2" xfId="1690" xr:uid="{00000000-0005-0000-0000-0000D6040000}"/>
    <cellStyle name="Normal 100 2 2" xfId="1691" xr:uid="{00000000-0005-0000-0000-0000D7040000}"/>
    <cellStyle name="Normal 100 2 2 2" xfId="1692" xr:uid="{00000000-0005-0000-0000-0000D8040000}"/>
    <cellStyle name="Normal 100 2 2_a.Data" xfId="1693" xr:uid="{00000000-0005-0000-0000-0000D9040000}"/>
    <cellStyle name="Normal 100 2 3" xfId="1694" xr:uid="{00000000-0005-0000-0000-0000DA040000}"/>
    <cellStyle name="Normal 100 2_a.Data" xfId="1695" xr:uid="{00000000-0005-0000-0000-0000DB040000}"/>
    <cellStyle name="Normal 100 3" xfId="1696" xr:uid="{00000000-0005-0000-0000-0000DC040000}"/>
    <cellStyle name="Normal 100 3 2" xfId="1697" xr:uid="{00000000-0005-0000-0000-0000DD040000}"/>
    <cellStyle name="Normal 100 3_a.Data" xfId="1698" xr:uid="{00000000-0005-0000-0000-0000DE040000}"/>
    <cellStyle name="Normal 100 4" xfId="1699" xr:uid="{00000000-0005-0000-0000-0000DF040000}"/>
    <cellStyle name="Normal 100_a.Data" xfId="1700" xr:uid="{00000000-0005-0000-0000-0000E0040000}"/>
    <cellStyle name="Normal 101" xfId="1701" xr:uid="{00000000-0005-0000-0000-0000E1040000}"/>
    <cellStyle name="Normal 101 2" xfId="1702" xr:uid="{00000000-0005-0000-0000-0000E2040000}"/>
    <cellStyle name="Normal 101 2 2" xfId="1703" xr:uid="{00000000-0005-0000-0000-0000E3040000}"/>
    <cellStyle name="Normal 101 2 2 2" xfId="1704" xr:uid="{00000000-0005-0000-0000-0000E4040000}"/>
    <cellStyle name="Normal 101 2 2_a.Data" xfId="1705" xr:uid="{00000000-0005-0000-0000-0000E5040000}"/>
    <cellStyle name="Normal 101 2 3" xfId="1706" xr:uid="{00000000-0005-0000-0000-0000E6040000}"/>
    <cellStyle name="Normal 101 2_a.Data" xfId="1707" xr:uid="{00000000-0005-0000-0000-0000E7040000}"/>
    <cellStyle name="Normal 101 3" xfId="1708" xr:uid="{00000000-0005-0000-0000-0000E8040000}"/>
    <cellStyle name="Normal 101 3 2" xfId="1709" xr:uid="{00000000-0005-0000-0000-0000E9040000}"/>
    <cellStyle name="Normal 101 3_a.Data" xfId="1710" xr:uid="{00000000-0005-0000-0000-0000EA040000}"/>
    <cellStyle name="Normal 101 4" xfId="1711" xr:uid="{00000000-0005-0000-0000-0000EB040000}"/>
    <cellStyle name="Normal 101_a.Data" xfId="1712" xr:uid="{00000000-0005-0000-0000-0000EC040000}"/>
    <cellStyle name="Normal 102" xfId="1713" xr:uid="{00000000-0005-0000-0000-0000ED040000}"/>
    <cellStyle name="Normal 103" xfId="1714" xr:uid="{00000000-0005-0000-0000-0000EE040000}"/>
    <cellStyle name="Normal 103 2" xfId="1715" xr:uid="{00000000-0005-0000-0000-0000EF040000}"/>
    <cellStyle name="Normal 103 2 2" xfId="1716" xr:uid="{00000000-0005-0000-0000-0000F0040000}"/>
    <cellStyle name="Normal 103 2 2 2" xfId="1717" xr:uid="{00000000-0005-0000-0000-0000F1040000}"/>
    <cellStyle name="Normal 103 2 2_a.Data" xfId="1718" xr:uid="{00000000-0005-0000-0000-0000F2040000}"/>
    <cellStyle name="Normal 103 2 3" xfId="1719" xr:uid="{00000000-0005-0000-0000-0000F3040000}"/>
    <cellStyle name="Normal 103 2_a.Data" xfId="1720" xr:uid="{00000000-0005-0000-0000-0000F4040000}"/>
    <cellStyle name="Normal 103 3" xfId="1721" xr:uid="{00000000-0005-0000-0000-0000F5040000}"/>
    <cellStyle name="Normal 103 3 2" xfId="1722" xr:uid="{00000000-0005-0000-0000-0000F6040000}"/>
    <cellStyle name="Normal 103 3_a.Data" xfId="1723" xr:uid="{00000000-0005-0000-0000-0000F7040000}"/>
    <cellStyle name="Normal 103 4" xfId="1724" xr:uid="{00000000-0005-0000-0000-0000F8040000}"/>
    <cellStyle name="Normal 103_a.Data" xfId="1725" xr:uid="{00000000-0005-0000-0000-0000F9040000}"/>
    <cellStyle name="Normal 104" xfId="1726" xr:uid="{00000000-0005-0000-0000-0000FA040000}"/>
    <cellStyle name="Normal 104 2" xfId="1727" xr:uid="{00000000-0005-0000-0000-0000FB040000}"/>
    <cellStyle name="Normal 104 2 2" xfId="1728" xr:uid="{00000000-0005-0000-0000-0000FC040000}"/>
    <cellStyle name="Normal 104 2 2 2" xfId="1729" xr:uid="{00000000-0005-0000-0000-0000FD040000}"/>
    <cellStyle name="Normal 104 2 2_a.Data" xfId="1730" xr:uid="{00000000-0005-0000-0000-0000FE040000}"/>
    <cellStyle name="Normal 104 2 3" xfId="1731" xr:uid="{00000000-0005-0000-0000-0000FF040000}"/>
    <cellStyle name="Normal 104 2_a.Data" xfId="1732" xr:uid="{00000000-0005-0000-0000-000000050000}"/>
    <cellStyle name="Normal 104 3" xfId="1733" xr:uid="{00000000-0005-0000-0000-000001050000}"/>
    <cellStyle name="Normal 104 3 2" xfId="1734" xr:uid="{00000000-0005-0000-0000-000002050000}"/>
    <cellStyle name="Normal 104 3_a.Data" xfId="1735" xr:uid="{00000000-0005-0000-0000-000003050000}"/>
    <cellStyle name="Normal 104 4" xfId="1736" xr:uid="{00000000-0005-0000-0000-000004050000}"/>
    <cellStyle name="Normal 104_a.Data" xfId="1737" xr:uid="{00000000-0005-0000-0000-000005050000}"/>
    <cellStyle name="Normal 105" xfId="1738" xr:uid="{00000000-0005-0000-0000-000006050000}"/>
    <cellStyle name="Normal 106" xfId="1739" xr:uid="{00000000-0005-0000-0000-000007050000}"/>
    <cellStyle name="Normal 106 2" xfId="1740" xr:uid="{00000000-0005-0000-0000-000008050000}"/>
    <cellStyle name="Normal 106 2 2" xfId="1741" xr:uid="{00000000-0005-0000-0000-000009050000}"/>
    <cellStyle name="Normal 106 2 2 2" xfId="1742" xr:uid="{00000000-0005-0000-0000-00000A050000}"/>
    <cellStyle name="Normal 106 2 2_a.Data" xfId="1743" xr:uid="{00000000-0005-0000-0000-00000B050000}"/>
    <cellStyle name="Normal 106 2 3" xfId="1744" xr:uid="{00000000-0005-0000-0000-00000C050000}"/>
    <cellStyle name="Normal 106 2_a.Data" xfId="1745" xr:uid="{00000000-0005-0000-0000-00000D050000}"/>
    <cellStyle name="Normal 106 3" xfId="1746" xr:uid="{00000000-0005-0000-0000-00000E050000}"/>
    <cellStyle name="Normal 106 3 2" xfId="1747" xr:uid="{00000000-0005-0000-0000-00000F050000}"/>
    <cellStyle name="Normal 106 3_a.Data" xfId="1748" xr:uid="{00000000-0005-0000-0000-000010050000}"/>
    <cellStyle name="Normal 106 4" xfId="1749" xr:uid="{00000000-0005-0000-0000-000011050000}"/>
    <cellStyle name="Normal 106_a.Data" xfId="1750" xr:uid="{00000000-0005-0000-0000-000012050000}"/>
    <cellStyle name="Normal 107" xfId="1751" xr:uid="{00000000-0005-0000-0000-000013050000}"/>
    <cellStyle name="Normal 107 2" xfId="1752" xr:uid="{00000000-0005-0000-0000-000014050000}"/>
    <cellStyle name="Normal 107 2 2" xfId="1753" xr:uid="{00000000-0005-0000-0000-000015050000}"/>
    <cellStyle name="Normal 107 2 2 2" xfId="1754" xr:uid="{00000000-0005-0000-0000-000016050000}"/>
    <cellStyle name="Normal 107 2 2_a.Data" xfId="1755" xr:uid="{00000000-0005-0000-0000-000017050000}"/>
    <cellStyle name="Normal 107 2 3" xfId="1756" xr:uid="{00000000-0005-0000-0000-000018050000}"/>
    <cellStyle name="Normal 107 2_a.Data" xfId="1757" xr:uid="{00000000-0005-0000-0000-000019050000}"/>
    <cellStyle name="Normal 107 3" xfId="1758" xr:uid="{00000000-0005-0000-0000-00001A050000}"/>
    <cellStyle name="Normal 107 3 2" xfId="1759" xr:uid="{00000000-0005-0000-0000-00001B050000}"/>
    <cellStyle name="Normal 107 3_a.Data" xfId="1760" xr:uid="{00000000-0005-0000-0000-00001C050000}"/>
    <cellStyle name="Normal 107 4" xfId="1761" xr:uid="{00000000-0005-0000-0000-00001D050000}"/>
    <cellStyle name="Normal 107_a.Data" xfId="1762" xr:uid="{00000000-0005-0000-0000-00001E050000}"/>
    <cellStyle name="Normal 108" xfId="1763" xr:uid="{00000000-0005-0000-0000-00001F050000}"/>
    <cellStyle name="Normal 108 2" xfId="1764" xr:uid="{00000000-0005-0000-0000-000020050000}"/>
    <cellStyle name="Normal 108 3" xfId="1765" xr:uid="{00000000-0005-0000-0000-000021050000}"/>
    <cellStyle name="Normal 108 4" xfId="1766" xr:uid="{00000000-0005-0000-0000-000022050000}"/>
    <cellStyle name="Normal 108_a.Data" xfId="1767" xr:uid="{00000000-0005-0000-0000-000023050000}"/>
    <cellStyle name="Normal 109" xfId="1768" xr:uid="{00000000-0005-0000-0000-000024050000}"/>
    <cellStyle name="Normal 109 2" xfId="1769" xr:uid="{00000000-0005-0000-0000-000025050000}"/>
    <cellStyle name="Normal 109 2 2" xfId="1770" xr:uid="{00000000-0005-0000-0000-000026050000}"/>
    <cellStyle name="Normal 109 2 2 2" xfId="1771" xr:uid="{00000000-0005-0000-0000-000027050000}"/>
    <cellStyle name="Normal 109 2 2_a.Data" xfId="1772" xr:uid="{00000000-0005-0000-0000-000028050000}"/>
    <cellStyle name="Normal 109 2 3" xfId="1773" xr:uid="{00000000-0005-0000-0000-000029050000}"/>
    <cellStyle name="Normal 109 2_a.Data" xfId="1774" xr:uid="{00000000-0005-0000-0000-00002A050000}"/>
    <cellStyle name="Normal 109 3" xfId="1775" xr:uid="{00000000-0005-0000-0000-00002B050000}"/>
    <cellStyle name="Normal 109 3 2" xfId="1776" xr:uid="{00000000-0005-0000-0000-00002C050000}"/>
    <cellStyle name="Normal 109 3_a.Data" xfId="1777" xr:uid="{00000000-0005-0000-0000-00002D050000}"/>
    <cellStyle name="Normal 109 4" xfId="1778" xr:uid="{00000000-0005-0000-0000-00002E050000}"/>
    <cellStyle name="Normal 109_a.Data" xfId="1779" xr:uid="{00000000-0005-0000-0000-00002F050000}"/>
    <cellStyle name="Normal 11" xfId="167" xr:uid="{00000000-0005-0000-0000-000030050000}"/>
    <cellStyle name="Normal 11 2" xfId="631" xr:uid="{00000000-0005-0000-0000-000031050000}"/>
    <cellStyle name="Normal 11 3" xfId="1781" xr:uid="{00000000-0005-0000-0000-000032050000}"/>
    <cellStyle name="Normal 11 3 2" xfId="1782" xr:uid="{00000000-0005-0000-0000-000033050000}"/>
    <cellStyle name="Normal 11 3 2 2" xfId="1783" xr:uid="{00000000-0005-0000-0000-000034050000}"/>
    <cellStyle name="Normal 11 3 2 2 2" xfId="1784" xr:uid="{00000000-0005-0000-0000-000035050000}"/>
    <cellStyle name="Normal 11 3 2 2 2 2" xfId="1785" xr:uid="{00000000-0005-0000-0000-000036050000}"/>
    <cellStyle name="Normal 11 3 2 2 2_a.Data" xfId="1786" xr:uid="{00000000-0005-0000-0000-000037050000}"/>
    <cellStyle name="Normal 11 3 2 2 3" xfId="1787" xr:uid="{00000000-0005-0000-0000-000038050000}"/>
    <cellStyle name="Normal 11 3 2 2_a.Data" xfId="1788" xr:uid="{00000000-0005-0000-0000-000039050000}"/>
    <cellStyle name="Normal 11 3 2 3" xfId="1789" xr:uid="{00000000-0005-0000-0000-00003A050000}"/>
    <cellStyle name="Normal 11 3 2 3 2" xfId="1790" xr:uid="{00000000-0005-0000-0000-00003B050000}"/>
    <cellStyle name="Normal 11 3 2 3_a.Data" xfId="1791" xr:uid="{00000000-0005-0000-0000-00003C050000}"/>
    <cellStyle name="Normal 11 3 2 4" xfId="1792" xr:uid="{00000000-0005-0000-0000-00003D050000}"/>
    <cellStyle name="Normal 11 3 2_a.Data" xfId="1793" xr:uid="{00000000-0005-0000-0000-00003E050000}"/>
    <cellStyle name="Normal 11 3 3" xfId="1794" xr:uid="{00000000-0005-0000-0000-00003F050000}"/>
    <cellStyle name="Normal 11 3 3 2" xfId="1795" xr:uid="{00000000-0005-0000-0000-000040050000}"/>
    <cellStyle name="Normal 11 3 3 2 2" xfId="1796" xr:uid="{00000000-0005-0000-0000-000041050000}"/>
    <cellStyle name="Normal 11 3 3 2_a.Data" xfId="1797" xr:uid="{00000000-0005-0000-0000-000042050000}"/>
    <cellStyle name="Normal 11 3 3 3" xfId="1798" xr:uid="{00000000-0005-0000-0000-000043050000}"/>
    <cellStyle name="Normal 11 3 3_a.Data" xfId="1799" xr:uid="{00000000-0005-0000-0000-000044050000}"/>
    <cellStyle name="Normal 11 3 4" xfId="1800" xr:uid="{00000000-0005-0000-0000-000045050000}"/>
    <cellStyle name="Normal 11 3 4 2" xfId="1801" xr:uid="{00000000-0005-0000-0000-000046050000}"/>
    <cellStyle name="Normal 11 3 4_a.Data" xfId="1802" xr:uid="{00000000-0005-0000-0000-000047050000}"/>
    <cellStyle name="Normal 11 3 5" xfId="1803" xr:uid="{00000000-0005-0000-0000-000048050000}"/>
    <cellStyle name="Normal 11 3_a.Data" xfId="1804" xr:uid="{00000000-0005-0000-0000-000049050000}"/>
    <cellStyle name="Normal 11 4" xfId="1805" xr:uid="{00000000-0005-0000-0000-00004A050000}"/>
    <cellStyle name="Normal 11 4 2" xfId="1806" xr:uid="{00000000-0005-0000-0000-00004B050000}"/>
    <cellStyle name="Normal 11 4 2 2" xfId="1807" xr:uid="{00000000-0005-0000-0000-00004C050000}"/>
    <cellStyle name="Normal 11 4 2 2 2" xfId="1808" xr:uid="{00000000-0005-0000-0000-00004D050000}"/>
    <cellStyle name="Normal 11 4 2 2_a.Data" xfId="1809" xr:uid="{00000000-0005-0000-0000-00004E050000}"/>
    <cellStyle name="Normal 11 4 2 3" xfId="1810" xr:uid="{00000000-0005-0000-0000-00004F050000}"/>
    <cellStyle name="Normal 11 4 2_a.Data" xfId="1811" xr:uid="{00000000-0005-0000-0000-000050050000}"/>
    <cellStyle name="Normal 11 4 3" xfId="1812" xr:uid="{00000000-0005-0000-0000-000051050000}"/>
    <cellStyle name="Normal 11 4 3 2" xfId="1813" xr:uid="{00000000-0005-0000-0000-000052050000}"/>
    <cellStyle name="Normal 11 4 3_a.Data" xfId="1814" xr:uid="{00000000-0005-0000-0000-000053050000}"/>
    <cellStyle name="Normal 11 4 4" xfId="1815" xr:uid="{00000000-0005-0000-0000-000054050000}"/>
    <cellStyle name="Normal 11 4_a.Data" xfId="1816" xr:uid="{00000000-0005-0000-0000-000055050000}"/>
    <cellStyle name="Normal 11 5" xfId="1817" xr:uid="{00000000-0005-0000-0000-000056050000}"/>
    <cellStyle name="Normal 11 5 2" xfId="1818" xr:uid="{00000000-0005-0000-0000-000057050000}"/>
    <cellStyle name="Normal 11 5_BASE Current Year" xfId="1819" xr:uid="{00000000-0005-0000-0000-000058050000}"/>
    <cellStyle name="Normal 11 6" xfId="1820" xr:uid="{00000000-0005-0000-0000-000059050000}"/>
    <cellStyle name="Normal 11 6 2" xfId="1821" xr:uid="{00000000-0005-0000-0000-00005A050000}"/>
    <cellStyle name="Normal 11 6_BASE Current Year" xfId="1822" xr:uid="{00000000-0005-0000-0000-00005B050000}"/>
    <cellStyle name="Normal 11 7" xfId="1823" xr:uid="{00000000-0005-0000-0000-00005C050000}"/>
    <cellStyle name="Normal 11_Data for charts" xfId="1780" xr:uid="{00000000-0005-0000-0000-00005D050000}"/>
    <cellStyle name="Normal 110" xfId="1824" xr:uid="{00000000-0005-0000-0000-00005E050000}"/>
    <cellStyle name="Normal 110 2" xfId="1825" xr:uid="{00000000-0005-0000-0000-00005F050000}"/>
    <cellStyle name="Normal 110 3" xfId="1826" xr:uid="{00000000-0005-0000-0000-000060050000}"/>
    <cellStyle name="Normal 110_a.Data" xfId="1827" xr:uid="{00000000-0005-0000-0000-000061050000}"/>
    <cellStyle name="Normal 111" xfId="1828" xr:uid="{00000000-0005-0000-0000-000062050000}"/>
    <cellStyle name="Normal 111 2" xfId="1829" xr:uid="{00000000-0005-0000-0000-000063050000}"/>
    <cellStyle name="Normal 111 3" xfId="1830" xr:uid="{00000000-0005-0000-0000-000064050000}"/>
    <cellStyle name="Normal 111_a.Data" xfId="1831" xr:uid="{00000000-0005-0000-0000-000065050000}"/>
    <cellStyle name="Normal 112" xfId="1832" xr:uid="{00000000-0005-0000-0000-000066050000}"/>
    <cellStyle name="Normal 112 2" xfId="1833" xr:uid="{00000000-0005-0000-0000-000067050000}"/>
    <cellStyle name="Normal 112 3" xfId="1834" xr:uid="{00000000-0005-0000-0000-000068050000}"/>
    <cellStyle name="Normal 113" xfId="1835" xr:uid="{00000000-0005-0000-0000-000069050000}"/>
    <cellStyle name="Normal 113 2" xfId="1836" xr:uid="{00000000-0005-0000-0000-00006A050000}"/>
    <cellStyle name="Normal 113 3" xfId="1837" xr:uid="{00000000-0005-0000-0000-00006B050000}"/>
    <cellStyle name="Normal 113_a.Data" xfId="1838" xr:uid="{00000000-0005-0000-0000-00006C050000}"/>
    <cellStyle name="Normal 114" xfId="1839" xr:uid="{00000000-0005-0000-0000-00006D050000}"/>
    <cellStyle name="Normal 114 2" xfId="1840" xr:uid="{00000000-0005-0000-0000-00006E050000}"/>
    <cellStyle name="Normal 114 3" xfId="1841" xr:uid="{00000000-0005-0000-0000-00006F050000}"/>
    <cellStyle name="Normal 114_a.Data" xfId="1842" xr:uid="{00000000-0005-0000-0000-000070050000}"/>
    <cellStyle name="Normal 115" xfId="1843" xr:uid="{00000000-0005-0000-0000-000071050000}"/>
    <cellStyle name="Normal 115 2" xfId="1844" xr:uid="{00000000-0005-0000-0000-000072050000}"/>
    <cellStyle name="Normal 115 3" xfId="1845" xr:uid="{00000000-0005-0000-0000-000073050000}"/>
    <cellStyle name="Normal 116" xfId="1846" xr:uid="{00000000-0005-0000-0000-000074050000}"/>
    <cellStyle name="Normal 116 2" xfId="1847" xr:uid="{00000000-0005-0000-0000-000075050000}"/>
    <cellStyle name="Normal 116 3" xfId="1848" xr:uid="{00000000-0005-0000-0000-000076050000}"/>
    <cellStyle name="Normal 116_a.Data" xfId="1849" xr:uid="{00000000-0005-0000-0000-000077050000}"/>
    <cellStyle name="Normal 117" xfId="1850" xr:uid="{00000000-0005-0000-0000-000078050000}"/>
    <cellStyle name="Normal 117 2" xfId="1851" xr:uid="{00000000-0005-0000-0000-000079050000}"/>
    <cellStyle name="Normal 117 2 2" xfId="1852" xr:uid="{00000000-0005-0000-0000-00007A050000}"/>
    <cellStyle name="Normal 117 2_a.Data" xfId="1853" xr:uid="{00000000-0005-0000-0000-00007B050000}"/>
    <cellStyle name="Normal 117 3" xfId="1854" xr:uid="{00000000-0005-0000-0000-00007C050000}"/>
    <cellStyle name="Normal 117_a.Data" xfId="1855" xr:uid="{00000000-0005-0000-0000-00007D050000}"/>
    <cellStyle name="Normal 118" xfId="1856" xr:uid="{00000000-0005-0000-0000-00007E050000}"/>
    <cellStyle name="Normal 118 2" xfId="1857" xr:uid="{00000000-0005-0000-0000-00007F050000}"/>
    <cellStyle name="Normal 118 3" xfId="1858" xr:uid="{00000000-0005-0000-0000-000080050000}"/>
    <cellStyle name="Normal 119" xfId="1859" xr:uid="{00000000-0005-0000-0000-000081050000}"/>
    <cellStyle name="Normal 119 2" xfId="1860" xr:uid="{00000000-0005-0000-0000-000082050000}"/>
    <cellStyle name="Normal 119 2 2" xfId="1861" xr:uid="{00000000-0005-0000-0000-000083050000}"/>
    <cellStyle name="Normal 119 2_a.Data" xfId="1862" xr:uid="{00000000-0005-0000-0000-000084050000}"/>
    <cellStyle name="Normal 119 3" xfId="1863" xr:uid="{00000000-0005-0000-0000-000085050000}"/>
    <cellStyle name="Normal 119_a.Data" xfId="1864" xr:uid="{00000000-0005-0000-0000-000086050000}"/>
    <cellStyle name="Normal 12" xfId="168" xr:uid="{00000000-0005-0000-0000-000087050000}"/>
    <cellStyle name="Normal 12 2" xfId="632" xr:uid="{00000000-0005-0000-0000-000088050000}"/>
    <cellStyle name="Normal 12_Data for charts" xfId="1865" xr:uid="{00000000-0005-0000-0000-000089050000}"/>
    <cellStyle name="Normal 120" xfId="1866" xr:uid="{00000000-0005-0000-0000-00008A050000}"/>
    <cellStyle name="Normal 120 2" xfId="1867" xr:uid="{00000000-0005-0000-0000-00008B050000}"/>
    <cellStyle name="Normal 120 2 2" xfId="1868" xr:uid="{00000000-0005-0000-0000-00008C050000}"/>
    <cellStyle name="Normal 120 2_a.Data" xfId="1869" xr:uid="{00000000-0005-0000-0000-00008D050000}"/>
    <cellStyle name="Normal 120 3" xfId="1870" xr:uid="{00000000-0005-0000-0000-00008E050000}"/>
    <cellStyle name="Normal 120_a.Data" xfId="1871" xr:uid="{00000000-0005-0000-0000-00008F050000}"/>
    <cellStyle name="Normal 121" xfId="1872" xr:uid="{00000000-0005-0000-0000-000090050000}"/>
    <cellStyle name="Normal 121 2" xfId="1873" xr:uid="{00000000-0005-0000-0000-000091050000}"/>
    <cellStyle name="Normal 121 2 2" xfId="1874" xr:uid="{00000000-0005-0000-0000-000092050000}"/>
    <cellStyle name="Normal 121 2_a.Data" xfId="1875" xr:uid="{00000000-0005-0000-0000-000093050000}"/>
    <cellStyle name="Normal 121 3" xfId="1876" xr:uid="{00000000-0005-0000-0000-000094050000}"/>
    <cellStyle name="Normal 121_a.Data" xfId="1877" xr:uid="{00000000-0005-0000-0000-000095050000}"/>
    <cellStyle name="Normal 122" xfId="1878" xr:uid="{00000000-0005-0000-0000-000096050000}"/>
    <cellStyle name="Normal 122 2" xfId="1879" xr:uid="{00000000-0005-0000-0000-000097050000}"/>
    <cellStyle name="Normal 122 2 2" xfId="1880" xr:uid="{00000000-0005-0000-0000-000098050000}"/>
    <cellStyle name="Normal 122 2_a.Data" xfId="1881" xr:uid="{00000000-0005-0000-0000-000099050000}"/>
    <cellStyle name="Normal 122 3" xfId="1882" xr:uid="{00000000-0005-0000-0000-00009A050000}"/>
    <cellStyle name="Normal 122_a.Data" xfId="1883" xr:uid="{00000000-0005-0000-0000-00009B050000}"/>
    <cellStyle name="Normal 123" xfId="1884" xr:uid="{00000000-0005-0000-0000-00009C050000}"/>
    <cellStyle name="Normal 123 2" xfId="1885" xr:uid="{00000000-0005-0000-0000-00009D050000}"/>
    <cellStyle name="Normal 123 2 2" xfId="1886" xr:uid="{00000000-0005-0000-0000-00009E050000}"/>
    <cellStyle name="Normal 123 2_a.Data" xfId="1887" xr:uid="{00000000-0005-0000-0000-00009F050000}"/>
    <cellStyle name="Normal 123 3" xfId="1888" xr:uid="{00000000-0005-0000-0000-0000A0050000}"/>
    <cellStyle name="Normal 123_a.Data" xfId="1889" xr:uid="{00000000-0005-0000-0000-0000A1050000}"/>
    <cellStyle name="Normal 124" xfId="1890" xr:uid="{00000000-0005-0000-0000-0000A2050000}"/>
    <cellStyle name="Normal 124 2" xfId="1891" xr:uid="{00000000-0005-0000-0000-0000A3050000}"/>
    <cellStyle name="Normal 124 2 2" xfId="1892" xr:uid="{00000000-0005-0000-0000-0000A4050000}"/>
    <cellStyle name="Normal 124 2_a.Data" xfId="1893" xr:uid="{00000000-0005-0000-0000-0000A5050000}"/>
    <cellStyle name="Normal 124 3" xfId="1894" xr:uid="{00000000-0005-0000-0000-0000A6050000}"/>
    <cellStyle name="Normal 124_a.Data" xfId="1895" xr:uid="{00000000-0005-0000-0000-0000A7050000}"/>
    <cellStyle name="Normal 125" xfId="1896" xr:uid="{00000000-0005-0000-0000-0000A8050000}"/>
    <cellStyle name="Normal 125 2" xfId="1897" xr:uid="{00000000-0005-0000-0000-0000A9050000}"/>
    <cellStyle name="Normal 125 2 2" xfId="1898" xr:uid="{00000000-0005-0000-0000-0000AA050000}"/>
    <cellStyle name="Normal 125 2_a.Data" xfId="1899" xr:uid="{00000000-0005-0000-0000-0000AB050000}"/>
    <cellStyle name="Normal 125 3" xfId="1900" xr:uid="{00000000-0005-0000-0000-0000AC050000}"/>
    <cellStyle name="Normal 125_a.Data" xfId="1901" xr:uid="{00000000-0005-0000-0000-0000AD050000}"/>
    <cellStyle name="Normal 126" xfId="1902" xr:uid="{00000000-0005-0000-0000-0000AE050000}"/>
    <cellStyle name="Normal 126 2" xfId="1903" xr:uid="{00000000-0005-0000-0000-0000AF050000}"/>
    <cellStyle name="Normal 126 2 2" xfId="1904" xr:uid="{00000000-0005-0000-0000-0000B0050000}"/>
    <cellStyle name="Normal 126 2_a.Data" xfId="1905" xr:uid="{00000000-0005-0000-0000-0000B1050000}"/>
    <cellStyle name="Normal 126 3" xfId="1906" xr:uid="{00000000-0005-0000-0000-0000B2050000}"/>
    <cellStyle name="Normal 126_a.Data" xfId="1907" xr:uid="{00000000-0005-0000-0000-0000B3050000}"/>
    <cellStyle name="Normal 127" xfId="1908" xr:uid="{00000000-0005-0000-0000-0000B4050000}"/>
    <cellStyle name="Normal 127 2" xfId="1909" xr:uid="{00000000-0005-0000-0000-0000B5050000}"/>
    <cellStyle name="Normal 127 2 2" xfId="1910" xr:uid="{00000000-0005-0000-0000-0000B6050000}"/>
    <cellStyle name="Normal 127 2_a.Data" xfId="1911" xr:uid="{00000000-0005-0000-0000-0000B7050000}"/>
    <cellStyle name="Normal 127 3" xfId="1912" xr:uid="{00000000-0005-0000-0000-0000B8050000}"/>
    <cellStyle name="Normal 127_a.Data" xfId="1913" xr:uid="{00000000-0005-0000-0000-0000B9050000}"/>
    <cellStyle name="Normal 128" xfId="1914" xr:uid="{00000000-0005-0000-0000-0000BA050000}"/>
    <cellStyle name="Normal 128 2" xfId="1915" xr:uid="{00000000-0005-0000-0000-0000BB050000}"/>
    <cellStyle name="Normal 128_a.Data" xfId="1916" xr:uid="{00000000-0005-0000-0000-0000BC050000}"/>
    <cellStyle name="Normal 129" xfId="1917" xr:uid="{00000000-0005-0000-0000-0000BD050000}"/>
    <cellStyle name="Normal 129 2" xfId="1918" xr:uid="{00000000-0005-0000-0000-0000BE050000}"/>
    <cellStyle name="Normal 129 2 2" xfId="1919" xr:uid="{00000000-0005-0000-0000-0000BF050000}"/>
    <cellStyle name="Normal 129 2_a.Data" xfId="1920" xr:uid="{00000000-0005-0000-0000-0000C0050000}"/>
    <cellStyle name="Normal 129 3" xfId="1921" xr:uid="{00000000-0005-0000-0000-0000C1050000}"/>
    <cellStyle name="Normal 129_a.Data" xfId="1922" xr:uid="{00000000-0005-0000-0000-0000C2050000}"/>
    <cellStyle name="Normal 13" xfId="169" xr:uid="{00000000-0005-0000-0000-0000C3050000}"/>
    <cellStyle name="Normal 13 2" xfId="633" xr:uid="{00000000-0005-0000-0000-0000C4050000}"/>
    <cellStyle name="Normal 13_Data for charts" xfId="1923" xr:uid="{00000000-0005-0000-0000-0000C5050000}"/>
    <cellStyle name="Normal 130" xfId="1924" xr:uid="{00000000-0005-0000-0000-0000C6050000}"/>
    <cellStyle name="Normal 130 2" xfId="1925" xr:uid="{00000000-0005-0000-0000-0000C7050000}"/>
    <cellStyle name="Normal 130 3" xfId="1926" xr:uid="{00000000-0005-0000-0000-0000C8050000}"/>
    <cellStyle name="Normal 131" xfId="1927" xr:uid="{00000000-0005-0000-0000-0000C9050000}"/>
    <cellStyle name="Normal 131 2" xfId="1928" xr:uid="{00000000-0005-0000-0000-0000CA050000}"/>
    <cellStyle name="Normal 131_a.Data" xfId="1929" xr:uid="{00000000-0005-0000-0000-0000CB050000}"/>
    <cellStyle name="Normal 132" xfId="1930" xr:uid="{00000000-0005-0000-0000-0000CC050000}"/>
    <cellStyle name="Normal 132 2" xfId="1931" xr:uid="{00000000-0005-0000-0000-0000CD050000}"/>
    <cellStyle name="Normal 132_a.Data" xfId="1932" xr:uid="{00000000-0005-0000-0000-0000CE050000}"/>
    <cellStyle name="Normal 133" xfId="1933" xr:uid="{00000000-0005-0000-0000-0000CF050000}"/>
    <cellStyle name="Normal 133 2" xfId="1934" xr:uid="{00000000-0005-0000-0000-0000D0050000}"/>
    <cellStyle name="Normal 134" xfId="1935" xr:uid="{00000000-0005-0000-0000-0000D1050000}"/>
    <cellStyle name="Normal 134 2" xfId="1936" xr:uid="{00000000-0005-0000-0000-0000D2050000}"/>
    <cellStyle name="Normal 134_a.Data" xfId="1937" xr:uid="{00000000-0005-0000-0000-0000D3050000}"/>
    <cellStyle name="Normal 135" xfId="1938" xr:uid="{00000000-0005-0000-0000-0000D4050000}"/>
    <cellStyle name="Normal 135 2" xfId="1939" xr:uid="{00000000-0005-0000-0000-0000D5050000}"/>
    <cellStyle name="Normal 135_a.Data" xfId="1940" xr:uid="{00000000-0005-0000-0000-0000D6050000}"/>
    <cellStyle name="Normal 136" xfId="1941" xr:uid="{00000000-0005-0000-0000-0000D7050000}"/>
    <cellStyle name="Normal 136 2" xfId="1942" xr:uid="{00000000-0005-0000-0000-0000D8050000}"/>
    <cellStyle name="Normal 137" xfId="1943" xr:uid="{00000000-0005-0000-0000-0000D9050000}"/>
    <cellStyle name="Normal 137 2" xfId="1944" xr:uid="{00000000-0005-0000-0000-0000DA050000}"/>
    <cellStyle name="Normal 137_a.Data" xfId="1945" xr:uid="{00000000-0005-0000-0000-0000DB050000}"/>
    <cellStyle name="Normal 138" xfId="1946" xr:uid="{00000000-0005-0000-0000-0000DC050000}"/>
    <cellStyle name="Normal 138 2" xfId="1947" xr:uid="{00000000-0005-0000-0000-0000DD050000}"/>
    <cellStyle name="Normal 138_a.Data" xfId="1948" xr:uid="{00000000-0005-0000-0000-0000DE050000}"/>
    <cellStyle name="Normal 139" xfId="1949" xr:uid="{00000000-0005-0000-0000-0000DF050000}"/>
    <cellStyle name="Normal 139 2" xfId="1950" xr:uid="{00000000-0005-0000-0000-0000E0050000}"/>
    <cellStyle name="Normal 14" xfId="170" xr:uid="{00000000-0005-0000-0000-0000E1050000}"/>
    <cellStyle name="Normal 14 10" xfId="1951" xr:uid="{00000000-0005-0000-0000-0000E2050000}"/>
    <cellStyle name="Normal 14 10 2" xfId="1952" xr:uid="{00000000-0005-0000-0000-0000E3050000}"/>
    <cellStyle name="Normal 14 10 2 2" xfId="1953" xr:uid="{00000000-0005-0000-0000-0000E4050000}"/>
    <cellStyle name="Normal 14 10 2_a.Data" xfId="1954" xr:uid="{00000000-0005-0000-0000-0000E5050000}"/>
    <cellStyle name="Normal 14 10 3" xfId="1955" xr:uid="{00000000-0005-0000-0000-0000E6050000}"/>
    <cellStyle name="Normal 14 10_a.Data" xfId="1956" xr:uid="{00000000-0005-0000-0000-0000E7050000}"/>
    <cellStyle name="Normal 14 11" xfId="1957" xr:uid="{00000000-0005-0000-0000-0000E8050000}"/>
    <cellStyle name="Normal 14 11 2" xfId="1958" xr:uid="{00000000-0005-0000-0000-0000E9050000}"/>
    <cellStyle name="Normal 14 11_a.Data" xfId="1959" xr:uid="{00000000-0005-0000-0000-0000EA050000}"/>
    <cellStyle name="Normal 14 12" xfId="1960" xr:uid="{00000000-0005-0000-0000-0000EB050000}"/>
    <cellStyle name="Normal 14 2" xfId="634" xr:uid="{00000000-0005-0000-0000-0000EC050000}"/>
    <cellStyle name="Normal 14 2 2" xfId="1961" xr:uid="{00000000-0005-0000-0000-0000ED050000}"/>
    <cellStyle name="Normal 14 2 2 2" xfId="1962" xr:uid="{00000000-0005-0000-0000-0000EE050000}"/>
    <cellStyle name="Normal 14 2 2 2 2" xfId="1963" xr:uid="{00000000-0005-0000-0000-0000EF050000}"/>
    <cellStyle name="Normal 14 2 2 2 2 2" xfId="1964" xr:uid="{00000000-0005-0000-0000-0000F0050000}"/>
    <cellStyle name="Normal 14 2 2 2 2 2 2" xfId="1965" xr:uid="{00000000-0005-0000-0000-0000F1050000}"/>
    <cellStyle name="Normal 14 2 2 2 2 2_a.Data" xfId="1966" xr:uid="{00000000-0005-0000-0000-0000F2050000}"/>
    <cellStyle name="Normal 14 2 2 2 2 3" xfId="1967" xr:uid="{00000000-0005-0000-0000-0000F3050000}"/>
    <cellStyle name="Normal 14 2 2 2 2_a.Data" xfId="1968" xr:uid="{00000000-0005-0000-0000-0000F4050000}"/>
    <cellStyle name="Normal 14 2 2 2 3" xfId="1969" xr:uid="{00000000-0005-0000-0000-0000F5050000}"/>
    <cellStyle name="Normal 14 2 2 2 3 2" xfId="1970" xr:uid="{00000000-0005-0000-0000-0000F6050000}"/>
    <cellStyle name="Normal 14 2 2 2 3_a.Data" xfId="1971" xr:uid="{00000000-0005-0000-0000-0000F7050000}"/>
    <cellStyle name="Normal 14 2 2 2 4" xfId="1972" xr:uid="{00000000-0005-0000-0000-0000F8050000}"/>
    <cellStyle name="Normal 14 2 2 2_a.Data" xfId="1973" xr:uid="{00000000-0005-0000-0000-0000F9050000}"/>
    <cellStyle name="Normal 14 2 2 3" xfId="1974" xr:uid="{00000000-0005-0000-0000-0000FA050000}"/>
    <cellStyle name="Normal 14 2 2 3 2" xfId="1975" xr:uid="{00000000-0005-0000-0000-0000FB050000}"/>
    <cellStyle name="Normal 14 2 2 3 2 2" xfId="1976" xr:uid="{00000000-0005-0000-0000-0000FC050000}"/>
    <cellStyle name="Normal 14 2 2 3 2_a.Data" xfId="1977" xr:uid="{00000000-0005-0000-0000-0000FD050000}"/>
    <cellStyle name="Normal 14 2 2 3 3" xfId="1978" xr:uid="{00000000-0005-0000-0000-0000FE050000}"/>
    <cellStyle name="Normal 14 2 2 3_a.Data" xfId="1979" xr:uid="{00000000-0005-0000-0000-0000FF050000}"/>
    <cellStyle name="Normal 14 2 2 4" xfId="1980" xr:uid="{00000000-0005-0000-0000-000000060000}"/>
    <cellStyle name="Normal 14 2 2 4 2" xfId="1981" xr:uid="{00000000-0005-0000-0000-000001060000}"/>
    <cellStyle name="Normal 14 2 2 4_a.Data" xfId="1982" xr:uid="{00000000-0005-0000-0000-000002060000}"/>
    <cellStyle name="Normal 14 2 2 5" xfId="1983" xr:uid="{00000000-0005-0000-0000-000003060000}"/>
    <cellStyle name="Normal 14 2 2_a.Data" xfId="1984" xr:uid="{00000000-0005-0000-0000-000004060000}"/>
    <cellStyle name="Normal 14 2 3" xfId="1985" xr:uid="{00000000-0005-0000-0000-000005060000}"/>
    <cellStyle name="Normal 14 2 3 2" xfId="1986" xr:uid="{00000000-0005-0000-0000-000006060000}"/>
    <cellStyle name="Normal 14 2 3 2 2" xfId="1987" xr:uid="{00000000-0005-0000-0000-000007060000}"/>
    <cellStyle name="Normal 14 2 3 2 2 2" xfId="1988" xr:uid="{00000000-0005-0000-0000-000008060000}"/>
    <cellStyle name="Normal 14 2 3 2 2 2 2" xfId="1989" xr:uid="{00000000-0005-0000-0000-000009060000}"/>
    <cellStyle name="Normal 14 2 3 2 2 2_a.Data" xfId="1990" xr:uid="{00000000-0005-0000-0000-00000A060000}"/>
    <cellStyle name="Normal 14 2 3 2 2 3" xfId="1991" xr:uid="{00000000-0005-0000-0000-00000B060000}"/>
    <cellStyle name="Normal 14 2 3 2 2_a.Data" xfId="1992" xr:uid="{00000000-0005-0000-0000-00000C060000}"/>
    <cellStyle name="Normal 14 2 3 2 3" xfId="1993" xr:uid="{00000000-0005-0000-0000-00000D060000}"/>
    <cellStyle name="Normal 14 2 3 2 3 2" xfId="1994" xr:uid="{00000000-0005-0000-0000-00000E060000}"/>
    <cellStyle name="Normal 14 2 3 2 3_a.Data" xfId="1995" xr:uid="{00000000-0005-0000-0000-00000F060000}"/>
    <cellStyle name="Normal 14 2 3 2 4" xfId="1996" xr:uid="{00000000-0005-0000-0000-000010060000}"/>
    <cellStyle name="Normal 14 2 3 2_a.Data" xfId="1997" xr:uid="{00000000-0005-0000-0000-000011060000}"/>
    <cellStyle name="Normal 14 2 3 3" xfId="1998" xr:uid="{00000000-0005-0000-0000-000012060000}"/>
    <cellStyle name="Normal 14 2 3 3 2" xfId="1999" xr:uid="{00000000-0005-0000-0000-000013060000}"/>
    <cellStyle name="Normal 14 2 3 3 2 2" xfId="2000" xr:uid="{00000000-0005-0000-0000-000014060000}"/>
    <cellStyle name="Normal 14 2 3 3 2_a.Data" xfId="2001" xr:uid="{00000000-0005-0000-0000-000015060000}"/>
    <cellStyle name="Normal 14 2 3 3 3" xfId="2002" xr:uid="{00000000-0005-0000-0000-000016060000}"/>
    <cellStyle name="Normal 14 2 3 3_a.Data" xfId="2003" xr:uid="{00000000-0005-0000-0000-000017060000}"/>
    <cellStyle name="Normal 14 2 3 4" xfId="2004" xr:uid="{00000000-0005-0000-0000-000018060000}"/>
    <cellStyle name="Normal 14 2 3 4 2" xfId="2005" xr:uid="{00000000-0005-0000-0000-000019060000}"/>
    <cellStyle name="Normal 14 2 3 4_a.Data" xfId="2006" xr:uid="{00000000-0005-0000-0000-00001A060000}"/>
    <cellStyle name="Normal 14 2 3 5" xfId="2007" xr:uid="{00000000-0005-0000-0000-00001B060000}"/>
    <cellStyle name="Normal 14 2 3_a.Data" xfId="2008" xr:uid="{00000000-0005-0000-0000-00001C060000}"/>
    <cellStyle name="Normal 14 2 4" xfId="2009" xr:uid="{00000000-0005-0000-0000-00001D060000}"/>
    <cellStyle name="Normal 14 2 4 2" xfId="2010" xr:uid="{00000000-0005-0000-0000-00001E060000}"/>
    <cellStyle name="Normal 14 2 4 2 2" xfId="2011" xr:uid="{00000000-0005-0000-0000-00001F060000}"/>
    <cellStyle name="Normal 14 2 4 2 2 2" xfId="2012" xr:uid="{00000000-0005-0000-0000-000020060000}"/>
    <cellStyle name="Normal 14 2 4 2 2 2 2" xfId="2013" xr:uid="{00000000-0005-0000-0000-000021060000}"/>
    <cellStyle name="Normal 14 2 4 2 2 2_a.Data" xfId="2014" xr:uid="{00000000-0005-0000-0000-000022060000}"/>
    <cellStyle name="Normal 14 2 4 2 2 3" xfId="2015" xr:uid="{00000000-0005-0000-0000-000023060000}"/>
    <cellStyle name="Normal 14 2 4 2 2_a.Data" xfId="2016" xr:uid="{00000000-0005-0000-0000-000024060000}"/>
    <cellStyle name="Normal 14 2 4 2 3" xfId="2017" xr:uid="{00000000-0005-0000-0000-000025060000}"/>
    <cellStyle name="Normal 14 2 4 2 3 2" xfId="2018" xr:uid="{00000000-0005-0000-0000-000026060000}"/>
    <cellStyle name="Normal 14 2 4 2 3_a.Data" xfId="2019" xr:uid="{00000000-0005-0000-0000-000027060000}"/>
    <cellStyle name="Normal 14 2 4 2 4" xfId="2020" xr:uid="{00000000-0005-0000-0000-000028060000}"/>
    <cellStyle name="Normal 14 2 4 2_a.Data" xfId="2021" xr:uid="{00000000-0005-0000-0000-000029060000}"/>
    <cellStyle name="Normal 14 2 4 3" xfId="2022" xr:uid="{00000000-0005-0000-0000-00002A060000}"/>
    <cellStyle name="Normal 14 2 4 3 2" xfId="2023" xr:uid="{00000000-0005-0000-0000-00002B060000}"/>
    <cellStyle name="Normal 14 2 4 3 2 2" xfId="2024" xr:uid="{00000000-0005-0000-0000-00002C060000}"/>
    <cellStyle name="Normal 14 2 4 3 2_a.Data" xfId="2025" xr:uid="{00000000-0005-0000-0000-00002D060000}"/>
    <cellStyle name="Normal 14 2 4 3 3" xfId="2026" xr:uid="{00000000-0005-0000-0000-00002E060000}"/>
    <cellStyle name="Normal 14 2 4 3_a.Data" xfId="2027" xr:uid="{00000000-0005-0000-0000-00002F060000}"/>
    <cellStyle name="Normal 14 2 4 4" xfId="2028" xr:uid="{00000000-0005-0000-0000-000030060000}"/>
    <cellStyle name="Normal 14 2 4 4 2" xfId="2029" xr:uid="{00000000-0005-0000-0000-000031060000}"/>
    <cellStyle name="Normal 14 2 4 4_a.Data" xfId="2030" xr:uid="{00000000-0005-0000-0000-000032060000}"/>
    <cellStyle name="Normal 14 2 4 5" xfId="2031" xr:uid="{00000000-0005-0000-0000-000033060000}"/>
    <cellStyle name="Normal 14 2 4_a.Data" xfId="2032" xr:uid="{00000000-0005-0000-0000-000034060000}"/>
    <cellStyle name="Normal 14 2 5" xfId="2033" xr:uid="{00000000-0005-0000-0000-000035060000}"/>
    <cellStyle name="Normal 14 2 5 2" xfId="2034" xr:uid="{00000000-0005-0000-0000-000036060000}"/>
    <cellStyle name="Normal 14 2 5 2 2" xfId="2035" xr:uid="{00000000-0005-0000-0000-000037060000}"/>
    <cellStyle name="Normal 14 2 5 2 2 2" xfId="2036" xr:uid="{00000000-0005-0000-0000-000038060000}"/>
    <cellStyle name="Normal 14 2 5 2 2_a.Data" xfId="2037" xr:uid="{00000000-0005-0000-0000-000039060000}"/>
    <cellStyle name="Normal 14 2 5 2 3" xfId="2038" xr:uid="{00000000-0005-0000-0000-00003A060000}"/>
    <cellStyle name="Normal 14 2 5 2_a.Data" xfId="2039" xr:uid="{00000000-0005-0000-0000-00003B060000}"/>
    <cellStyle name="Normal 14 2 5 3" xfId="2040" xr:uid="{00000000-0005-0000-0000-00003C060000}"/>
    <cellStyle name="Normal 14 2 5 3 2" xfId="2041" xr:uid="{00000000-0005-0000-0000-00003D060000}"/>
    <cellStyle name="Normal 14 2 5 3_a.Data" xfId="2042" xr:uid="{00000000-0005-0000-0000-00003E060000}"/>
    <cellStyle name="Normal 14 2 5 4" xfId="2043" xr:uid="{00000000-0005-0000-0000-00003F060000}"/>
    <cellStyle name="Normal 14 2 5_a.Data" xfId="2044" xr:uid="{00000000-0005-0000-0000-000040060000}"/>
    <cellStyle name="Normal 14 2 6" xfId="2045" xr:uid="{00000000-0005-0000-0000-000041060000}"/>
    <cellStyle name="Normal 14 2 6 2" xfId="2046" xr:uid="{00000000-0005-0000-0000-000042060000}"/>
    <cellStyle name="Normal 14 2 6 2 2" xfId="2047" xr:uid="{00000000-0005-0000-0000-000043060000}"/>
    <cellStyle name="Normal 14 2 6 2 2 2" xfId="2048" xr:uid="{00000000-0005-0000-0000-000044060000}"/>
    <cellStyle name="Normal 14 2 6 2 2_a.Data" xfId="2049" xr:uid="{00000000-0005-0000-0000-000045060000}"/>
    <cellStyle name="Normal 14 2 6 2 3" xfId="2050" xr:uid="{00000000-0005-0000-0000-000046060000}"/>
    <cellStyle name="Normal 14 2 6 2_a.Data" xfId="2051" xr:uid="{00000000-0005-0000-0000-000047060000}"/>
    <cellStyle name="Normal 14 2 6 3" xfId="2052" xr:uid="{00000000-0005-0000-0000-000048060000}"/>
    <cellStyle name="Normal 14 2 6 3 2" xfId="2053" xr:uid="{00000000-0005-0000-0000-000049060000}"/>
    <cellStyle name="Normal 14 2 6 3_a.Data" xfId="2054" xr:uid="{00000000-0005-0000-0000-00004A060000}"/>
    <cellStyle name="Normal 14 2 6 4" xfId="2055" xr:uid="{00000000-0005-0000-0000-00004B060000}"/>
    <cellStyle name="Normal 14 2 6_a.Data" xfId="2056" xr:uid="{00000000-0005-0000-0000-00004C060000}"/>
    <cellStyle name="Normal 14 2 7" xfId="2057" xr:uid="{00000000-0005-0000-0000-00004D060000}"/>
    <cellStyle name="Normal 14 2 7 2" xfId="2058" xr:uid="{00000000-0005-0000-0000-00004E060000}"/>
    <cellStyle name="Normal 14 2 7 2 2" xfId="2059" xr:uid="{00000000-0005-0000-0000-00004F060000}"/>
    <cellStyle name="Normal 14 2 7 2_a.Data" xfId="2060" xr:uid="{00000000-0005-0000-0000-000050060000}"/>
    <cellStyle name="Normal 14 2 7 3" xfId="2061" xr:uid="{00000000-0005-0000-0000-000051060000}"/>
    <cellStyle name="Normal 14 2 7_a.Data" xfId="2062" xr:uid="{00000000-0005-0000-0000-000052060000}"/>
    <cellStyle name="Normal 14 2 8" xfId="2063" xr:uid="{00000000-0005-0000-0000-000053060000}"/>
    <cellStyle name="Normal 14 2 8 2" xfId="2064" xr:uid="{00000000-0005-0000-0000-000054060000}"/>
    <cellStyle name="Normal 14 2 8_a.Data" xfId="2065" xr:uid="{00000000-0005-0000-0000-000055060000}"/>
    <cellStyle name="Normal 14 2 9" xfId="2066" xr:uid="{00000000-0005-0000-0000-000056060000}"/>
    <cellStyle name="Normal 14 2_a.Data" xfId="2067" xr:uid="{00000000-0005-0000-0000-000057060000}"/>
    <cellStyle name="Normal 14 3" xfId="2068" xr:uid="{00000000-0005-0000-0000-000058060000}"/>
    <cellStyle name="Normal 14 4" xfId="2069" xr:uid="{00000000-0005-0000-0000-000059060000}"/>
    <cellStyle name="Normal 14 4 2" xfId="2070" xr:uid="{00000000-0005-0000-0000-00005A060000}"/>
    <cellStyle name="Normal 14 4 2 2" xfId="2071" xr:uid="{00000000-0005-0000-0000-00005B060000}"/>
    <cellStyle name="Normal 14 4 2 2 2" xfId="2072" xr:uid="{00000000-0005-0000-0000-00005C060000}"/>
    <cellStyle name="Normal 14 4 2 2 2 2" xfId="2073" xr:uid="{00000000-0005-0000-0000-00005D060000}"/>
    <cellStyle name="Normal 14 4 2 2 2_a.Data" xfId="2074" xr:uid="{00000000-0005-0000-0000-00005E060000}"/>
    <cellStyle name="Normal 14 4 2 2 3" xfId="2075" xr:uid="{00000000-0005-0000-0000-00005F060000}"/>
    <cellStyle name="Normal 14 4 2 2_a.Data" xfId="2076" xr:uid="{00000000-0005-0000-0000-000060060000}"/>
    <cellStyle name="Normal 14 4 2 3" xfId="2077" xr:uid="{00000000-0005-0000-0000-000061060000}"/>
    <cellStyle name="Normal 14 4 2 3 2" xfId="2078" xr:uid="{00000000-0005-0000-0000-000062060000}"/>
    <cellStyle name="Normal 14 4 2 3_a.Data" xfId="2079" xr:uid="{00000000-0005-0000-0000-000063060000}"/>
    <cellStyle name="Normal 14 4 2 4" xfId="2080" xr:uid="{00000000-0005-0000-0000-000064060000}"/>
    <cellStyle name="Normal 14 4 2_a.Data" xfId="2081" xr:uid="{00000000-0005-0000-0000-000065060000}"/>
    <cellStyle name="Normal 14 4 3" xfId="2082" xr:uid="{00000000-0005-0000-0000-000066060000}"/>
    <cellStyle name="Normal 14 4 3 2" xfId="2083" xr:uid="{00000000-0005-0000-0000-000067060000}"/>
    <cellStyle name="Normal 14 4 3 2 2" xfId="2084" xr:uid="{00000000-0005-0000-0000-000068060000}"/>
    <cellStyle name="Normal 14 4 3 2_a.Data" xfId="2085" xr:uid="{00000000-0005-0000-0000-000069060000}"/>
    <cellStyle name="Normal 14 4 3 3" xfId="2086" xr:uid="{00000000-0005-0000-0000-00006A060000}"/>
    <cellStyle name="Normal 14 4 3_a.Data" xfId="2087" xr:uid="{00000000-0005-0000-0000-00006B060000}"/>
    <cellStyle name="Normal 14 4 4" xfId="2088" xr:uid="{00000000-0005-0000-0000-00006C060000}"/>
    <cellStyle name="Normal 14 4 4 2" xfId="2089" xr:uid="{00000000-0005-0000-0000-00006D060000}"/>
    <cellStyle name="Normal 14 4 4_a.Data" xfId="2090" xr:uid="{00000000-0005-0000-0000-00006E060000}"/>
    <cellStyle name="Normal 14 4 5" xfId="2091" xr:uid="{00000000-0005-0000-0000-00006F060000}"/>
    <cellStyle name="Normal 14 4_a.Data" xfId="2092" xr:uid="{00000000-0005-0000-0000-000070060000}"/>
    <cellStyle name="Normal 14 5" xfId="2093" xr:uid="{00000000-0005-0000-0000-000071060000}"/>
    <cellStyle name="Normal 14 5 2" xfId="2094" xr:uid="{00000000-0005-0000-0000-000072060000}"/>
    <cellStyle name="Normal 14 5 2 2" xfId="2095" xr:uid="{00000000-0005-0000-0000-000073060000}"/>
    <cellStyle name="Normal 14 5 2 2 2" xfId="2096" xr:uid="{00000000-0005-0000-0000-000074060000}"/>
    <cellStyle name="Normal 14 5 2 2 2 2" xfId="2097" xr:uid="{00000000-0005-0000-0000-000075060000}"/>
    <cellStyle name="Normal 14 5 2 2 2_a.Data" xfId="2098" xr:uid="{00000000-0005-0000-0000-000076060000}"/>
    <cellStyle name="Normal 14 5 2 2 3" xfId="2099" xr:uid="{00000000-0005-0000-0000-000077060000}"/>
    <cellStyle name="Normal 14 5 2 2_a.Data" xfId="2100" xr:uid="{00000000-0005-0000-0000-000078060000}"/>
    <cellStyle name="Normal 14 5 2 3" xfId="2101" xr:uid="{00000000-0005-0000-0000-000079060000}"/>
    <cellStyle name="Normal 14 5 2 3 2" xfId="2102" xr:uid="{00000000-0005-0000-0000-00007A060000}"/>
    <cellStyle name="Normal 14 5 2 3_a.Data" xfId="2103" xr:uid="{00000000-0005-0000-0000-00007B060000}"/>
    <cellStyle name="Normal 14 5 2 4" xfId="2104" xr:uid="{00000000-0005-0000-0000-00007C060000}"/>
    <cellStyle name="Normal 14 5 2_a.Data" xfId="2105" xr:uid="{00000000-0005-0000-0000-00007D060000}"/>
    <cellStyle name="Normal 14 5 3" xfId="2106" xr:uid="{00000000-0005-0000-0000-00007E060000}"/>
    <cellStyle name="Normal 14 5 3 2" xfId="2107" xr:uid="{00000000-0005-0000-0000-00007F060000}"/>
    <cellStyle name="Normal 14 5 3 2 2" xfId="2108" xr:uid="{00000000-0005-0000-0000-000080060000}"/>
    <cellStyle name="Normal 14 5 3 2_a.Data" xfId="2109" xr:uid="{00000000-0005-0000-0000-000081060000}"/>
    <cellStyle name="Normal 14 5 3 3" xfId="2110" xr:uid="{00000000-0005-0000-0000-000082060000}"/>
    <cellStyle name="Normal 14 5 3_a.Data" xfId="2111" xr:uid="{00000000-0005-0000-0000-000083060000}"/>
    <cellStyle name="Normal 14 5 4" xfId="2112" xr:uid="{00000000-0005-0000-0000-000084060000}"/>
    <cellStyle name="Normal 14 5 4 2" xfId="2113" xr:uid="{00000000-0005-0000-0000-000085060000}"/>
    <cellStyle name="Normal 14 5 4_a.Data" xfId="2114" xr:uid="{00000000-0005-0000-0000-000086060000}"/>
    <cellStyle name="Normal 14 5 5" xfId="2115" xr:uid="{00000000-0005-0000-0000-000087060000}"/>
    <cellStyle name="Normal 14 5_a.Data" xfId="2116" xr:uid="{00000000-0005-0000-0000-000088060000}"/>
    <cellStyle name="Normal 14 6" xfId="2117" xr:uid="{00000000-0005-0000-0000-000089060000}"/>
    <cellStyle name="Normal 14 6 2" xfId="2118" xr:uid="{00000000-0005-0000-0000-00008A060000}"/>
    <cellStyle name="Normal 14 6 2 2" xfId="2119" xr:uid="{00000000-0005-0000-0000-00008B060000}"/>
    <cellStyle name="Normal 14 6 2 2 2" xfId="2120" xr:uid="{00000000-0005-0000-0000-00008C060000}"/>
    <cellStyle name="Normal 14 6 2 2 2 2" xfId="2121" xr:uid="{00000000-0005-0000-0000-00008D060000}"/>
    <cellStyle name="Normal 14 6 2 2 2_a.Data" xfId="2122" xr:uid="{00000000-0005-0000-0000-00008E060000}"/>
    <cellStyle name="Normal 14 6 2 2 3" xfId="2123" xr:uid="{00000000-0005-0000-0000-00008F060000}"/>
    <cellStyle name="Normal 14 6 2 2_a.Data" xfId="2124" xr:uid="{00000000-0005-0000-0000-000090060000}"/>
    <cellStyle name="Normal 14 6 2 3" xfId="2125" xr:uid="{00000000-0005-0000-0000-000091060000}"/>
    <cellStyle name="Normal 14 6 2 3 2" xfId="2126" xr:uid="{00000000-0005-0000-0000-000092060000}"/>
    <cellStyle name="Normal 14 6 2 3_a.Data" xfId="2127" xr:uid="{00000000-0005-0000-0000-000093060000}"/>
    <cellStyle name="Normal 14 6 2 4" xfId="2128" xr:uid="{00000000-0005-0000-0000-000094060000}"/>
    <cellStyle name="Normal 14 6 2_a.Data" xfId="2129" xr:uid="{00000000-0005-0000-0000-000095060000}"/>
    <cellStyle name="Normal 14 6 3" xfId="2130" xr:uid="{00000000-0005-0000-0000-000096060000}"/>
    <cellStyle name="Normal 14 6 3 2" xfId="2131" xr:uid="{00000000-0005-0000-0000-000097060000}"/>
    <cellStyle name="Normal 14 6 3 2 2" xfId="2132" xr:uid="{00000000-0005-0000-0000-000098060000}"/>
    <cellStyle name="Normal 14 6 3 2_a.Data" xfId="2133" xr:uid="{00000000-0005-0000-0000-000099060000}"/>
    <cellStyle name="Normal 14 6 3 3" xfId="2134" xr:uid="{00000000-0005-0000-0000-00009A060000}"/>
    <cellStyle name="Normal 14 6 3_a.Data" xfId="2135" xr:uid="{00000000-0005-0000-0000-00009B060000}"/>
    <cellStyle name="Normal 14 6 4" xfId="2136" xr:uid="{00000000-0005-0000-0000-00009C060000}"/>
    <cellStyle name="Normal 14 6 4 2" xfId="2137" xr:uid="{00000000-0005-0000-0000-00009D060000}"/>
    <cellStyle name="Normal 14 6 4_a.Data" xfId="2138" xr:uid="{00000000-0005-0000-0000-00009E060000}"/>
    <cellStyle name="Normal 14 6 5" xfId="2139" xr:uid="{00000000-0005-0000-0000-00009F060000}"/>
    <cellStyle name="Normal 14 6_a.Data" xfId="2140" xr:uid="{00000000-0005-0000-0000-0000A0060000}"/>
    <cellStyle name="Normal 14 7" xfId="2141" xr:uid="{00000000-0005-0000-0000-0000A1060000}"/>
    <cellStyle name="Normal 14 7 2" xfId="2142" xr:uid="{00000000-0005-0000-0000-0000A2060000}"/>
    <cellStyle name="Normal 14 7 2 2" xfId="2143" xr:uid="{00000000-0005-0000-0000-0000A3060000}"/>
    <cellStyle name="Normal 14 7 2 2 2" xfId="2144" xr:uid="{00000000-0005-0000-0000-0000A4060000}"/>
    <cellStyle name="Normal 14 7 2 2_a.Data" xfId="2145" xr:uid="{00000000-0005-0000-0000-0000A5060000}"/>
    <cellStyle name="Normal 14 7 2 3" xfId="2146" xr:uid="{00000000-0005-0000-0000-0000A6060000}"/>
    <cellStyle name="Normal 14 7 2_a.Data" xfId="2147" xr:uid="{00000000-0005-0000-0000-0000A7060000}"/>
    <cellStyle name="Normal 14 7 3" xfId="2148" xr:uid="{00000000-0005-0000-0000-0000A8060000}"/>
    <cellStyle name="Normal 14 7 3 2" xfId="2149" xr:uid="{00000000-0005-0000-0000-0000A9060000}"/>
    <cellStyle name="Normal 14 7 3_a.Data" xfId="2150" xr:uid="{00000000-0005-0000-0000-0000AA060000}"/>
    <cellStyle name="Normal 14 7 4" xfId="2151" xr:uid="{00000000-0005-0000-0000-0000AB060000}"/>
    <cellStyle name="Normal 14 7_a.Data" xfId="2152" xr:uid="{00000000-0005-0000-0000-0000AC060000}"/>
    <cellStyle name="Normal 14 8" xfId="2153" xr:uid="{00000000-0005-0000-0000-0000AD060000}"/>
    <cellStyle name="Normal 14 8 2" xfId="2154" xr:uid="{00000000-0005-0000-0000-0000AE060000}"/>
    <cellStyle name="Normal 14 8 2 2" xfId="2155" xr:uid="{00000000-0005-0000-0000-0000AF060000}"/>
    <cellStyle name="Normal 14 8 2 2 2" xfId="2156" xr:uid="{00000000-0005-0000-0000-0000B0060000}"/>
    <cellStyle name="Normal 14 8 2 2_a.Data" xfId="2157" xr:uid="{00000000-0005-0000-0000-0000B1060000}"/>
    <cellStyle name="Normal 14 8 2 3" xfId="2158" xr:uid="{00000000-0005-0000-0000-0000B2060000}"/>
    <cellStyle name="Normal 14 8 2_a.Data" xfId="2159" xr:uid="{00000000-0005-0000-0000-0000B3060000}"/>
    <cellStyle name="Normal 14 8 3" xfId="2160" xr:uid="{00000000-0005-0000-0000-0000B4060000}"/>
    <cellStyle name="Normal 14 8 3 2" xfId="2161" xr:uid="{00000000-0005-0000-0000-0000B5060000}"/>
    <cellStyle name="Normal 14 8 3_a.Data" xfId="2162" xr:uid="{00000000-0005-0000-0000-0000B6060000}"/>
    <cellStyle name="Normal 14 8 4" xfId="2163" xr:uid="{00000000-0005-0000-0000-0000B7060000}"/>
    <cellStyle name="Normal 14 8_a.Data" xfId="2164" xr:uid="{00000000-0005-0000-0000-0000B8060000}"/>
    <cellStyle name="Normal 14 9" xfId="2165" xr:uid="{00000000-0005-0000-0000-0000B9060000}"/>
    <cellStyle name="Normal 14 9 2" xfId="2166" xr:uid="{00000000-0005-0000-0000-0000BA060000}"/>
    <cellStyle name="Normal 14 9 2 2" xfId="2167" xr:uid="{00000000-0005-0000-0000-0000BB060000}"/>
    <cellStyle name="Normal 14 9 2 2 2" xfId="2168" xr:uid="{00000000-0005-0000-0000-0000BC060000}"/>
    <cellStyle name="Normal 14 9 2 2_a.Data" xfId="2169" xr:uid="{00000000-0005-0000-0000-0000BD060000}"/>
    <cellStyle name="Normal 14 9 2 3" xfId="2170" xr:uid="{00000000-0005-0000-0000-0000BE060000}"/>
    <cellStyle name="Normal 14 9 2_a.Data" xfId="2171" xr:uid="{00000000-0005-0000-0000-0000BF060000}"/>
    <cellStyle name="Normal 14 9 3" xfId="2172" xr:uid="{00000000-0005-0000-0000-0000C0060000}"/>
    <cellStyle name="Normal 14 9 3 2" xfId="2173" xr:uid="{00000000-0005-0000-0000-0000C1060000}"/>
    <cellStyle name="Normal 14 9 3_a.Data" xfId="2174" xr:uid="{00000000-0005-0000-0000-0000C2060000}"/>
    <cellStyle name="Normal 14 9 4" xfId="2175" xr:uid="{00000000-0005-0000-0000-0000C3060000}"/>
    <cellStyle name="Normal 14 9_a.Data" xfId="2176" xr:uid="{00000000-0005-0000-0000-0000C4060000}"/>
    <cellStyle name="Normal 14_a.Data" xfId="2177" xr:uid="{00000000-0005-0000-0000-0000C5060000}"/>
    <cellStyle name="Normal 140" xfId="2178" xr:uid="{00000000-0005-0000-0000-0000C6060000}"/>
    <cellStyle name="Normal 140 2" xfId="2179" xr:uid="{00000000-0005-0000-0000-0000C7060000}"/>
    <cellStyle name="Normal 140_a.Data" xfId="2180" xr:uid="{00000000-0005-0000-0000-0000C8060000}"/>
    <cellStyle name="Normal 141" xfId="2181" xr:uid="{00000000-0005-0000-0000-0000C9060000}"/>
    <cellStyle name="Normal 141 2" xfId="2182" xr:uid="{00000000-0005-0000-0000-0000CA060000}"/>
    <cellStyle name="Normal 141_a.Data" xfId="2183" xr:uid="{00000000-0005-0000-0000-0000CB060000}"/>
    <cellStyle name="Normal 142" xfId="2184" xr:uid="{00000000-0005-0000-0000-0000CC060000}"/>
    <cellStyle name="Normal 142 2" xfId="2185" xr:uid="{00000000-0005-0000-0000-0000CD060000}"/>
    <cellStyle name="Normal 142_a.Data" xfId="2186" xr:uid="{00000000-0005-0000-0000-0000CE060000}"/>
    <cellStyle name="Normal 143" xfId="2187" xr:uid="{00000000-0005-0000-0000-0000CF060000}"/>
    <cellStyle name="Normal 143 2" xfId="2188" xr:uid="{00000000-0005-0000-0000-0000D0060000}"/>
    <cellStyle name="Normal 143_BASE Current Year" xfId="2189" xr:uid="{00000000-0005-0000-0000-0000D1060000}"/>
    <cellStyle name="Normal 144" xfId="2190" xr:uid="{00000000-0005-0000-0000-0000D2060000}"/>
    <cellStyle name="Normal 144 2" xfId="2191" xr:uid="{00000000-0005-0000-0000-0000D3060000}"/>
    <cellStyle name="Normal 144_BASE Current Year" xfId="2192" xr:uid="{00000000-0005-0000-0000-0000D4060000}"/>
    <cellStyle name="Normal 145" xfId="2193" xr:uid="{00000000-0005-0000-0000-0000D5060000}"/>
    <cellStyle name="Normal 145 2" xfId="2194" xr:uid="{00000000-0005-0000-0000-0000D6060000}"/>
    <cellStyle name="Normal 146" xfId="2195" xr:uid="{00000000-0005-0000-0000-0000D7060000}"/>
    <cellStyle name="Normal 146 2" xfId="2196" xr:uid="{00000000-0005-0000-0000-0000D8060000}"/>
    <cellStyle name="Normal 146_BASE Current Year" xfId="2197" xr:uid="{00000000-0005-0000-0000-0000D9060000}"/>
    <cellStyle name="Normal 147" xfId="2198" xr:uid="{00000000-0005-0000-0000-0000DA060000}"/>
    <cellStyle name="Normal 147 2" xfId="2199" xr:uid="{00000000-0005-0000-0000-0000DB060000}"/>
    <cellStyle name="Normal 147_BASE Current Year" xfId="2200" xr:uid="{00000000-0005-0000-0000-0000DC060000}"/>
    <cellStyle name="Normal 148" xfId="2201" xr:uid="{00000000-0005-0000-0000-0000DD060000}"/>
    <cellStyle name="Normal 148 2" xfId="2202" xr:uid="{00000000-0005-0000-0000-0000DE060000}"/>
    <cellStyle name="Normal 149" xfId="2203" xr:uid="{00000000-0005-0000-0000-0000DF060000}"/>
    <cellStyle name="Normal 149 2" xfId="2204" xr:uid="{00000000-0005-0000-0000-0000E0060000}"/>
    <cellStyle name="Normal 149_BASE Current Year" xfId="2205" xr:uid="{00000000-0005-0000-0000-0000E1060000}"/>
    <cellStyle name="Normal 15" xfId="171" xr:uid="{00000000-0005-0000-0000-0000E2060000}"/>
    <cellStyle name="Normal 15 10" xfId="2206" xr:uid="{00000000-0005-0000-0000-0000E3060000}"/>
    <cellStyle name="Normal 15 2" xfId="635" xr:uid="{00000000-0005-0000-0000-0000E4060000}"/>
    <cellStyle name="Normal 15 2 2" xfId="2207" xr:uid="{00000000-0005-0000-0000-0000E5060000}"/>
    <cellStyle name="Normal 15 2 2 2" xfId="2208" xr:uid="{00000000-0005-0000-0000-0000E6060000}"/>
    <cellStyle name="Normal 15 2 2 2 2" xfId="2209" xr:uid="{00000000-0005-0000-0000-0000E7060000}"/>
    <cellStyle name="Normal 15 2 2 2 2 2" xfId="2210" xr:uid="{00000000-0005-0000-0000-0000E8060000}"/>
    <cellStyle name="Normal 15 2 2 2 2 2 2" xfId="2211" xr:uid="{00000000-0005-0000-0000-0000E9060000}"/>
    <cellStyle name="Normal 15 2 2 2 2 2_a.Data" xfId="2212" xr:uid="{00000000-0005-0000-0000-0000EA060000}"/>
    <cellStyle name="Normal 15 2 2 2 2 3" xfId="2213" xr:uid="{00000000-0005-0000-0000-0000EB060000}"/>
    <cellStyle name="Normal 15 2 2 2 2_a.Data" xfId="2214" xr:uid="{00000000-0005-0000-0000-0000EC060000}"/>
    <cellStyle name="Normal 15 2 2 2 3" xfId="2215" xr:uid="{00000000-0005-0000-0000-0000ED060000}"/>
    <cellStyle name="Normal 15 2 2 2 3 2" xfId="2216" xr:uid="{00000000-0005-0000-0000-0000EE060000}"/>
    <cellStyle name="Normal 15 2 2 2 3_a.Data" xfId="2217" xr:uid="{00000000-0005-0000-0000-0000EF060000}"/>
    <cellStyle name="Normal 15 2 2 2 4" xfId="2218" xr:uid="{00000000-0005-0000-0000-0000F0060000}"/>
    <cellStyle name="Normal 15 2 2 2_a.Data" xfId="2219" xr:uid="{00000000-0005-0000-0000-0000F1060000}"/>
    <cellStyle name="Normal 15 2 2 3" xfId="2220" xr:uid="{00000000-0005-0000-0000-0000F2060000}"/>
    <cellStyle name="Normal 15 2 2 3 2" xfId="2221" xr:uid="{00000000-0005-0000-0000-0000F3060000}"/>
    <cellStyle name="Normal 15 2 2 3 2 2" xfId="2222" xr:uid="{00000000-0005-0000-0000-0000F4060000}"/>
    <cellStyle name="Normal 15 2 2 3 2_a.Data" xfId="2223" xr:uid="{00000000-0005-0000-0000-0000F5060000}"/>
    <cellStyle name="Normal 15 2 2 3 3" xfId="2224" xr:uid="{00000000-0005-0000-0000-0000F6060000}"/>
    <cellStyle name="Normal 15 2 2 3_a.Data" xfId="2225" xr:uid="{00000000-0005-0000-0000-0000F7060000}"/>
    <cellStyle name="Normal 15 2 2 4" xfId="2226" xr:uid="{00000000-0005-0000-0000-0000F8060000}"/>
    <cellStyle name="Normal 15 2 2 4 2" xfId="2227" xr:uid="{00000000-0005-0000-0000-0000F9060000}"/>
    <cellStyle name="Normal 15 2 2 4_a.Data" xfId="2228" xr:uid="{00000000-0005-0000-0000-0000FA060000}"/>
    <cellStyle name="Normal 15 2 2 5" xfId="2229" xr:uid="{00000000-0005-0000-0000-0000FB060000}"/>
    <cellStyle name="Normal 15 2 2_a.Data" xfId="2230" xr:uid="{00000000-0005-0000-0000-0000FC060000}"/>
    <cellStyle name="Normal 15 2 3" xfId="2231" xr:uid="{00000000-0005-0000-0000-0000FD060000}"/>
    <cellStyle name="Normal 15 2 3 2" xfId="2232" xr:uid="{00000000-0005-0000-0000-0000FE060000}"/>
    <cellStyle name="Normal 15 2 3 2 2" xfId="2233" xr:uid="{00000000-0005-0000-0000-0000FF060000}"/>
    <cellStyle name="Normal 15 2 3 2 2 2" xfId="2234" xr:uid="{00000000-0005-0000-0000-000000070000}"/>
    <cellStyle name="Normal 15 2 3 2 2 2 2" xfId="2235" xr:uid="{00000000-0005-0000-0000-000001070000}"/>
    <cellStyle name="Normal 15 2 3 2 2 2_a.Data" xfId="2236" xr:uid="{00000000-0005-0000-0000-000002070000}"/>
    <cellStyle name="Normal 15 2 3 2 2 3" xfId="2237" xr:uid="{00000000-0005-0000-0000-000003070000}"/>
    <cellStyle name="Normal 15 2 3 2 2_a.Data" xfId="2238" xr:uid="{00000000-0005-0000-0000-000004070000}"/>
    <cellStyle name="Normal 15 2 3 2 3" xfId="2239" xr:uid="{00000000-0005-0000-0000-000005070000}"/>
    <cellStyle name="Normal 15 2 3 2 3 2" xfId="2240" xr:uid="{00000000-0005-0000-0000-000006070000}"/>
    <cellStyle name="Normal 15 2 3 2 3_a.Data" xfId="2241" xr:uid="{00000000-0005-0000-0000-000007070000}"/>
    <cellStyle name="Normal 15 2 3 2 4" xfId="2242" xr:uid="{00000000-0005-0000-0000-000008070000}"/>
    <cellStyle name="Normal 15 2 3 2_a.Data" xfId="2243" xr:uid="{00000000-0005-0000-0000-000009070000}"/>
    <cellStyle name="Normal 15 2 3 3" xfId="2244" xr:uid="{00000000-0005-0000-0000-00000A070000}"/>
    <cellStyle name="Normal 15 2 3 3 2" xfId="2245" xr:uid="{00000000-0005-0000-0000-00000B070000}"/>
    <cellStyle name="Normal 15 2 3 3 2 2" xfId="2246" xr:uid="{00000000-0005-0000-0000-00000C070000}"/>
    <cellStyle name="Normal 15 2 3 3 2_a.Data" xfId="2247" xr:uid="{00000000-0005-0000-0000-00000D070000}"/>
    <cellStyle name="Normal 15 2 3 3 3" xfId="2248" xr:uid="{00000000-0005-0000-0000-00000E070000}"/>
    <cellStyle name="Normal 15 2 3 3_a.Data" xfId="2249" xr:uid="{00000000-0005-0000-0000-00000F070000}"/>
    <cellStyle name="Normal 15 2 3 4" xfId="2250" xr:uid="{00000000-0005-0000-0000-000010070000}"/>
    <cellStyle name="Normal 15 2 3 4 2" xfId="2251" xr:uid="{00000000-0005-0000-0000-000011070000}"/>
    <cellStyle name="Normal 15 2 3 4_a.Data" xfId="2252" xr:uid="{00000000-0005-0000-0000-000012070000}"/>
    <cellStyle name="Normal 15 2 3 5" xfId="2253" xr:uid="{00000000-0005-0000-0000-000013070000}"/>
    <cellStyle name="Normal 15 2 3_a.Data" xfId="2254" xr:uid="{00000000-0005-0000-0000-000014070000}"/>
    <cellStyle name="Normal 15 2 4" xfId="2255" xr:uid="{00000000-0005-0000-0000-000015070000}"/>
    <cellStyle name="Normal 15 2 4 2" xfId="2256" xr:uid="{00000000-0005-0000-0000-000016070000}"/>
    <cellStyle name="Normal 15 2 4 2 2" xfId="2257" xr:uid="{00000000-0005-0000-0000-000017070000}"/>
    <cellStyle name="Normal 15 2 4 2 2 2" xfId="2258" xr:uid="{00000000-0005-0000-0000-000018070000}"/>
    <cellStyle name="Normal 15 2 4 2 2 2 2" xfId="2259" xr:uid="{00000000-0005-0000-0000-000019070000}"/>
    <cellStyle name="Normal 15 2 4 2 2 2_a.Data" xfId="2260" xr:uid="{00000000-0005-0000-0000-00001A070000}"/>
    <cellStyle name="Normal 15 2 4 2 2 3" xfId="2261" xr:uid="{00000000-0005-0000-0000-00001B070000}"/>
    <cellStyle name="Normal 15 2 4 2 2_a.Data" xfId="2262" xr:uid="{00000000-0005-0000-0000-00001C070000}"/>
    <cellStyle name="Normal 15 2 4 2 3" xfId="2263" xr:uid="{00000000-0005-0000-0000-00001D070000}"/>
    <cellStyle name="Normal 15 2 4 2 3 2" xfId="2264" xr:uid="{00000000-0005-0000-0000-00001E070000}"/>
    <cellStyle name="Normal 15 2 4 2 3_a.Data" xfId="2265" xr:uid="{00000000-0005-0000-0000-00001F070000}"/>
    <cellStyle name="Normal 15 2 4 2 4" xfId="2266" xr:uid="{00000000-0005-0000-0000-000020070000}"/>
    <cellStyle name="Normal 15 2 4 2_a.Data" xfId="2267" xr:uid="{00000000-0005-0000-0000-000021070000}"/>
    <cellStyle name="Normal 15 2 4 3" xfId="2268" xr:uid="{00000000-0005-0000-0000-000022070000}"/>
    <cellStyle name="Normal 15 2 4 3 2" xfId="2269" xr:uid="{00000000-0005-0000-0000-000023070000}"/>
    <cellStyle name="Normal 15 2 4 3 2 2" xfId="2270" xr:uid="{00000000-0005-0000-0000-000024070000}"/>
    <cellStyle name="Normal 15 2 4 3 2_a.Data" xfId="2271" xr:uid="{00000000-0005-0000-0000-000025070000}"/>
    <cellStyle name="Normal 15 2 4 3 3" xfId="2272" xr:uid="{00000000-0005-0000-0000-000026070000}"/>
    <cellStyle name="Normal 15 2 4 3_a.Data" xfId="2273" xr:uid="{00000000-0005-0000-0000-000027070000}"/>
    <cellStyle name="Normal 15 2 4 4" xfId="2274" xr:uid="{00000000-0005-0000-0000-000028070000}"/>
    <cellStyle name="Normal 15 2 4 4 2" xfId="2275" xr:uid="{00000000-0005-0000-0000-000029070000}"/>
    <cellStyle name="Normal 15 2 4 4_a.Data" xfId="2276" xr:uid="{00000000-0005-0000-0000-00002A070000}"/>
    <cellStyle name="Normal 15 2 4 5" xfId="2277" xr:uid="{00000000-0005-0000-0000-00002B070000}"/>
    <cellStyle name="Normal 15 2 4_a.Data" xfId="2278" xr:uid="{00000000-0005-0000-0000-00002C070000}"/>
    <cellStyle name="Normal 15 2 5" xfId="2279" xr:uid="{00000000-0005-0000-0000-00002D070000}"/>
    <cellStyle name="Normal 15 2 5 2" xfId="2280" xr:uid="{00000000-0005-0000-0000-00002E070000}"/>
    <cellStyle name="Normal 15 2 5 2 2" xfId="2281" xr:uid="{00000000-0005-0000-0000-00002F070000}"/>
    <cellStyle name="Normal 15 2 5 2 2 2" xfId="2282" xr:uid="{00000000-0005-0000-0000-000030070000}"/>
    <cellStyle name="Normal 15 2 5 2 2_a.Data" xfId="2283" xr:uid="{00000000-0005-0000-0000-000031070000}"/>
    <cellStyle name="Normal 15 2 5 2 3" xfId="2284" xr:uid="{00000000-0005-0000-0000-000032070000}"/>
    <cellStyle name="Normal 15 2 5 2_a.Data" xfId="2285" xr:uid="{00000000-0005-0000-0000-000033070000}"/>
    <cellStyle name="Normal 15 2 5 3" xfId="2286" xr:uid="{00000000-0005-0000-0000-000034070000}"/>
    <cellStyle name="Normal 15 2 5 3 2" xfId="2287" xr:uid="{00000000-0005-0000-0000-000035070000}"/>
    <cellStyle name="Normal 15 2 5 3_a.Data" xfId="2288" xr:uid="{00000000-0005-0000-0000-000036070000}"/>
    <cellStyle name="Normal 15 2 5 4" xfId="2289" xr:uid="{00000000-0005-0000-0000-000037070000}"/>
    <cellStyle name="Normal 15 2 5_a.Data" xfId="2290" xr:uid="{00000000-0005-0000-0000-000038070000}"/>
    <cellStyle name="Normal 15 2 6" xfId="2291" xr:uid="{00000000-0005-0000-0000-000039070000}"/>
    <cellStyle name="Normal 15 2 6 2" xfId="2292" xr:uid="{00000000-0005-0000-0000-00003A070000}"/>
    <cellStyle name="Normal 15 2 6 2 2" xfId="2293" xr:uid="{00000000-0005-0000-0000-00003B070000}"/>
    <cellStyle name="Normal 15 2 6 2 2 2" xfId="2294" xr:uid="{00000000-0005-0000-0000-00003C070000}"/>
    <cellStyle name="Normal 15 2 6 2 2_a.Data" xfId="2295" xr:uid="{00000000-0005-0000-0000-00003D070000}"/>
    <cellStyle name="Normal 15 2 6 2 3" xfId="2296" xr:uid="{00000000-0005-0000-0000-00003E070000}"/>
    <cellStyle name="Normal 15 2 6 2_a.Data" xfId="2297" xr:uid="{00000000-0005-0000-0000-00003F070000}"/>
    <cellStyle name="Normal 15 2 6 3" xfId="2298" xr:uid="{00000000-0005-0000-0000-000040070000}"/>
    <cellStyle name="Normal 15 2 6 3 2" xfId="2299" xr:uid="{00000000-0005-0000-0000-000041070000}"/>
    <cellStyle name="Normal 15 2 6 3_a.Data" xfId="2300" xr:uid="{00000000-0005-0000-0000-000042070000}"/>
    <cellStyle name="Normal 15 2 6 4" xfId="2301" xr:uid="{00000000-0005-0000-0000-000043070000}"/>
    <cellStyle name="Normal 15 2 6_a.Data" xfId="2302" xr:uid="{00000000-0005-0000-0000-000044070000}"/>
    <cellStyle name="Normal 15 2 7" xfId="2303" xr:uid="{00000000-0005-0000-0000-000045070000}"/>
    <cellStyle name="Normal 15 2 7 2" xfId="2304" xr:uid="{00000000-0005-0000-0000-000046070000}"/>
    <cellStyle name="Normal 15 2 7 2 2" xfId="2305" xr:uid="{00000000-0005-0000-0000-000047070000}"/>
    <cellStyle name="Normal 15 2 7 2_a.Data" xfId="2306" xr:uid="{00000000-0005-0000-0000-000048070000}"/>
    <cellStyle name="Normal 15 2 7 3" xfId="2307" xr:uid="{00000000-0005-0000-0000-000049070000}"/>
    <cellStyle name="Normal 15 2 7_a.Data" xfId="2308" xr:uid="{00000000-0005-0000-0000-00004A070000}"/>
    <cellStyle name="Normal 15 2 8" xfId="2309" xr:uid="{00000000-0005-0000-0000-00004B070000}"/>
    <cellStyle name="Normal 15 2 8 2" xfId="2310" xr:uid="{00000000-0005-0000-0000-00004C070000}"/>
    <cellStyle name="Normal 15 2 8_a.Data" xfId="2311" xr:uid="{00000000-0005-0000-0000-00004D070000}"/>
    <cellStyle name="Normal 15 2 9" xfId="2312" xr:uid="{00000000-0005-0000-0000-00004E070000}"/>
    <cellStyle name="Normal 15 2_a.Data" xfId="2313" xr:uid="{00000000-0005-0000-0000-00004F070000}"/>
    <cellStyle name="Normal 15 3" xfId="636" xr:uid="{00000000-0005-0000-0000-000050070000}"/>
    <cellStyle name="Normal 15 3 2" xfId="2314" xr:uid="{00000000-0005-0000-0000-000051070000}"/>
    <cellStyle name="Normal 15 3 2 2" xfId="2315" xr:uid="{00000000-0005-0000-0000-000052070000}"/>
    <cellStyle name="Normal 15 3 2 2 2" xfId="2316" xr:uid="{00000000-0005-0000-0000-000053070000}"/>
    <cellStyle name="Normal 15 3 2 2 2 2" xfId="2317" xr:uid="{00000000-0005-0000-0000-000054070000}"/>
    <cellStyle name="Normal 15 3 2 2 2_a.Data" xfId="2318" xr:uid="{00000000-0005-0000-0000-000055070000}"/>
    <cellStyle name="Normal 15 3 2 2 3" xfId="2319" xr:uid="{00000000-0005-0000-0000-000056070000}"/>
    <cellStyle name="Normal 15 3 2 2_a.Data" xfId="2320" xr:uid="{00000000-0005-0000-0000-000057070000}"/>
    <cellStyle name="Normal 15 3 2 3" xfId="2321" xr:uid="{00000000-0005-0000-0000-000058070000}"/>
    <cellStyle name="Normal 15 3 2 3 2" xfId="2322" xr:uid="{00000000-0005-0000-0000-000059070000}"/>
    <cellStyle name="Normal 15 3 2 3_a.Data" xfId="2323" xr:uid="{00000000-0005-0000-0000-00005A070000}"/>
    <cellStyle name="Normal 15 3 2 4" xfId="2324" xr:uid="{00000000-0005-0000-0000-00005B070000}"/>
    <cellStyle name="Normal 15 3 2_a.Data" xfId="2325" xr:uid="{00000000-0005-0000-0000-00005C070000}"/>
    <cellStyle name="Normal 15 3 3" xfId="2326" xr:uid="{00000000-0005-0000-0000-00005D070000}"/>
    <cellStyle name="Normal 15 3 3 2" xfId="2327" xr:uid="{00000000-0005-0000-0000-00005E070000}"/>
    <cellStyle name="Normal 15 3 3 2 2" xfId="2328" xr:uid="{00000000-0005-0000-0000-00005F070000}"/>
    <cellStyle name="Normal 15 3 3 2_a.Data" xfId="2329" xr:uid="{00000000-0005-0000-0000-000060070000}"/>
    <cellStyle name="Normal 15 3 3 3" xfId="2330" xr:uid="{00000000-0005-0000-0000-000061070000}"/>
    <cellStyle name="Normal 15 3 3_a.Data" xfId="2331" xr:uid="{00000000-0005-0000-0000-000062070000}"/>
    <cellStyle name="Normal 15 3 4" xfId="2332" xr:uid="{00000000-0005-0000-0000-000063070000}"/>
    <cellStyle name="Normal 15 3 4 2" xfId="2333" xr:uid="{00000000-0005-0000-0000-000064070000}"/>
    <cellStyle name="Normal 15 3 4_a.Data" xfId="2334" xr:uid="{00000000-0005-0000-0000-000065070000}"/>
    <cellStyle name="Normal 15 3 5" xfId="2335" xr:uid="{00000000-0005-0000-0000-000066070000}"/>
    <cellStyle name="Normal 15 3_a.Data" xfId="2336" xr:uid="{00000000-0005-0000-0000-000067070000}"/>
    <cellStyle name="Normal 15 4" xfId="2337" xr:uid="{00000000-0005-0000-0000-000068070000}"/>
    <cellStyle name="Normal 15 4 2" xfId="2338" xr:uid="{00000000-0005-0000-0000-000069070000}"/>
    <cellStyle name="Normal 15 4 2 2" xfId="2339" xr:uid="{00000000-0005-0000-0000-00006A070000}"/>
    <cellStyle name="Normal 15 4 2 2 2" xfId="2340" xr:uid="{00000000-0005-0000-0000-00006B070000}"/>
    <cellStyle name="Normal 15 4 2 2 2 2" xfId="2341" xr:uid="{00000000-0005-0000-0000-00006C070000}"/>
    <cellStyle name="Normal 15 4 2 2 2_a.Data" xfId="2342" xr:uid="{00000000-0005-0000-0000-00006D070000}"/>
    <cellStyle name="Normal 15 4 2 2 3" xfId="2343" xr:uid="{00000000-0005-0000-0000-00006E070000}"/>
    <cellStyle name="Normal 15 4 2 2_a.Data" xfId="2344" xr:uid="{00000000-0005-0000-0000-00006F070000}"/>
    <cellStyle name="Normal 15 4 2 3" xfId="2345" xr:uid="{00000000-0005-0000-0000-000070070000}"/>
    <cellStyle name="Normal 15 4 2 3 2" xfId="2346" xr:uid="{00000000-0005-0000-0000-000071070000}"/>
    <cellStyle name="Normal 15 4 2 3_a.Data" xfId="2347" xr:uid="{00000000-0005-0000-0000-000072070000}"/>
    <cellStyle name="Normal 15 4 2 4" xfId="2348" xr:uid="{00000000-0005-0000-0000-000073070000}"/>
    <cellStyle name="Normal 15 4 2_a.Data" xfId="2349" xr:uid="{00000000-0005-0000-0000-000074070000}"/>
    <cellStyle name="Normal 15 4 3" xfId="2350" xr:uid="{00000000-0005-0000-0000-000075070000}"/>
    <cellStyle name="Normal 15 4 3 2" xfId="2351" xr:uid="{00000000-0005-0000-0000-000076070000}"/>
    <cellStyle name="Normal 15 4 3 2 2" xfId="2352" xr:uid="{00000000-0005-0000-0000-000077070000}"/>
    <cellStyle name="Normal 15 4 3 2_a.Data" xfId="2353" xr:uid="{00000000-0005-0000-0000-000078070000}"/>
    <cellStyle name="Normal 15 4 3 3" xfId="2354" xr:uid="{00000000-0005-0000-0000-000079070000}"/>
    <cellStyle name="Normal 15 4 3_a.Data" xfId="2355" xr:uid="{00000000-0005-0000-0000-00007A070000}"/>
    <cellStyle name="Normal 15 4 4" xfId="2356" xr:uid="{00000000-0005-0000-0000-00007B070000}"/>
    <cellStyle name="Normal 15 4 4 2" xfId="2357" xr:uid="{00000000-0005-0000-0000-00007C070000}"/>
    <cellStyle name="Normal 15 4 4_a.Data" xfId="2358" xr:uid="{00000000-0005-0000-0000-00007D070000}"/>
    <cellStyle name="Normal 15 4 5" xfId="2359" xr:uid="{00000000-0005-0000-0000-00007E070000}"/>
    <cellStyle name="Normal 15 4_a.Data" xfId="2360" xr:uid="{00000000-0005-0000-0000-00007F070000}"/>
    <cellStyle name="Normal 15 5" xfId="2361" xr:uid="{00000000-0005-0000-0000-000080070000}"/>
    <cellStyle name="Normal 15 5 2" xfId="2362" xr:uid="{00000000-0005-0000-0000-000081070000}"/>
    <cellStyle name="Normal 15 5 2 2" xfId="2363" xr:uid="{00000000-0005-0000-0000-000082070000}"/>
    <cellStyle name="Normal 15 5 2 2 2" xfId="2364" xr:uid="{00000000-0005-0000-0000-000083070000}"/>
    <cellStyle name="Normal 15 5 2 2 2 2" xfId="2365" xr:uid="{00000000-0005-0000-0000-000084070000}"/>
    <cellStyle name="Normal 15 5 2 2 2_a.Data" xfId="2366" xr:uid="{00000000-0005-0000-0000-000085070000}"/>
    <cellStyle name="Normal 15 5 2 2 3" xfId="2367" xr:uid="{00000000-0005-0000-0000-000086070000}"/>
    <cellStyle name="Normal 15 5 2 2_a.Data" xfId="2368" xr:uid="{00000000-0005-0000-0000-000087070000}"/>
    <cellStyle name="Normal 15 5 2 3" xfId="2369" xr:uid="{00000000-0005-0000-0000-000088070000}"/>
    <cellStyle name="Normal 15 5 2 3 2" xfId="2370" xr:uid="{00000000-0005-0000-0000-000089070000}"/>
    <cellStyle name="Normal 15 5 2 3_a.Data" xfId="2371" xr:uid="{00000000-0005-0000-0000-00008A070000}"/>
    <cellStyle name="Normal 15 5 2 4" xfId="2372" xr:uid="{00000000-0005-0000-0000-00008B070000}"/>
    <cellStyle name="Normal 15 5 2_a.Data" xfId="2373" xr:uid="{00000000-0005-0000-0000-00008C070000}"/>
    <cellStyle name="Normal 15 5 3" xfId="2374" xr:uid="{00000000-0005-0000-0000-00008D070000}"/>
    <cellStyle name="Normal 15 5 3 2" xfId="2375" xr:uid="{00000000-0005-0000-0000-00008E070000}"/>
    <cellStyle name="Normal 15 5 3 2 2" xfId="2376" xr:uid="{00000000-0005-0000-0000-00008F070000}"/>
    <cellStyle name="Normal 15 5 3 2_a.Data" xfId="2377" xr:uid="{00000000-0005-0000-0000-000090070000}"/>
    <cellStyle name="Normal 15 5 3 3" xfId="2378" xr:uid="{00000000-0005-0000-0000-000091070000}"/>
    <cellStyle name="Normal 15 5 3_a.Data" xfId="2379" xr:uid="{00000000-0005-0000-0000-000092070000}"/>
    <cellStyle name="Normal 15 5 4" xfId="2380" xr:uid="{00000000-0005-0000-0000-000093070000}"/>
    <cellStyle name="Normal 15 5 4 2" xfId="2381" xr:uid="{00000000-0005-0000-0000-000094070000}"/>
    <cellStyle name="Normal 15 5 4_a.Data" xfId="2382" xr:uid="{00000000-0005-0000-0000-000095070000}"/>
    <cellStyle name="Normal 15 5 5" xfId="2383" xr:uid="{00000000-0005-0000-0000-000096070000}"/>
    <cellStyle name="Normal 15 5_a.Data" xfId="2384" xr:uid="{00000000-0005-0000-0000-000097070000}"/>
    <cellStyle name="Normal 15 6" xfId="2385" xr:uid="{00000000-0005-0000-0000-000098070000}"/>
    <cellStyle name="Normal 15 6 2" xfId="2386" xr:uid="{00000000-0005-0000-0000-000099070000}"/>
    <cellStyle name="Normal 15 6 2 2" xfId="2387" xr:uid="{00000000-0005-0000-0000-00009A070000}"/>
    <cellStyle name="Normal 15 6 2 2 2" xfId="2388" xr:uid="{00000000-0005-0000-0000-00009B070000}"/>
    <cellStyle name="Normal 15 6 2 2_a.Data" xfId="2389" xr:uid="{00000000-0005-0000-0000-00009C070000}"/>
    <cellStyle name="Normal 15 6 2 3" xfId="2390" xr:uid="{00000000-0005-0000-0000-00009D070000}"/>
    <cellStyle name="Normal 15 6 2_a.Data" xfId="2391" xr:uid="{00000000-0005-0000-0000-00009E070000}"/>
    <cellStyle name="Normal 15 6 3" xfId="2392" xr:uid="{00000000-0005-0000-0000-00009F070000}"/>
    <cellStyle name="Normal 15 6 3 2" xfId="2393" xr:uid="{00000000-0005-0000-0000-0000A0070000}"/>
    <cellStyle name="Normal 15 6 3_a.Data" xfId="2394" xr:uid="{00000000-0005-0000-0000-0000A1070000}"/>
    <cellStyle name="Normal 15 6 4" xfId="2395" xr:uid="{00000000-0005-0000-0000-0000A2070000}"/>
    <cellStyle name="Normal 15 6_a.Data" xfId="2396" xr:uid="{00000000-0005-0000-0000-0000A3070000}"/>
    <cellStyle name="Normal 15 7" xfId="2397" xr:uid="{00000000-0005-0000-0000-0000A4070000}"/>
    <cellStyle name="Normal 15 7 2" xfId="2398" xr:uid="{00000000-0005-0000-0000-0000A5070000}"/>
    <cellStyle name="Normal 15 7 2 2" xfId="2399" xr:uid="{00000000-0005-0000-0000-0000A6070000}"/>
    <cellStyle name="Normal 15 7 2 2 2" xfId="2400" xr:uid="{00000000-0005-0000-0000-0000A7070000}"/>
    <cellStyle name="Normal 15 7 2 2_a.Data" xfId="2401" xr:uid="{00000000-0005-0000-0000-0000A8070000}"/>
    <cellStyle name="Normal 15 7 2 3" xfId="2402" xr:uid="{00000000-0005-0000-0000-0000A9070000}"/>
    <cellStyle name="Normal 15 7 2_a.Data" xfId="2403" xr:uid="{00000000-0005-0000-0000-0000AA070000}"/>
    <cellStyle name="Normal 15 7 3" xfId="2404" xr:uid="{00000000-0005-0000-0000-0000AB070000}"/>
    <cellStyle name="Normal 15 7 3 2" xfId="2405" xr:uid="{00000000-0005-0000-0000-0000AC070000}"/>
    <cellStyle name="Normal 15 7 3_a.Data" xfId="2406" xr:uid="{00000000-0005-0000-0000-0000AD070000}"/>
    <cellStyle name="Normal 15 7 4" xfId="2407" xr:uid="{00000000-0005-0000-0000-0000AE070000}"/>
    <cellStyle name="Normal 15 7_a.Data" xfId="2408" xr:uid="{00000000-0005-0000-0000-0000AF070000}"/>
    <cellStyle name="Normal 15 8" xfId="2409" xr:uid="{00000000-0005-0000-0000-0000B0070000}"/>
    <cellStyle name="Normal 15 8 2" xfId="2410" xr:uid="{00000000-0005-0000-0000-0000B1070000}"/>
    <cellStyle name="Normal 15 8 2 2" xfId="2411" xr:uid="{00000000-0005-0000-0000-0000B2070000}"/>
    <cellStyle name="Normal 15 8 2_a.Data" xfId="2412" xr:uid="{00000000-0005-0000-0000-0000B3070000}"/>
    <cellStyle name="Normal 15 8 3" xfId="2413" xr:uid="{00000000-0005-0000-0000-0000B4070000}"/>
    <cellStyle name="Normal 15 8_a.Data" xfId="2414" xr:uid="{00000000-0005-0000-0000-0000B5070000}"/>
    <cellStyle name="Normal 15 9" xfId="2415" xr:uid="{00000000-0005-0000-0000-0000B6070000}"/>
    <cellStyle name="Normal 15 9 2" xfId="2416" xr:uid="{00000000-0005-0000-0000-0000B7070000}"/>
    <cellStyle name="Normal 15 9_a.Data" xfId="2417" xr:uid="{00000000-0005-0000-0000-0000B8070000}"/>
    <cellStyle name="Normal 15_a.Data" xfId="2418" xr:uid="{00000000-0005-0000-0000-0000B9070000}"/>
    <cellStyle name="Normal 150" xfId="2419" xr:uid="{00000000-0005-0000-0000-0000BA070000}"/>
    <cellStyle name="Normal 150 2" xfId="2420" xr:uid="{00000000-0005-0000-0000-0000BB070000}"/>
    <cellStyle name="Normal 150_BASE Current Year" xfId="2421" xr:uid="{00000000-0005-0000-0000-0000BC070000}"/>
    <cellStyle name="Normal 151" xfId="2422" xr:uid="{00000000-0005-0000-0000-0000BD070000}"/>
    <cellStyle name="Normal 151 2" xfId="2423" xr:uid="{00000000-0005-0000-0000-0000BE070000}"/>
    <cellStyle name="Normal 152" xfId="2424" xr:uid="{00000000-0005-0000-0000-0000BF070000}"/>
    <cellStyle name="Normal 152 2" xfId="2425" xr:uid="{00000000-0005-0000-0000-0000C0070000}"/>
    <cellStyle name="Normal 152_BASE Current Year" xfId="2426" xr:uid="{00000000-0005-0000-0000-0000C1070000}"/>
    <cellStyle name="Normal 153" xfId="2427" xr:uid="{00000000-0005-0000-0000-0000C2070000}"/>
    <cellStyle name="Normal 153 2" xfId="2428" xr:uid="{00000000-0005-0000-0000-0000C3070000}"/>
    <cellStyle name="Normal 153_BASE Current Year" xfId="2429" xr:uid="{00000000-0005-0000-0000-0000C4070000}"/>
    <cellStyle name="Normal 154" xfId="2430" xr:uid="{00000000-0005-0000-0000-0000C5070000}"/>
    <cellStyle name="Normal 154 2" xfId="2431" xr:uid="{00000000-0005-0000-0000-0000C6070000}"/>
    <cellStyle name="Normal 155" xfId="2432" xr:uid="{00000000-0005-0000-0000-0000C7070000}"/>
    <cellStyle name="Normal 155 2" xfId="2433" xr:uid="{00000000-0005-0000-0000-0000C8070000}"/>
    <cellStyle name="Normal 155_BASE Current Year" xfId="2434" xr:uid="{00000000-0005-0000-0000-0000C9070000}"/>
    <cellStyle name="Normal 156" xfId="2435" xr:uid="{00000000-0005-0000-0000-0000CA070000}"/>
    <cellStyle name="Normal 156 2" xfId="2436" xr:uid="{00000000-0005-0000-0000-0000CB070000}"/>
    <cellStyle name="Normal 156_BASE Current Year" xfId="2437" xr:uid="{00000000-0005-0000-0000-0000CC070000}"/>
    <cellStyle name="Normal 157" xfId="2438" xr:uid="{00000000-0005-0000-0000-0000CD070000}"/>
    <cellStyle name="Normal 157 2" xfId="2439" xr:uid="{00000000-0005-0000-0000-0000CE070000}"/>
    <cellStyle name="Normal 158" xfId="2440" xr:uid="{00000000-0005-0000-0000-0000CF070000}"/>
    <cellStyle name="Normal 158 2" xfId="2441" xr:uid="{00000000-0005-0000-0000-0000D0070000}"/>
    <cellStyle name="Normal 158_BASE Current Year" xfId="2442" xr:uid="{00000000-0005-0000-0000-0000D1070000}"/>
    <cellStyle name="Normal 159" xfId="2443" xr:uid="{00000000-0005-0000-0000-0000D2070000}"/>
    <cellStyle name="Normal 159 2" xfId="2444" xr:uid="{00000000-0005-0000-0000-0000D3070000}"/>
    <cellStyle name="Normal 159_BASE Current Year" xfId="2445" xr:uid="{00000000-0005-0000-0000-0000D4070000}"/>
    <cellStyle name="Normal 16" xfId="172" xr:uid="{00000000-0005-0000-0000-0000D5070000}"/>
    <cellStyle name="Normal 16 2" xfId="637" xr:uid="{00000000-0005-0000-0000-0000D6070000}"/>
    <cellStyle name="Normal 16_Data for charts" xfId="2446" xr:uid="{00000000-0005-0000-0000-0000D7070000}"/>
    <cellStyle name="Normal 160" xfId="2447" xr:uid="{00000000-0005-0000-0000-0000D8070000}"/>
    <cellStyle name="Normal 160 2" xfId="2448" xr:uid="{00000000-0005-0000-0000-0000D9070000}"/>
    <cellStyle name="Normal 161" xfId="2449" xr:uid="{00000000-0005-0000-0000-0000DA070000}"/>
    <cellStyle name="Normal 161 2" xfId="2450" xr:uid="{00000000-0005-0000-0000-0000DB070000}"/>
    <cellStyle name="Normal 161_BASE Current Year" xfId="2451" xr:uid="{00000000-0005-0000-0000-0000DC070000}"/>
    <cellStyle name="Normal 162" xfId="2452" xr:uid="{00000000-0005-0000-0000-0000DD070000}"/>
    <cellStyle name="Normal 162 2" xfId="2453" xr:uid="{00000000-0005-0000-0000-0000DE070000}"/>
    <cellStyle name="Normal 162_BASE Current Year" xfId="2454" xr:uid="{00000000-0005-0000-0000-0000DF070000}"/>
    <cellStyle name="Normal 163" xfId="2455" xr:uid="{00000000-0005-0000-0000-0000E0070000}"/>
    <cellStyle name="Normal 163 2" xfId="2456" xr:uid="{00000000-0005-0000-0000-0000E1070000}"/>
    <cellStyle name="Normal 164" xfId="2457" xr:uid="{00000000-0005-0000-0000-0000E2070000}"/>
    <cellStyle name="Normal 164 2" xfId="2458" xr:uid="{00000000-0005-0000-0000-0000E3070000}"/>
    <cellStyle name="Normal 164_BASE Current Year" xfId="2459" xr:uid="{00000000-0005-0000-0000-0000E4070000}"/>
    <cellStyle name="Normal 165" xfId="2460" xr:uid="{00000000-0005-0000-0000-0000E5070000}"/>
    <cellStyle name="Normal 165 2" xfId="2461" xr:uid="{00000000-0005-0000-0000-0000E6070000}"/>
    <cellStyle name="Normal 165_BASE Current Year" xfId="2462" xr:uid="{00000000-0005-0000-0000-0000E7070000}"/>
    <cellStyle name="Normal 166" xfId="2463" xr:uid="{00000000-0005-0000-0000-0000E8070000}"/>
    <cellStyle name="Normal 166 2" xfId="2464" xr:uid="{00000000-0005-0000-0000-0000E9070000}"/>
    <cellStyle name="Normal 167" xfId="2465" xr:uid="{00000000-0005-0000-0000-0000EA070000}"/>
    <cellStyle name="Normal 167 2" xfId="2466" xr:uid="{00000000-0005-0000-0000-0000EB070000}"/>
    <cellStyle name="Normal 167_BASE Current Year" xfId="2467" xr:uid="{00000000-0005-0000-0000-0000EC070000}"/>
    <cellStyle name="Normal 168" xfId="2468" xr:uid="{00000000-0005-0000-0000-0000ED070000}"/>
    <cellStyle name="Normal 168 2" xfId="2469" xr:uid="{00000000-0005-0000-0000-0000EE070000}"/>
    <cellStyle name="Normal 168_BASE Current Year" xfId="2470" xr:uid="{00000000-0005-0000-0000-0000EF070000}"/>
    <cellStyle name="Normal 169" xfId="2471" xr:uid="{00000000-0005-0000-0000-0000F0070000}"/>
    <cellStyle name="Normal 169 2" xfId="2472" xr:uid="{00000000-0005-0000-0000-0000F1070000}"/>
    <cellStyle name="Normal 17" xfId="173" xr:uid="{00000000-0005-0000-0000-0000F2070000}"/>
    <cellStyle name="Normal 17 2" xfId="638" xr:uid="{00000000-0005-0000-0000-0000F3070000}"/>
    <cellStyle name="Normal 17 2 2" xfId="2473" xr:uid="{00000000-0005-0000-0000-0000F4070000}"/>
    <cellStyle name="Normal 17 2 2 2" xfId="2474" xr:uid="{00000000-0005-0000-0000-0000F5070000}"/>
    <cellStyle name="Normal 17 2 2 2 2" xfId="2475" xr:uid="{00000000-0005-0000-0000-0000F6070000}"/>
    <cellStyle name="Normal 17 2 2 2 2 2" xfId="2476" xr:uid="{00000000-0005-0000-0000-0000F7070000}"/>
    <cellStyle name="Normal 17 2 2 2 2_a.Data" xfId="2477" xr:uid="{00000000-0005-0000-0000-0000F8070000}"/>
    <cellStyle name="Normal 17 2 2 2 3" xfId="2478" xr:uid="{00000000-0005-0000-0000-0000F9070000}"/>
    <cellStyle name="Normal 17 2 2 2_a.Data" xfId="2479" xr:uid="{00000000-0005-0000-0000-0000FA070000}"/>
    <cellStyle name="Normal 17 2 2 3" xfId="2480" xr:uid="{00000000-0005-0000-0000-0000FB070000}"/>
    <cellStyle name="Normal 17 2 2 3 2" xfId="2481" xr:uid="{00000000-0005-0000-0000-0000FC070000}"/>
    <cellStyle name="Normal 17 2 2 3_a.Data" xfId="2482" xr:uid="{00000000-0005-0000-0000-0000FD070000}"/>
    <cellStyle name="Normal 17 2 2 4" xfId="2483" xr:uid="{00000000-0005-0000-0000-0000FE070000}"/>
    <cellStyle name="Normal 17 2 2_a.Data" xfId="2484" xr:uid="{00000000-0005-0000-0000-0000FF070000}"/>
    <cellStyle name="Normal 17 2 3" xfId="2485" xr:uid="{00000000-0005-0000-0000-000000080000}"/>
    <cellStyle name="Normal 17 2 3 2" xfId="2486" xr:uid="{00000000-0005-0000-0000-000001080000}"/>
    <cellStyle name="Normal 17 2 3 2 2" xfId="2487" xr:uid="{00000000-0005-0000-0000-000002080000}"/>
    <cellStyle name="Normal 17 2 3 2_a.Data" xfId="2488" xr:uid="{00000000-0005-0000-0000-000003080000}"/>
    <cellStyle name="Normal 17 2 3 3" xfId="2489" xr:uid="{00000000-0005-0000-0000-000004080000}"/>
    <cellStyle name="Normal 17 2 3_a.Data" xfId="2490" xr:uid="{00000000-0005-0000-0000-000005080000}"/>
    <cellStyle name="Normal 17 2 4" xfId="2491" xr:uid="{00000000-0005-0000-0000-000006080000}"/>
    <cellStyle name="Normal 17 2 4 2" xfId="2492" xr:uid="{00000000-0005-0000-0000-000007080000}"/>
    <cellStyle name="Normal 17 2 4_a.Data" xfId="2493" xr:uid="{00000000-0005-0000-0000-000008080000}"/>
    <cellStyle name="Normal 17 2 5" xfId="2494" xr:uid="{00000000-0005-0000-0000-000009080000}"/>
    <cellStyle name="Normal 17 2_a.Data" xfId="2495" xr:uid="{00000000-0005-0000-0000-00000A080000}"/>
    <cellStyle name="Normal 17 3" xfId="2496" xr:uid="{00000000-0005-0000-0000-00000B080000}"/>
    <cellStyle name="Normal 17 3 2" xfId="2497" xr:uid="{00000000-0005-0000-0000-00000C080000}"/>
    <cellStyle name="Normal 17 3 2 2" xfId="2498" xr:uid="{00000000-0005-0000-0000-00000D080000}"/>
    <cellStyle name="Normal 17 3 2 2 2" xfId="2499" xr:uid="{00000000-0005-0000-0000-00000E080000}"/>
    <cellStyle name="Normal 17 3 2 2 2 2" xfId="2500" xr:uid="{00000000-0005-0000-0000-00000F080000}"/>
    <cellStyle name="Normal 17 3 2 2 2_a.Data" xfId="2501" xr:uid="{00000000-0005-0000-0000-000010080000}"/>
    <cellStyle name="Normal 17 3 2 2 3" xfId="2502" xr:uid="{00000000-0005-0000-0000-000011080000}"/>
    <cellStyle name="Normal 17 3 2 2_a.Data" xfId="2503" xr:uid="{00000000-0005-0000-0000-000012080000}"/>
    <cellStyle name="Normal 17 3 2 3" xfId="2504" xr:uid="{00000000-0005-0000-0000-000013080000}"/>
    <cellStyle name="Normal 17 3 2 3 2" xfId="2505" xr:uid="{00000000-0005-0000-0000-000014080000}"/>
    <cellStyle name="Normal 17 3 2 3_a.Data" xfId="2506" xr:uid="{00000000-0005-0000-0000-000015080000}"/>
    <cellStyle name="Normal 17 3 2 4" xfId="2507" xr:uid="{00000000-0005-0000-0000-000016080000}"/>
    <cellStyle name="Normal 17 3 2_a.Data" xfId="2508" xr:uid="{00000000-0005-0000-0000-000017080000}"/>
    <cellStyle name="Normal 17 3 3" xfId="2509" xr:uid="{00000000-0005-0000-0000-000018080000}"/>
    <cellStyle name="Normal 17 3 3 2" xfId="2510" xr:uid="{00000000-0005-0000-0000-000019080000}"/>
    <cellStyle name="Normal 17 3 3 2 2" xfId="2511" xr:uid="{00000000-0005-0000-0000-00001A080000}"/>
    <cellStyle name="Normal 17 3 3 2_a.Data" xfId="2512" xr:uid="{00000000-0005-0000-0000-00001B080000}"/>
    <cellStyle name="Normal 17 3 3 3" xfId="2513" xr:uid="{00000000-0005-0000-0000-00001C080000}"/>
    <cellStyle name="Normal 17 3 3_a.Data" xfId="2514" xr:uid="{00000000-0005-0000-0000-00001D080000}"/>
    <cellStyle name="Normal 17 3 4" xfId="2515" xr:uid="{00000000-0005-0000-0000-00001E080000}"/>
    <cellStyle name="Normal 17 3 4 2" xfId="2516" xr:uid="{00000000-0005-0000-0000-00001F080000}"/>
    <cellStyle name="Normal 17 3 4_a.Data" xfId="2517" xr:uid="{00000000-0005-0000-0000-000020080000}"/>
    <cellStyle name="Normal 17 3 5" xfId="2518" xr:uid="{00000000-0005-0000-0000-000021080000}"/>
    <cellStyle name="Normal 17 3_a.Data" xfId="2519" xr:uid="{00000000-0005-0000-0000-000022080000}"/>
    <cellStyle name="Normal 17 4" xfId="2520" xr:uid="{00000000-0005-0000-0000-000023080000}"/>
    <cellStyle name="Normal 17 4 2" xfId="2521" xr:uid="{00000000-0005-0000-0000-000024080000}"/>
    <cellStyle name="Normal 17 4 2 2" xfId="2522" xr:uid="{00000000-0005-0000-0000-000025080000}"/>
    <cellStyle name="Normal 17 4 2 2 2" xfId="2523" xr:uid="{00000000-0005-0000-0000-000026080000}"/>
    <cellStyle name="Normal 17 4 2 2 2 2" xfId="2524" xr:uid="{00000000-0005-0000-0000-000027080000}"/>
    <cellStyle name="Normal 17 4 2 2 2_a.Data" xfId="2525" xr:uid="{00000000-0005-0000-0000-000028080000}"/>
    <cellStyle name="Normal 17 4 2 2 3" xfId="2526" xr:uid="{00000000-0005-0000-0000-000029080000}"/>
    <cellStyle name="Normal 17 4 2 2_a.Data" xfId="2527" xr:uid="{00000000-0005-0000-0000-00002A080000}"/>
    <cellStyle name="Normal 17 4 2 3" xfId="2528" xr:uid="{00000000-0005-0000-0000-00002B080000}"/>
    <cellStyle name="Normal 17 4 2 3 2" xfId="2529" xr:uid="{00000000-0005-0000-0000-00002C080000}"/>
    <cellStyle name="Normal 17 4 2 3_a.Data" xfId="2530" xr:uid="{00000000-0005-0000-0000-00002D080000}"/>
    <cellStyle name="Normal 17 4 2 4" xfId="2531" xr:uid="{00000000-0005-0000-0000-00002E080000}"/>
    <cellStyle name="Normal 17 4 2_a.Data" xfId="2532" xr:uid="{00000000-0005-0000-0000-00002F080000}"/>
    <cellStyle name="Normal 17 4 3" xfId="2533" xr:uid="{00000000-0005-0000-0000-000030080000}"/>
    <cellStyle name="Normal 17 4 3 2" xfId="2534" xr:uid="{00000000-0005-0000-0000-000031080000}"/>
    <cellStyle name="Normal 17 4 3 2 2" xfId="2535" xr:uid="{00000000-0005-0000-0000-000032080000}"/>
    <cellStyle name="Normal 17 4 3 2_a.Data" xfId="2536" xr:uid="{00000000-0005-0000-0000-000033080000}"/>
    <cellStyle name="Normal 17 4 3 3" xfId="2537" xr:uid="{00000000-0005-0000-0000-000034080000}"/>
    <cellStyle name="Normal 17 4 3_a.Data" xfId="2538" xr:uid="{00000000-0005-0000-0000-000035080000}"/>
    <cellStyle name="Normal 17 4 4" xfId="2539" xr:uid="{00000000-0005-0000-0000-000036080000}"/>
    <cellStyle name="Normal 17 4 4 2" xfId="2540" xr:uid="{00000000-0005-0000-0000-000037080000}"/>
    <cellStyle name="Normal 17 4 4_a.Data" xfId="2541" xr:uid="{00000000-0005-0000-0000-000038080000}"/>
    <cellStyle name="Normal 17 4 5" xfId="2542" xr:uid="{00000000-0005-0000-0000-000039080000}"/>
    <cellStyle name="Normal 17 4_a.Data" xfId="2543" xr:uid="{00000000-0005-0000-0000-00003A080000}"/>
    <cellStyle name="Normal 17 5" xfId="2544" xr:uid="{00000000-0005-0000-0000-00003B080000}"/>
    <cellStyle name="Normal 17 5 2" xfId="2545" xr:uid="{00000000-0005-0000-0000-00003C080000}"/>
    <cellStyle name="Normal 17 5 2 2" xfId="2546" xr:uid="{00000000-0005-0000-0000-00003D080000}"/>
    <cellStyle name="Normal 17 5 2 2 2" xfId="2547" xr:uid="{00000000-0005-0000-0000-00003E080000}"/>
    <cellStyle name="Normal 17 5 2 2_a.Data" xfId="2548" xr:uid="{00000000-0005-0000-0000-00003F080000}"/>
    <cellStyle name="Normal 17 5 2 3" xfId="2549" xr:uid="{00000000-0005-0000-0000-000040080000}"/>
    <cellStyle name="Normal 17 5 2_a.Data" xfId="2550" xr:uid="{00000000-0005-0000-0000-000041080000}"/>
    <cellStyle name="Normal 17 5 3" xfId="2551" xr:uid="{00000000-0005-0000-0000-000042080000}"/>
    <cellStyle name="Normal 17 5 3 2" xfId="2552" xr:uid="{00000000-0005-0000-0000-000043080000}"/>
    <cellStyle name="Normal 17 5 3_a.Data" xfId="2553" xr:uid="{00000000-0005-0000-0000-000044080000}"/>
    <cellStyle name="Normal 17 5 4" xfId="2554" xr:uid="{00000000-0005-0000-0000-000045080000}"/>
    <cellStyle name="Normal 17 5_a.Data" xfId="2555" xr:uid="{00000000-0005-0000-0000-000046080000}"/>
    <cellStyle name="Normal 17 6" xfId="2556" xr:uid="{00000000-0005-0000-0000-000047080000}"/>
    <cellStyle name="Normal 17 6 2" xfId="2557" xr:uid="{00000000-0005-0000-0000-000048080000}"/>
    <cellStyle name="Normal 17 6 2 2" xfId="2558" xr:uid="{00000000-0005-0000-0000-000049080000}"/>
    <cellStyle name="Normal 17 6 2 2 2" xfId="2559" xr:uid="{00000000-0005-0000-0000-00004A080000}"/>
    <cellStyle name="Normal 17 6 2 2_a.Data" xfId="2560" xr:uid="{00000000-0005-0000-0000-00004B080000}"/>
    <cellStyle name="Normal 17 6 2 3" xfId="2561" xr:uid="{00000000-0005-0000-0000-00004C080000}"/>
    <cellStyle name="Normal 17 6 2_a.Data" xfId="2562" xr:uid="{00000000-0005-0000-0000-00004D080000}"/>
    <cellStyle name="Normal 17 6 3" xfId="2563" xr:uid="{00000000-0005-0000-0000-00004E080000}"/>
    <cellStyle name="Normal 17 6 3 2" xfId="2564" xr:uid="{00000000-0005-0000-0000-00004F080000}"/>
    <cellStyle name="Normal 17 6 3_a.Data" xfId="2565" xr:uid="{00000000-0005-0000-0000-000050080000}"/>
    <cellStyle name="Normal 17 6 4" xfId="2566" xr:uid="{00000000-0005-0000-0000-000051080000}"/>
    <cellStyle name="Normal 17 6_a.Data" xfId="2567" xr:uid="{00000000-0005-0000-0000-000052080000}"/>
    <cellStyle name="Normal 17 7" xfId="2568" xr:uid="{00000000-0005-0000-0000-000053080000}"/>
    <cellStyle name="Normal 17 7 2" xfId="2569" xr:uid="{00000000-0005-0000-0000-000054080000}"/>
    <cellStyle name="Normal 17 7 2 2" xfId="2570" xr:uid="{00000000-0005-0000-0000-000055080000}"/>
    <cellStyle name="Normal 17 7 2_a.Data" xfId="2571" xr:uid="{00000000-0005-0000-0000-000056080000}"/>
    <cellStyle name="Normal 17 7 3" xfId="2572" xr:uid="{00000000-0005-0000-0000-000057080000}"/>
    <cellStyle name="Normal 17 7_a.Data" xfId="2573" xr:uid="{00000000-0005-0000-0000-000058080000}"/>
    <cellStyle name="Normal 17 8" xfId="2574" xr:uid="{00000000-0005-0000-0000-000059080000}"/>
    <cellStyle name="Normal 17 8 2" xfId="2575" xr:uid="{00000000-0005-0000-0000-00005A080000}"/>
    <cellStyle name="Normal 17 8_a.Data" xfId="2576" xr:uid="{00000000-0005-0000-0000-00005B080000}"/>
    <cellStyle name="Normal 17 9" xfId="2577" xr:uid="{00000000-0005-0000-0000-00005C080000}"/>
    <cellStyle name="Normal 17_a.Data" xfId="2578" xr:uid="{00000000-0005-0000-0000-00005D080000}"/>
    <cellStyle name="Normal 170" xfId="2579" xr:uid="{00000000-0005-0000-0000-00005E080000}"/>
    <cellStyle name="Normal 170 2" xfId="2580" xr:uid="{00000000-0005-0000-0000-00005F080000}"/>
    <cellStyle name="Normal 170_BASE Current Year" xfId="2581" xr:uid="{00000000-0005-0000-0000-000060080000}"/>
    <cellStyle name="Normal 171" xfId="2582" xr:uid="{00000000-0005-0000-0000-000061080000}"/>
    <cellStyle name="Normal 171 2" xfId="2583" xr:uid="{00000000-0005-0000-0000-000062080000}"/>
    <cellStyle name="Normal 171_BASE Current Year" xfId="2584" xr:uid="{00000000-0005-0000-0000-000063080000}"/>
    <cellStyle name="Normal 172" xfId="2585" xr:uid="{00000000-0005-0000-0000-000064080000}"/>
    <cellStyle name="Normal 172 2" xfId="2586" xr:uid="{00000000-0005-0000-0000-000065080000}"/>
    <cellStyle name="Normal 173" xfId="2587" xr:uid="{00000000-0005-0000-0000-000066080000}"/>
    <cellStyle name="Normal 173 2" xfId="2588" xr:uid="{00000000-0005-0000-0000-000067080000}"/>
    <cellStyle name="Normal 173_BASE Current Year" xfId="2589" xr:uid="{00000000-0005-0000-0000-000068080000}"/>
    <cellStyle name="Normal 174" xfId="2590" xr:uid="{00000000-0005-0000-0000-000069080000}"/>
    <cellStyle name="Normal 174 2" xfId="2591" xr:uid="{00000000-0005-0000-0000-00006A080000}"/>
    <cellStyle name="Normal 174_BASE Current Year" xfId="2592" xr:uid="{00000000-0005-0000-0000-00006B080000}"/>
    <cellStyle name="Normal 175" xfId="2593" xr:uid="{00000000-0005-0000-0000-00006C080000}"/>
    <cellStyle name="Normal 175 2" xfId="2594" xr:uid="{00000000-0005-0000-0000-00006D080000}"/>
    <cellStyle name="Normal 176" xfId="2595" xr:uid="{00000000-0005-0000-0000-00006E080000}"/>
    <cellStyle name="Normal 176 2" xfId="2596" xr:uid="{00000000-0005-0000-0000-00006F080000}"/>
    <cellStyle name="Normal 176_BASE Current Year" xfId="2597" xr:uid="{00000000-0005-0000-0000-000070080000}"/>
    <cellStyle name="Normal 177" xfId="2598" xr:uid="{00000000-0005-0000-0000-000071080000}"/>
    <cellStyle name="Normal 177 2" xfId="2599" xr:uid="{00000000-0005-0000-0000-000072080000}"/>
    <cellStyle name="Normal 177_BASE Current Year" xfId="2600" xr:uid="{00000000-0005-0000-0000-000073080000}"/>
    <cellStyle name="Normal 178" xfId="2601" xr:uid="{00000000-0005-0000-0000-000074080000}"/>
    <cellStyle name="Normal 178 2" xfId="2602" xr:uid="{00000000-0005-0000-0000-000075080000}"/>
    <cellStyle name="Normal 178_BASE Current Year" xfId="2603" xr:uid="{00000000-0005-0000-0000-000076080000}"/>
    <cellStyle name="Normal 179" xfId="2604" xr:uid="{00000000-0005-0000-0000-000077080000}"/>
    <cellStyle name="Normal 179 2" xfId="2605" xr:uid="{00000000-0005-0000-0000-000078080000}"/>
    <cellStyle name="Normal 18" xfId="174" xr:uid="{00000000-0005-0000-0000-000079080000}"/>
    <cellStyle name="Normal 18 2" xfId="639" xr:uid="{00000000-0005-0000-0000-00007A080000}"/>
    <cellStyle name="Normal 18 2 2" xfId="2606" xr:uid="{00000000-0005-0000-0000-00007B080000}"/>
    <cellStyle name="Normal 18 2 2 2" xfId="2607" xr:uid="{00000000-0005-0000-0000-00007C080000}"/>
    <cellStyle name="Normal 18 2 2 2 2" xfId="2608" xr:uid="{00000000-0005-0000-0000-00007D080000}"/>
    <cellStyle name="Normal 18 2 2 2_a.Data" xfId="2609" xr:uid="{00000000-0005-0000-0000-00007E080000}"/>
    <cellStyle name="Normal 18 2 2 3" xfId="2610" xr:uid="{00000000-0005-0000-0000-00007F080000}"/>
    <cellStyle name="Normal 18 2 2_a.Data" xfId="2611" xr:uid="{00000000-0005-0000-0000-000080080000}"/>
    <cellStyle name="Normal 18 2 3" xfId="2612" xr:uid="{00000000-0005-0000-0000-000081080000}"/>
    <cellStyle name="Normal 18 2 3 2" xfId="2613" xr:uid="{00000000-0005-0000-0000-000082080000}"/>
    <cellStyle name="Normal 18 2 3_a.Data" xfId="2614" xr:uid="{00000000-0005-0000-0000-000083080000}"/>
    <cellStyle name="Normal 18 2 4" xfId="2615" xr:uid="{00000000-0005-0000-0000-000084080000}"/>
    <cellStyle name="Normal 18 2_a.Data" xfId="2616" xr:uid="{00000000-0005-0000-0000-000085080000}"/>
    <cellStyle name="Normal 18 3" xfId="2617" xr:uid="{00000000-0005-0000-0000-000086080000}"/>
    <cellStyle name="Normal 18 4" xfId="2618" xr:uid="{00000000-0005-0000-0000-000087080000}"/>
    <cellStyle name="Normal 18 4 2" xfId="2619" xr:uid="{00000000-0005-0000-0000-000088080000}"/>
    <cellStyle name="Normal 18 4 2 2" xfId="2620" xr:uid="{00000000-0005-0000-0000-000089080000}"/>
    <cellStyle name="Normal 18 4 2_a.Data" xfId="2621" xr:uid="{00000000-0005-0000-0000-00008A080000}"/>
    <cellStyle name="Normal 18 4 3" xfId="2622" xr:uid="{00000000-0005-0000-0000-00008B080000}"/>
    <cellStyle name="Normal 18 4_a.Data" xfId="2623" xr:uid="{00000000-0005-0000-0000-00008C080000}"/>
    <cellStyle name="Normal 18 5" xfId="2624" xr:uid="{00000000-0005-0000-0000-00008D080000}"/>
    <cellStyle name="Normal 18 5 2" xfId="2625" xr:uid="{00000000-0005-0000-0000-00008E080000}"/>
    <cellStyle name="Normal 18 5_a.Data" xfId="2626" xr:uid="{00000000-0005-0000-0000-00008F080000}"/>
    <cellStyle name="Normal 18 6" xfId="2627" xr:uid="{00000000-0005-0000-0000-000090080000}"/>
    <cellStyle name="Normal 18_a.Data" xfId="2628" xr:uid="{00000000-0005-0000-0000-000091080000}"/>
    <cellStyle name="Normal 180" xfId="2629" xr:uid="{00000000-0005-0000-0000-000092080000}"/>
    <cellStyle name="Normal 180 2" xfId="2630" xr:uid="{00000000-0005-0000-0000-000093080000}"/>
    <cellStyle name="Normal 180_BASE Current Year" xfId="2631" xr:uid="{00000000-0005-0000-0000-000094080000}"/>
    <cellStyle name="Normal 181" xfId="2632" xr:uid="{00000000-0005-0000-0000-000095080000}"/>
    <cellStyle name="Normal 181 2" xfId="2633" xr:uid="{00000000-0005-0000-0000-000096080000}"/>
    <cellStyle name="Normal 181_BASE Current Year" xfId="2634" xr:uid="{00000000-0005-0000-0000-000097080000}"/>
    <cellStyle name="Normal 182" xfId="2635" xr:uid="{00000000-0005-0000-0000-000098080000}"/>
    <cellStyle name="Normal 182 2" xfId="2636" xr:uid="{00000000-0005-0000-0000-000099080000}"/>
    <cellStyle name="Normal 183" xfId="2637" xr:uid="{00000000-0005-0000-0000-00009A080000}"/>
    <cellStyle name="Normal 183 2" xfId="2638" xr:uid="{00000000-0005-0000-0000-00009B080000}"/>
    <cellStyle name="Normal 183_BASE Current Year" xfId="2639" xr:uid="{00000000-0005-0000-0000-00009C080000}"/>
    <cellStyle name="Normal 184" xfId="2640" xr:uid="{00000000-0005-0000-0000-00009D080000}"/>
    <cellStyle name="Normal 184 2" xfId="2641" xr:uid="{00000000-0005-0000-0000-00009E080000}"/>
    <cellStyle name="Normal 184_BASE Current Year" xfId="2642" xr:uid="{00000000-0005-0000-0000-00009F080000}"/>
    <cellStyle name="Normal 185" xfId="2643" xr:uid="{00000000-0005-0000-0000-0000A0080000}"/>
    <cellStyle name="Normal 185 2" xfId="2644" xr:uid="{00000000-0005-0000-0000-0000A1080000}"/>
    <cellStyle name="Normal 186" xfId="2645" xr:uid="{00000000-0005-0000-0000-0000A2080000}"/>
    <cellStyle name="Normal 186 2" xfId="2646" xr:uid="{00000000-0005-0000-0000-0000A3080000}"/>
    <cellStyle name="Normal 186_BASE Current Year" xfId="2647" xr:uid="{00000000-0005-0000-0000-0000A4080000}"/>
    <cellStyle name="Normal 187" xfId="2648" xr:uid="{00000000-0005-0000-0000-0000A5080000}"/>
    <cellStyle name="Normal 187 2" xfId="2649" xr:uid="{00000000-0005-0000-0000-0000A6080000}"/>
    <cellStyle name="Normal 187_BASE Current Year" xfId="2650" xr:uid="{00000000-0005-0000-0000-0000A7080000}"/>
    <cellStyle name="Normal 188" xfId="2651" xr:uid="{00000000-0005-0000-0000-0000A8080000}"/>
    <cellStyle name="Normal 188 2" xfId="2652" xr:uid="{00000000-0005-0000-0000-0000A9080000}"/>
    <cellStyle name="Normal 189" xfId="2653" xr:uid="{00000000-0005-0000-0000-0000AA080000}"/>
    <cellStyle name="Normal 189 2" xfId="2654" xr:uid="{00000000-0005-0000-0000-0000AB080000}"/>
    <cellStyle name="Normal 189_BASE Current Year" xfId="2655" xr:uid="{00000000-0005-0000-0000-0000AC080000}"/>
    <cellStyle name="Normal 19" xfId="175" xr:uid="{00000000-0005-0000-0000-0000AD080000}"/>
    <cellStyle name="Normal 19 2" xfId="640" xr:uid="{00000000-0005-0000-0000-0000AE080000}"/>
    <cellStyle name="Normal 19_Data for charts" xfId="2656" xr:uid="{00000000-0005-0000-0000-0000AF080000}"/>
    <cellStyle name="Normal 190" xfId="2657" xr:uid="{00000000-0005-0000-0000-0000B0080000}"/>
    <cellStyle name="Normal 190 2" xfId="2658" xr:uid="{00000000-0005-0000-0000-0000B1080000}"/>
    <cellStyle name="Normal 190_BASE Current Year" xfId="2659" xr:uid="{00000000-0005-0000-0000-0000B2080000}"/>
    <cellStyle name="Normal 191" xfId="2660" xr:uid="{00000000-0005-0000-0000-0000B3080000}"/>
    <cellStyle name="Normal 191 2" xfId="2661" xr:uid="{00000000-0005-0000-0000-0000B4080000}"/>
    <cellStyle name="Normal 192" xfId="2662" xr:uid="{00000000-0005-0000-0000-0000B5080000}"/>
    <cellStyle name="Normal 192 2" xfId="2663" xr:uid="{00000000-0005-0000-0000-0000B6080000}"/>
    <cellStyle name="Normal 192_BASE Current Year" xfId="2664" xr:uid="{00000000-0005-0000-0000-0000B7080000}"/>
    <cellStyle name="Normal 193" xfId="2665" xr:uid="{00000000-0005-0000-0000-0000B8080000}"/>
    <cellStyle name="Normal 193 2" xfId="2666" xr:uid="{00000000-0005-0000-0000-0000B9080000}"/>
    <cellStyle name="Normal 193_BASE Current Year" xfId="2667" xr:uid="{00000000-0005-0000-0000-0000BA080000}"/>
    <cellStyle name="Normal 194" xfId="2668" xr:uid="{00000000-0005-0000-0000-0000BB080000}"/>
    <cellStyle name="Normal 194 2" xfId="2669" xr:uid="{00000000-0005-0000-0000-0000BC080000}"/>
    <cellStyle name="Normal 195" xfId="2670" xr:uid="{00000000-0005-0000-0000-0000BD080000}"/>
    <cellStyle name="Normal 195 2" xfId="2671" xr:uid="{00000000-0005-0000-0000-0000BE080000}"/>
    <cellStyle name="Normal 195_BASE Current Year" xfId="2672" xr:uid="{00000000-0005-0000-0000-0000BF080000}"/>
    <cellStyle name="Normal 196" xfId="2673" xr:uid="{00000000-0005-0000-0000-0000C0080000}"/>
    <cellStyle name="Normal 196 2" xfId="2674" xr:uid="{00000000-0005-0000-0000-0000C1080000}"/>
    <cellStyle name="Normal 196_BASE Current Year" xfId="2675" xr:uid="{00000000-0005-0000-0000-0000C2080000}"/>
    <cellStyle name="Normal 197" xfId="2676" xr:uid="{00000000-0005-0000-0000-0000C3080000}"/>
    <cellStyle name="Normal 197 2" xfId="2677" xr:uid="{00000000-0005-0000-0000-0000C4080000}"/>
    <cellStyle name="Normal 198" xfId="2678" xr:uid="{00000000-0005-0000-0000-0000C5080000}"/>
    <cellStyle name="Normal 198 2" xfId="2679" xr:uid="{00000000-0005-0000-0000-0000C6080000}"/>
    <cellStyle name="Normal 198_BASE Current Year" xfId="2680" xr:uid="{00000000-0005-0000-0000-0000C7080000}"/>
    <cellStyle name="Normal 199" xfId="2681" xr:uid="{00000000-0005-0000-0000-0000C8080000}"/>
    <cellStyle name="Normal 199 2" xfId="2682" xr:uid="{00000000-0005-0000-0000-0000C9080000}"/>
    <cellStyle name="Normal 199_BASE Current Year" xfId="2683" xr:uid="{00000000-0005-0000-0000-0000CA080000}"/>
    <cellStyle name="Normal 2" xfId="4" xr:uid="{00000000-0005-0000-0000-0000CB080000}"/>
    <cellStyle name="Normal 2 10" xfId="641" xr:uid="{00000000-0005-0000-0000-0000CC080000}"/>
    <cellStyle name="Normal 2 11" xfId="642" xr:uid="{00000000-0005-0000-0000-0000CD080000}"/>
    <cellStyle name="Normal 2 12" xfId="643" xr:uid="{00000000-0005-0000-0000-0000CE080000}"/>
    <cellStyle name="Normal 2 13" xfId="644" xr:uid="{00000000-0005-0000-0000-0000CF080000}"/>
    <cellStyle name="Normal 2 14" xfId="645" xr:uid="{00000000-0005-0000-0000-0000D0080000}"/>
    <cellStyle name="Normal 2 15" xfId="646" xr:uid="{00000000-0005-0000-0000-0000D1080000}"/>
    <cellStyle name="Normal 2 16" xfId="647" xr:uid="{00000000-0005-0000-0000-0000D2080000}"/>
    <cellStyle name="Normal 2 17" xfId="648" xr:uid="{00000000-0005-0000-0000-0000D3080000}"/>
    <cellStyle name="Normal 2 18" xfId="649" xr:uid="{00000000-0005-0000-0000-0000D4080000}"/>
    <cellStyle name="Normal 2 19" xfId="650" xr:uid="{00000000-0005-0000-0000-0000D5080000}"/>
    <cellStyle name="Normal 2 2" xfId="10" xr:uid="{00000000-0005-0000-0000-0000D6080000}"/>
    <cellStyle name="Normal 2 2 2" xfId="652" xr:uid="{00000000-0005-0000-0000-0000D7080000}"/>
    <cellStyle name="Normal 2 2 3" xfId="653" xr:uid="{00000000-0005-0000-0000-0000D8080000}"/>
    <cellStyle name="Normal 2 2 3 2" xfId="2684" xr:uid="{00000000-0005-0000-0000-0000D9080000}"/>
    <cellStyle name="Normal 2 2 3_a.Data" xfId="2685" xr:uid="{00000000-0005-0000-0000-0000DA080000}"/>
    <cellStyle name="Normal 2 2 4" xfId="654" xr:uid="{00000000-0005-0000-0000-0000DB080000}"/>
    <cellStyle name="Normal 2 2 5" xfId="651" xr:uid="{00000000-0005-0000-0000-0000DC080000}"/>
    <cellStyle name="Normal 2 2 6" xfId="177" xr:uid="{00000000-0005-0000-0000-0000DD080000}"/>
    <cellStyle name="Normal 2 2_a.Data" xfId="2686" xr:uid="{00000000-0005-0000-0000-0000DE080000}"/>
    <cellStyle name="Normal 2 20" xfId="655" xr:uid="{00000000-0005-0000-0000-0000DF080000}"/>
    <cellStyle name="Normal 2 21" xfId="656" xr:uid="{00000000-0005-0000-0000-0000E0080000}"/>
    <cellStyle name="Normal 2 22" xfId="657" xr:uid="{00000000-0005-0000-0000-0000E1080000}"/>
    <cellStyle name="Normal 2 23" xfId="658" xr:uid="{00000000-0005-0000-0000-0000E2080000}"/>
    <cellStyle name="Normal 2 24" xfId="659" xr:uid="{00000000-0005-0000-0000-0000E3080000}"/>
    <cellStyle name="Normal 2 25" xfId="660" xr:uid="{00000000-0005-0000-0000-0000E4080000}"/>
    <cellStyle name="Normal 2 26" xfId="661" xr:uid="{00000000-0005-0000-0000-0000E5080000}"/>
    <cellStyle name="Normal 2 27" xfId="662" xr:uid="{00000000-0005-0000-0000-0000E6080000}"/>
    <cellStyle name="Normal 2 28" xfId="663" xr:uid="{00000000-0005-0000-0000-0000E7080000}"/>
    <cellStyle name="Normal 2 29" xfId="664" xr:uid="{00000000-0005-0000-0000-0000E8080000}"/>
    <cellStyle name="Normal 2 3" xfId="351" xr:uid="{00000000-0005-0000-0000-0000E9080000}"/>
    <cellStyle name="Normal 2 3 2" xfId="665" xr:uid="{00000000-0005-0000-0000-0000EA080000}"/>
    <cellStyle name="Normal 2 3 3" xfId="666" xr:uid="{00000000-0005-0000-0000-0000EB080000}"/>
    <cellStyle name="Normal 2 3_Data for charts" xfId="2687" xr:uid="{00000000-0005-0000-0000-0000EC080000}"/>
    <cellStyle name="Normal 2 30" xfId="176" xr:uid="{00000000-0005-0000-0000-0000ED080000}"/>
    <cellStyle name="Normal 2 4" xfId="667" xr:uid="{00000000-0005-0000-0000-0000EE080000}"/>
    <cellStyle name="Normal 2 4 2" xfId="2689" xr:uid="{00000000-0005-0000-0000-0000EF080000}"/>
    <cellStyle name="Normal 2 4_Data for charts" xfId="2688" xr:uid="{00000000-0005-0000-0000-0000F0080000}"/>
    <cellStyle name="Normal 2 5" xfId="668" xr:uid="{00000000-0005-0000-0000-0000F1080000}"/>
    <cellStyle name="Normal 2 6" xfId="669" xr:uid="{00000000-0005-0000-0000-0000F2080000}"/>
    <cellStyle name="Normal 2 7" xfId="670" xr:uid="{00000000-0005-0000-0000-0000F3080000}"/>
    <cellStyle name="Normal 2 8" xfId="671" xr:uid="{00000000-0005-0000-0000-0000F4080000}"/>
    <cellStyle name="Normal 2 9" xfId="672" xr:uid="{00000000-0005-0000-0000-0000F5080000}"/>
    <cellStyle name="Normal 2_110621 OBRoutput FSR transUpdate and tobacco jun25" xfId="178" xr:uid="{00000000-0005-0000-0000-0000F6080000}"/>
    <cellStyle name="Normal 20" xfId="179" xr:uid="{00000000-0005-0000-0000-0000F7080000}"/>
    <cellStyle name="Normal 20 2" xfId="673" xr:uid="{00000000-0005-0000-0000-0000F8080000}"/>
    <cellStyle name="Normal 20_Data for charts" xfId="2690" xr:uid="{00000000-0005-0000-0000-0000F9080000}"/>
    <cellStyle name="Normal 200" xfId="2691" xr:uid="{00000000-0005-0000-0000-0000FA080000}"/>
    <cellStyle name="Normal 200 2" xfId="2692" xr:uid="{00000000-0005-0000-0000-0000FB080000}"/>
    <cellStyle name="Normal 201" xfId="2693" xr:uid="{00000000-0005-0000-0000-0000FC080000}"/>
    <cellStyle name="Normal 201 2" xfId="2694" xr:uid="{00000000-0005-0000-0000-0000FD080000}"/>
    <cellStyle name="Normal 201_BASE Current Year" xfId="2695" xr:uid="{00000000-0005-0000-0000-0000FE080000}"/>
    <cellStyle name="Normal 202" xfId="2696" xr:uid="{00000000-0005-0000-0000-0000FF080000}"/>
    <cellStyle name="Normal 202 2" xfId="2697" xr:uid="{00000000-0005-0000-0000-000000090000}"/>
    <cellStyle name="Normal 202_BASE Current Year" xfId="2698" xr:uid="{00000000-0005-0000-0000-000001090000}"/>
    <cellStyle name="Normal 203" xfId="2699" xr:uid="{00000000-0005-0000-0000-000002090000}"/>
    <cellStyle name="Normal 203 2" xfId="2700" xr:uid="{00000000-0005-0000-0000-000003090000}"/>
    <cellStyle name="Normal 204" xfId="2701" xr:uid="{00000000-0005-0000-0000-000004090000}"/>
    <cellStyle name="Normal 204 2" xfId="2702" xr:uid="{00000000-0005-0000-0000-000005090000}"/>
    <cellStyle name="Normal 204_BASE Current Year" xfId="2703" xr:uid="{00000000-0005-0000-0000-000006090000}"/>
    <cellStyle name="Normal 205" xfId="2704" xr:uid="{00000000-0005-0000-0000-000007090000}"/>
    <cellStyle name="Normal 205 2" xfId="2705" xr:uid="{00000000-0005-0000-0000-000008090000}"/>
    <cellStyle name="Normal 205_BASE Current Year" xfId="2706" xr:uid="{00000000-0005-0000-0000-000009090000}"/>
    <cellStyle name="Normal 206" xfId="2707" xr:uid="{00000000-0005-0000-0000-00000A090000}"/>
    <cellStyle name="Normal 206 2" xfId="2708" xr:uid="{00000000-0005-0000-0000-00000B090000}"/>
    <cellStyle name="Normal 207" xfId="2709" xr:uid="{00000000-0005-0000-0000-00000C090000}"/>
    <cellStyle name="Normal 207 2" xfId="2710" xr:uid="{00000000-0005-0000-0000-00000D090000}"/>
    <cellStyle name="Normal 207_BASE Current Year" xfId="2711" xr:uid="{00000000-0005-0000-0000-00000E090000}"/>
    <cellStyle name="Normal 208" xfId="2712" xr:uid="{00000000-0005-0000-0000-00000F090000}"/>
    <cellStyle name="Normal 208 2" xfId="2713" xr:uid="{00000000-0005-0000-0000-000010090000}"/>
    <cellStyle name="Normal 208_BASE Current Year" xfId="2714" xr:uid="{00000000-0005-0000-0000-000011090000}"/>
    <cellStyle name="Normal 209" xfId="2715" xr:uid="{00000000-0005-0000-0000-000012090000}"/>
    <cellStyle name="Normal 21" xfId="180" xr:uid="{00000000-0005-0000-0000-000013090000}"/>
    <cellStyle name="Normal 21 2" xfId="181" xr:uid="{00000000-0005-0000-0000-000014090000}"/>
    <cellStyle name="Normal 21 2 2" xfId="675" xr:uid="{00000000-0005-0000-0000-000015090000}"/>
    <cellStyle name="Normal 21 2_Data for charts" xfId="2716" xr:uid="{00000000-0005-0000-0000-000016090000}"/>
    <cellStyle name="Normal 21 3" xfId="674" xr:uid="{00000000-0005-0000-0000-000017090000}"/>
    <cellStyle name="Normal 21 3 2" xfId="2717" xr:uid="{00000000-0005-0000-0000-000018090000}"/>
    <cellStyle name="Normal 21 3 2 2" xfId="2718" xr:uid="{00000000-0005-0000-0000-000019090000}"/>
    <cellStyle name="Normal 21 3 2 2 2" xfId="2719" xr:uid="{00000000-0005-0000-0000-00001A090000}"/>
    <cellStyle name="Normal 21 3 2 2_a.Data" xfId="2720" xr:uid="{00000000-0005-0000-0000-00001B090000}"/>
    <cellStyle name="Normal 21 3 2 3" xfId="2721" xr:uid="{00000000-0005-0000-0000-00001C090000}"/>
    <cellStyle name="Normal 21 3 2_a.Data" xfId="2722" xr:uid="{00000000-0005-0000-0000-00001D090000}"/>
    <cellStyle name="Normal 21 3 3" xfId="2723" xr:uid="{00000000-0005-0000-0000-00001E090000}"/>
    <cellStyle name="Normal 21 3 3 2" xfId="2724" xr:uid="{00000000-0005-0000-0000-00001F090000}"/>
    <cellStyle name="Normal 21 3 3_a.Data" xfId="2725" xr:uid="{00000000-0005-0000-0000-000020090000}"/>
    <cellStyle name="Normal 21 3 4" xfId="2726" xr:uid="{00000000-0005-0000-0000-000021090000}"/>
    <cellStyle name="Normal 21 3_a.Data" xfId="2727" xr:uid="{00000000-0005-0000-0000-000022090000}"/>
    <cellStyle name="Normal 21 4" xfId="2728" xr:uid="{00000000-0005-0000-0000-000023090000}"/>
    <cellStyle name="Normal 21 4 2" xfId="2729" xr:uid="{00000000-0005-0000-0000-000024090000}"/>
    <cellStyle name="Normal 21 4 2 2" xfId="2730" xr:uid="{00000000-0005-0000-0000-000025090000}"/>
    <cellStyle name="Normal 21 4 2 2 2" xfId="2731" xr:uid="{00000000-0005-0000-0000-000026090000}"/>
    <cellStyle name="Normal 21 4 2 2_a.Data" xfId="2732" xr:uid="{00000000-0005-0000-0000-000027090000}"/>
    <cellStyle name="Normal 21 4 2 3" xfId="2733" xr:uid="{00000000-0005-0000-0000-000028090000}"/>
    <cellStyle name="Normal 21 4 2_a.Data" xfId="2734" xr:uid="{00000000-0005-0000-0000-000029090000}"/>
    <cellStyle name="Normal 21 4 3" xfId="2735" xr:uid="{00000000-0005-0000-0000-00002A090000}"/>
    <cellStyle name="Normal 21 4 3 2" xfId="2736" xr:uid="{00000000-0005-0000-0000-00002B090000}"/>
    <cellStyle name="Normal 21 4 3_a.Data" xfId="2737" xr:uid="{00000000-0005-0000-0000-00002C090000}"/>
    <cellStyle name="Normal 21 4 4" xfId="2738" xr:uid="{00000000-0005-0000-0000-00002D090000}"/>
    <cellStyle name="Normal 21 4_a.Data" xfId="2739" xr:uid="{00000000-0005-0000-0000-00002E090000}"/>
    <cellStyle name="Normal 21 5" xfId="2740" xr:uid="{00000000-0005-0000-0000-00002F090000}"/>
    <cellStyle name="Normal 21 5 2" xfId="2741" xr:uid="{00000000-0005-0000-0000-000030090000}"/>
    <cellStyle name="Normal 21 5 2 2" xfId="2742" xr:uid="{00000000-0005-0000-0000-000031090000}"/>
    <cellStyle name="Normal 21 5 2_a.Data" xfId="2743" xr:uid="{00000000-0005-0000-0000-000032090000}"/>
    <cellStyle name="Normal 21 5 3" xfId="2744" xr:uid="{00000000-0005-0000-0000-000033090000}"/>
    <cellStyle name="Normal 21 5_a.Data" xfId="2745" xr:uid="{00000000-0005-0000-0000-000034090000}"/>
    <cellStyle name="Normal 21 6" xfId="2746" xr:uid="{00000000-0005-0000-0000-000035090000}"/>
    <cellStyle name="Normal 21 6 2" xfId="2747" xr:uid="{00000000-0005-0000-0000-000036090000}"/>
    <cellStyle name="Normal 21 6_a.Data" xfId="2748" xr:uid="{00000000-0005-0000-0000-000037090000}"/>
    <cellStyle name="Normal 21 7" xfId="2749" xr:uid="{00000000-0005-0000-0000-000038090000}"/>
    <cellStyle name="Normal 21_a.Data" xfId="2750" xr:uid="{00000000-0005-0000-0000-000039090000}"/>
    <cellStyle name="Normal 210" xfId="2751" xr:uid="{00000000-0005-0000-0000-00003A090000}"/>
    <cellStyle name="Normal 210 2" xfId="2752" xr:uid="{00000000-0005-0000-0000-00003B090000}"/>
    <cellStyle name="Normal 210_BASE Current Year" xfId="2753" xr:uid="{00000000-0005-0000-0000-00003C090000}"/>
    <cellStyle name="Normal 211" xfId="2754" xr:uid="{00000000-0005-0000-0000-00003D090000}"/>
    <cellStyle name="Normal 211 2" xfId="2755" xr:uid="{00000000-0005-0000-0000-00003E090000}"/>
    <cellStyle name="Normal 211_BASE Current Year" xfId="2756" xr:uid="{00000000-0005-0000-0000-00003F090000}"/>
    <cellStyle name="Normal 212" xfId="2757" xr:uid="{00000000-0005-0000-0000-000040090000}"/>
    <cellStyle name="Normal 213" xfId="2758" xr:uid="{00000000-0005-0000-0000-000041090000}"/>
    <cellStyle name="Normal 214" xfId="2759" xr:uid="{00000000-0005-0000-0000-000042090000}"/>
    <cellStyle name="Normal 215" xfId="2760" xr:uid="{00000000-0005-0000-0000-000043090000}"/>
    <cellStyle name="Normal 216" xfId="2761" xr:uid="{00000000-0005-0000-0000-000044090000}"/>
    <cellStyle name="Normal 217" xfId="2762" xr:uid="{00000000-0005-0000-0000-000045090000}"/>
    <cellStyle name="Normal 218" xfId="2763" xr:uid="{00000000-0005-0000-0000-000046090000}"/>
    <cellStyle name="Normal 218 2" xfId="2764" xr:uid="{00000000-0005-0000-0000-000047090000}"/>
    <cellStyle name="Normal 218_BASE Current Year" xfId="2765" xr:uid="{00000000-0005-0000-0000-000048090000}"/>
    <cellStyle name="Normal 219" xfId="2766" xr:uid="{00000000-0005-0000-0000-000049090000}"/>
    <cellStyle name="Normal 219 2" xfId="2767" xr:uid="{00000000-0005-0000-0000-00004A090000}"/>
    <cellStyle name="Normal 219_BASE Current Year" xfId="2768" xr:uid="{00000000-0005-0000-0000-00004B090000}"/>
    <cellStyle name="Normal 22" xfId="182" xr:uid="{00000000-0005-0000-0000-00004C090000}"/>
    <cellStyle name="Normal 22 2" xfId="183" xr:uid="{00000000-0005-0000-0000-00004D090000}"/>
    <cellStyle name="Normal 22 2 2" xfId="677" xr:uid="{00000000-0005-0000-0000-00004E090000}"/>
    <cellStyle name="Normal 22 2_Data for charts" xfId="2769" xr:uid="{00000000-0005-0000-0000-00004F090000}"/>
    <cellStyle name="Normal 22 3" xfId="676" xr:uid="{00000000-0005-0000-0000-000050090000}"/>
    <cellStyle name="Normal 22 3 2" xfId="2770" xr:uid="{00000000-0005-0000-0000-000051090000}"/>
    <cellStyle name="Normal 22 3 2 2" xfId="2771" xr:uid="{00000000-0005-0000-0000-000052090000}"/>
    <cellStyle name="Normal 22 3 2 2 2" xfId="2772" xr:uid="{00000000-0005-0000-0000-000053090000}"/>
    <cellStyle name="Normal 22 3 2 2_a.Data" xfId="2773" xr:uid="{00000000-0005-0000-0000-000054090000}"/>
    <cellStyle name="Normal 22 3 2 3" xfId="2774" xr:uid="{00000000-0005-0000-0000-000055090000}"/>
    <cellStyle name="Normal 22 3 2_a.Data" xfId="2775" xr:uid="{00000000-0005-0000-0000-000056090000}"/>
    <cellStyle name="Normal 22 3 3" xfId="2776" xr:uid="{00000000-0005-0000-0000-000057090000}"/>
    <cellStyle name="Normal 22 3 3 2" xfId="2777" xr:uid="{00000000-0005-0000-0000-000058090000}"/>
    <cellStyle name="Normal 22 3 3_a.Data" xfId="2778" xr:uid="{00000000-0005-0000-0000-000059090000}"/>
    <cellStyle name="Normal 22 3 4" xfId="2779" xr:uid="{00000000-0005-0000-0000-00005A090000}"/>
    <cellStyle name="Normal 22 3_a.Data" xfId="2780" xr:uid="{00000000-0005-0000-0000-00005B090000}"/>
    <cellStyle name="Normal 22 4" xfId="2781" xr:uid="{00000000-0005-0000-0000-00005C090000}"/>
    <cellStyle name="Normal 22 4 2" xfId="2782" xr:uid="{00000000-0005-0000-0000-00005D090000}"/>
    <cellStyle name="Normal 22 4 2 2" xfId="2783" xr:uid="{00000000-0005-0000-0000-00005E090000}"/>
    <cellStyle name="Normal 22 4 2 2 2" xfId="2784" xr:uid="{00000000-0005-0000-0000-00005F090000}"/>
    <cellStyle name="Normal 22 4 2 2_a.Data" xfId="2785" xr:uid="{00000000-0005-0000-0000-000060090000}"/>
    <cellStyle name="Normal 22 4 2 3" xfId="2786" xr:uid="{00000000-0005-0000-0000-000061090000}"/>
    <cellStyle name="Normal 22 4 2_a.Data" xfId="2787" xr:uid="{00000000-0005-0000-0000-000062090000}"/>
    <cellStyle name="Normal 22 4 3" xfId="2788" xr:uid="{00000000-0005-0000-0000-000063090000}"/>
    <cellStyle name="Normal 22 4 3 2" xfId="2789" xr:uid="{00000000-0005-0000-0000-000064090000}"/>
    <cellStyle name="Normal 22 4 3_a.Data" xfId="2790" xr:uid="{00000000-0005-0000-0000-000065090000}"/>
    <cellStyle name="Normal 22 4 4" xfId="2791" xr:uid="{00000000-0005-0000-0000-000066090000}"/>
    <cellStyle name="Normal 22 4_a.Data" xfId="2792" xr:uid="{00000000-0005-0000-0000-000067090000}"/>
    <cellStyle name="Normal 22 5" xfId="2793" xr:uid="{00000000-0005-0000-0000-000068090000}"/>
    <cellStyle name="Normal 22 5 2" xfId="2794" xr:uid="{00000000-0005-0000-0000-000069090000}"/>
    <cellStyle name="Normal 22 5 2 2" xfId="2795" xr:uid="{00000000-0005-0000-0000-00006A090000}"/>
    <cellStyle name="Normal 22 5 2_a.Data" xfId="2796" xr:uid="{00000000-0005-0000-0000-00006B090000}"/>
    <cellStyle name="Normal 22 5 3" xfId="2797" xr:uid="{00000000-0005-0000-0000-00006C090000}"/>
    <cellStyle name="Normal 22 5_a.Data" xfId="2798" xr:uid="{00000000-0005-0000-0000-00006D090000}"/>
    <cellStyle name="Normal 22 6" xfId="2799" xr:uid="{00000000-0005-0000-0000-00006E090000}"/>
    <cellStyle name="Normal 22 6 2" xfId="2800" xr:uid="{00000000-0005-0000-0000-00006F090000}"/>
    <cellStyle name="Normal 22 6_a.Data" xfId="2801" xr:uid="{00000000-0005-0000-0000-000070090000}"/>
    <cellStyle name="Normal 22 7" xfId="2802" xr:uid="{00000000-0005-0000-0000-000071090000}"/>
    <cellStyle name="Normal 22_a.Data" xfId="2803" xr:uid="{00000000-0005-0000-0000-000072090000}"/>
    <cellStyle name="Normal 220" xfId="2804" xr:uid="{00000000-0005-0000-0000-000073090000}"/>
    <cellStyle name="Normal 220 2" xfId="2805" xr:uid="{00000000-0005-0000-0000-000074090000}"/>
    <cellStyle name="Normal 220_BASE Current Year" xfId="2806" xr:uid="{00000000-0005-0000-0000-000075090000}"/>
    <cellStyle name="Normal 221" xfId="2807" xr:uid="{00000000-0005-0000-0000-000076090000}"/>
    <cellStyle name="Normal 221 2" xfId="2808" xr:uid="{00000000-0005-0000-0000-000077090000}"/>
    <cellStyle name="Normal 221_BASE Current Year" xfId="2809" xr:uid="{00000000-0005-0000-0000-000078090000}"/>
    <cellStyle name="Normal 222" xfId="2810" xr:uid="{00000000-0005-0000-0000-000079090000}"/>
    <cellStyle name="Normal 222 2" xfId="2811" xr:uid="{00000000-0005-0000-0000-00007A090000}"/>
    <cellStyle name="Normal 222_BASE Current Year" xfId="2812" xr:uid="{00000000-0005-0000-0000-00007B090000}"/>
    <cellStyle name="Normal 223" xfId="2813" xr:uid="{00000000-0005-0000-0000-00007C090000}"/>
    <cellStyle name="Normal 223 2" xfId="2814" xr:uid="{00000000-0005-0000-0000-00007D090000}"/>
    <cellStyle name="Normal 223_BASE Current Year" xfId="2815" xr:uid="{00000000-0005-0000-0000-00007E090000}"/>
    <cellStyle name="Normal 224" xfId="2816" xr:uid="{00000000-0005-0000-0000-00007F090000}"/>
    <cellStyle name="Normal 224 2" xfId="2817" xr:uid="{00000000-0005-0000-0000-000080090000}"/>
    <cellStyle name="Normal 224_BASE Current Year" xfId="2818" xr:uid="{00000000-0005-0000-0000-000081090000}"/>
    <cellStyle name="Normal 225" xfId="2819" xr:uid="{00000000-0005-0000-0000-000082090000}"/>
    <cellStyle name="Normal 225 2" xfId="2820" xr:uid="{00000000-0005-0000-0000-000083090000}"/>
    <cellStyle name="Normal 225_BASE Current Year" xfId="2821" xr:uid="{00000000-0005-0000-0000-000084090000}"/>
    <cellStyle name="Normal 226" xfId="2822" xr:uid="{00000000-0005-0000-0000-000085090000}"/>
    <cellStyle name="Normal 226 2" xfId="2823" xr:uid="{00000000-0005-0000-0000-000086090000}"/>
    <cellStyle name="Normal 226_BASE Current Year" xfId="2824" xr:uid="{00000000-0005-0000-0000-000087090000}"/>
    <cellStyle name="Normal 227" xfId="2825" xr:uid="{00000000-0005-0000-0000-000088090000}"/>
    <cellStyle name="Normal 227 2" xfId="2826" xr:uid="{00000000-0005-0000-0000-000089090000}"/>
    <cellStyle name="Normal 227_BASE Current Year" xfId="2827" xr:uid="{00000000-0005-0000-0000-00008A090000}"/>
    <cellStyle name="Normal 228" xfId="2828" xr:uid="{00000000-0005-0000-0000-00008B090000}"/>
    <cellStyle name="Normal 228 2" xfId="2829" xr:uid="{00000000-0005-0000-0000-00008C090000}"/>
    <cellStyle name="Normal 228_BASE Current Year" xfId="2830" xr:uid="{00000000-0005-0000-0000-00008D090000}"/>
    <cellStyle name="Normal 229" xfId="2831" xr:uid="{00000000-0005-0000-0000-00008E090000}"/>
    <cellStyle name="Normal 229 2" xfId="2832" xr:uid="{00000000-0005-0000-0000-00008F090000}"/>
    <cellStyle name="Normal 229_BASE Current Year" xfId="2833" xr:uid="{00000000-0005-0000-0000-000090090000}"/>
    <cellStyle name="Normal 23" xfId="184" xr:uid="{00000000-0005-0000-0000-000091090000}"/>
    <cellStyle name="Normal 23 2" xfId="678" xr:uid="{00000000-0005-0000-0000-000092090000}"/>
    <cellStyle name="Normal 23 3" xfId="2834" xr:uid="{00000000-0005-0000-0000-000093090000}"/>
    <cellStyle name="Normal 23 3 2" xfId="2835" xr:uid="{00000000-0005-0000-0000-000094090000}"/>
    <cellStyle name="Normal 23 3 2 2" xfId="2836" xr:uid="{00000000-0005-0000-0000-000095090000}"/>
    <cellStyle name="Normal 23 3 2 2 2" xfId="2837" xr:uid="{00000000-0005-0000-0000-000096090000}"/>
    <cellStyle name="Normal 23 3 2 2_a.Data" xfId="2838" xr:uid="{00000000-0005-0000-0000-000097090000}"/>
    <cellStyle name="Normal 23 3 2 3" xfId="2839" xr:uid="{00000000-0005-0000-0000-000098090000}"/>
    <cellStyle name="Normal 23 3 2_a.Data" xfId="2840" xr:uid="{00000000-0005-0000-0000-000099090000}"/>
    <cellStyle name="Normal 23 3 3" xfId="2841" xr:uid="{00000000-0005-0000-0000-00009A090000}"/>
    <cellStyle name="Normal 23 3 3 2" xfId="2842" xr:uid="{00000000-0005-0000-0000-00009B090000}"/>
    <cellStyle name="Normal 23 3 3_a.Data" xfId="2843" xr:uid="{00000000-0005-0000-0000-00009C090000}"/>
    <cellStyle name="Normal 23 3 4" xfId="2844" xr:uid="{00000000-0005-0000-0000-00009D090000}"/>
    <cellStyle name="Normal 23 3_a.Data" xfId="2845" xr:uid="{00000000-0005-0000-0000-00009E090000}"/>
    <cellStyle name="Normal 23 4" xfId="2846" xr:uid="{00000000-0005-0000-0000-00009F090000}"/>
    <cellStyle name="Normal 23 4 2" xfId="2847" xr:uid="{00000000-0005-0000-0000-0000A0090000}"/>
    <cellStyle name="Normal 23 4 2 2" xfId="2848" xr:uid="{00000000-0005-0000-0000-0000A1090000}"/>
    <cellStyle name="Normal 23 4 2 2 2" xfId="2849" xr:uid="{00000000-0005-0000-0000-0000A2090000}"/>
    <cellStyle name="Normal 23 4 2 2_a.Data" xfId="2850" xr:uid="{00000000-0005-0000-0000-0000A3090000}"/>
    <cellStyle name="Normal 23 4 2 3" xfId="2851" xr:uid="{00000000-0005-0000-0000-0000A4090000}"/>
    <cellStyle name="Normal 23 4 2_a.Data" xfId="2852" xr:uid="{00000000-0005-0000-0000-0000A5090000}"/>
    <cellStyle name="Normal 23 4 3" xfId="2853" xr:uid="{00000000-0005-0000-0000-0000A6090000}"/>
    <cellStyle name="Normal 23 4 3 2" xfId="2854" xr:uid="{00000000-0005-0000-0000-0000A7090000}"/>
    <cellStyle name="Normal 23 4 3_a.Data" xfId="2855" xr:uid="{00000000-0005-0000-0000-0000A8090000}"/>
    <cellStyle name="Normal 23 4 4" xfId="2856" xr:uid="{00000000-0005-0000-0000-0000A9090000}"/>
    <cellStyle name="Normal 23 4_a.Data" xfId="2857" xr:uid="{00000000-0005-0000-0000-0000AA090000}"/>
    <cellStyle name="Normal 23 5" xfId="2858" xr:uid="{00000000-0005-0000-0000-0000AB090000}"/>
    <cellStyle name="Normal 23 5 2" xfId="2859" xr:uid="{00000000-0005-0000-0000-0000AC090000}"/>
    <cellStyle name="Normal 23 5 2 2" xfId="2860" xr:uid="{00000000-0005-0000-0000-0000AD090000}"/>
    <cellStyle name="Normal 23 5 2_a.Data" xfId="2861" xr:uid="{00000000-0005-0000-0000-0000AE090000}"/>
    <cellStyle name="Normal 23 5 3" xfId="2862" xr:uid="{00000000-0005-0000-0000-0000AF090000}"/>
    <cellStyle name="Normal 23 5_a.Data" xfId="2863" xr:uid="{00000000-0005-0000-0000-0000B0090000}"/>
    <cellStyle name="Normal 23 6" xfId="2864" xr:uid="{00000000-0005-0000-0000-0000B1090000}"/>
    <cellStyle name="Normal 23 6 2" xfId="2865" xr:uid="{00000000-0005-0000-0000-0000B2090000}"/>
    <cellStyle name="Normal 23 6_a.Data" xfId="2866" xr:uid="{00000000-0005-0000-0000-0000B3090000}"/>
    <cellStyle name="Normal 23 7" xfId="2867" xr:uid="{00000000-0005-0000-0000-0000B4090000}"/>
    <cellStyle name="Normal 23_a.Data" xfId="2868" xr:uid="{00000000-0005-0000-0000-0000B5090000}"/>
    <cellStyle name="Normal 230" xfId="2869" xr:uid="{00000000-0005-0000-0000-0000B6090000}"/>
    <cellStyle name="Normal 230 2" xfId="2870" xr:uid="{00000000-0005-0000-0000-0000B7090000}"/>
    <cellStyle name="Normal 230_BASE Current Year" xfId="2871" xr:uid="{00000000-0005-0000-0000-0000B8090000}"/>
    <cellStyle name="Normal 231" xfId="2872" xr:uid="{00000000-0005-0000-0000-0000B9090000}"/>
    <cellStyle name="Normal 231 2" xfId="2873" xr:uid="{00000000-0005-0000-0000-0000BA090000}"/>
    <cellStyle name="Normal 231_BASE Current Year" xfId="2874" xr:uid="{00000000-0005-0000-0000-0000BB090000}"/>
    <cellStyle name="Normal 232" xfId="2875" xr:uid="{00000000-0005-0000-0000-0000BC090000}"/>
    <cellStyle name="Normal 232 2" xfId="2876" xr:uid="{00000000-0005-0000-0000-0000BD090000}"/>
    <cellStyle name="Normal 232_BASE Current Year" xfId="2877" xr:uid="{00000000-0005-0000-0000-0000BE090000}"/>
    <cellStyle name="Normal 233" xfId="2878" xr:uid="{00000000-0005-0000-0000-0000BF090000}"/>
    <cellStyle name="Normal 233 2" xfId="2879" xr:uid="{00000000-0005-0000-0000-0000C0090000}"/>
    <cellStyle name="Normal 233_BASE Current Year" xfId="2880" xr:uid="{00000000-0005-0000-0000-0000C1090000}"/>
    <cellStyle name="Normal 234" xfId="2881" xr:uid="{00000000-0005-0000-0000-0000C2090000}"/>
    <cellStyle name="Normal 234 2" xfId="2882" xr:uid="{00000000-0005-0000-0000-0000C3090000}"/>
    <cellStyle name="Normal 234_BASE Current Year" xfId="2883" xr:uid="{00000000-0005-0000-0000-0000C4090000}"/>
    <cellStyle name="Normal 235" xfId="2884" xr:uid="{00000000-0005-0000-0000-0000C5090000}"/>
    <cellStyle name="Normal 235 2" xfId="2885" xr:uid="{00000000-0005-0000-0000-0000C6090000}"/>
    <cellStyle name="Normal 235_BASE Current Year" xfId="2886" xr:uid="{00000000-0005-0000-0000-0000C7090000}"/>
    <cellStyle name="Normal 236" xfId="2887" xr:uid="{00000000-0005-0000-0000-0000C8090000}"/>
    <cellStyle name="Normal 236 2" xfId="2888" xr:uid="{00000000-0005-0000-0000-0000C9090000}"/>
    <cellStyle name="Normal 236_BASE Current Year" xfId="2889" xr:uid="{00000000-0005-0000-0000-0000CA090000}"/>
    <cellStyle name="Normal 237" xfId="2890" xr:uid="{00000000-0005-0000-0000-0000CB090000}"/>
    <cellStyle name="Normal 237 2" xfId="2891" xr:uid="{00000000-0005-0000-0000-0000CC090000}"/>
    <cellStyle name="Normal 237_BASE Current Year" xfId="2892" xr:uid="{00000000-0005-0000-0000-0000CD090000}"/>
    <cellStyle name="Normal 238" xfId="2893" xr:uid="{00000000-0005-0000-0000-0000CE090000}"/>
    <cellStyle name="Normal 238 2" xfId="2894" xr:uid="{00000000-0005-0000-0000-0000CF090000}"/>
    <cellStyle name="Normal 238_BASE Current Year" xfId="2895" xr:uid="{00000000-0005-0000-0000-0000D0090000}"/>
    <cellStyle name="Normal 239" xfId="2896" xr:uid="{00000000-0005-0000-0000-0000D1090000}"/>
    <cellStyle name="Normal 239 2" xfId="2897" xr:uid="{00000000-0005-0000-0000-0000D2090000}"/>
    <cellStyle name="Normal 239_BASE Current Year" xfId="2898" xr:uid="{00000000-0005-0000-0000-0000D3090000}"/>
    <cellStyle name="Normal 24" xfId="185" xr:uid="{00000000-0005-0000-0000-0000D4090000}"/>
    <cellStyle name="Normal 24 2" xfId="679" xr:uid="{00000000-0005-0000-0000-0000D5090000}"/>
    <cellStyle name="Normal 24 3" xfId="2899" xr:uid="{00000000-0005-0000-0000-0000D6090000}"/>
    <cellStyle name="Normal 24 3 2" xfId="2900" xr:uid="{00000000-0005-0000-0000-0000D7090000}"/>
    <cellStyle name="Normal 24 3 2 2" xfId="2901" xr:uid="{00000000-0005-0000-0000-0000D8090000}"/>
    <cellStyle name="Normal 24 3 2 2 2" xfId="2902" xr:uid="{00000000-0005-0000-0000-0000D9090000}"/>
    <cellStyle name="Normal 24 3 2 2_a.Data" xfId="2903" xr:uid="{00000000-0005-0000-0000-0000DA090000}"/>
    <cellStyle name="Normal 24 3 2 3" xfId="2904" xr:uid="{00000000-0005-0000-0000-0000DB090000}"/>
    <cellStyle name="Normal 24 3 2_a.Data" xfId="2905" xr:uid="{00000000-0005-0000-0000-0000DC090000}"/>
    <cellStyle name="Normal 24 3 3" xfId="2906" xr:uid="{00000000-0005-0000-0000-0000DD090000}"/>
    <cellStyle name="Normal 24 3 3 2" xfId="2907" xr:uid="{00000000-0005-0000-0000-0000DE090000}"/>
    <cellStyle name="Normal 24 3 3_a.Data" xfId="2908" xr:uid="{00000000-0005-0000-0000-0000DF090000}"/>
    <cellStyle name="Normal 24 3 4" xfId="2909" xr:uid="{00000000-0005-0000-0000-0000E0090000}"/>
    <cellStyle name="Normal 24 3_a.Data" xfId="2910" xr:uid="{00000000-0005-0000-0000-0000E1090000}"/>
    <cellStyle name="Normal 24 4" xfId="2911" xr:uid="{00000000-0005-0000-0000-0000E2090000}"/>
    <cellStyle name="Normal 24 4 2" xfId="2912" xr:uid="{00000000-0005-0000-0000-0000E3090000}"/>
    <cellStyle name="Normal 24 4 2 2" xfId="2913" xr:uid="{00000000-0005-0000-0000-0000E4090000}"/>
    <cellStyle name="Normal 24 4 2 2 2" xfId="2914" xr:uid="{00000000-0005-0000-0000-0000E5090000}"/>
    <cellStyle name="Normal 24 4 2 2_a.Data" xfId="2915" xr:uid="{00000000-0005-0000-0000-0000E6090000}"/>
    <cellStyle name="Normal 24 4 2 3" xfId="2916" xr:uid="{00000000-0005-0000-0000-0000E7090000}"/>
    <cellStyle name="Normal 24 4 2_a.Data" xfId="2917" xr:uid="{00000000-0005-0000-0000-0000E8090000}"/>
    <cellStyle name="Normal 24 4 3" xfId="2918" xr:uid="{00000000-0005-0000-0000-0000E9090000}"/>
    <cellStyle name="Normal 24 4 3 2" xfId="2919" xr:uid="{00000000-0005-0000-0000-0000EA090000}"/>
    <cellStyle name="Normal 24 4 3_a.Data" xfId="2920" xr:uid="{00000000-0005-0000-0000-0000EB090000}"/>
    <cellStyle name="Normal 24 4 4" xfId="2921" xr:uid="{00000000-0005-0000-0000-0000EC090000}"/>
    <cellStyle name="Normal 24 4_a.Data" xfId="2922" xr:uid="{00000000-0005-0000-0000-0000ED090000}"/>
    <cellStyle name="Normal 24 5" xfId="2923" xr:uid="{00000000-0005-0000-0000-0000EE090000}"/>
    <cellStyle name="Normal 24 5 2" xfId="2924" xr:uid="{00000000-0005-0000-0000-0000EF090000}"/>
    <cellStyle name="Normal 24 5 2 2" xfId="2925" xr:uid="{00000000-0005-0000-0000-0000F0090000}"/>
    <cellStyle name="Normal 24 5 2_a.Data" xfId="2926" xr:uid="{00000000-0005-0000-0000-0000F1090000}"/>
    <cellStyle name="Normal 24 5 3" xfId="2927" xr:uid="{00000000-0005-0000-0000-0000F2090000}"/>
    <cellStyle name="Normal 24 5_a.Data" xfId="2928" xr:uid="{00000000-0005-0000-0000-0000F3090000}"/>
    <cellStyle name="Normal 24 6" xfId="2929" xr:uid="{00000000-0005-0000-0000-0000F4090000}"/>
    <cellStyle name="Normal 24 6 2" xfId="2930" xr:uid="{00000000-0005-0000-0000-0000F5090000}"/>
    <cellStyle name="Normal 24 6_a.Data" xfId="2931" xr:uid="{00000000-0005-0000-0000-0000F6090000}"/>
    <cellStyle name="Normal 24 7" xfId="2932" xr:uid="{00000000-0005-0000-0000-0000F7090000}"/>
    <cellStyle name="Normal 24_a.Data" xfId="2933" xr:uid="{00000000-0005-0000-0000-0000F8090000}"/>
    <cellStyle name="Normal 240" xfId="2934" xr:uid="{00000000-0005-0000-0000-0000F9090000}"/>
    <cellStyle name="Normal 240 2" xfId="2935" xr:uid="{00000000-0005-0000-0000-0000FA090000}"/>
    <cellStyle name="Normal 240_BASE Current Year" xfId="2936" xr:uid="{00000000-0005-0000-0000-0000FB090000}"/>
    <cellStyle name="Normal 241" xfId="2937" xr:uid="{00000000-0005-0000-0000-0000FC090000}"/>
    <cellStyle name="Normal 241 2" xfId="2938" xr:uid="{00000000-0005-0000-0000-0000FD090000}"/>
    <cellStyle name="Normal 241_BASE Current Year" xfId="2939" xr:uid="{00000000-0005-0000-0000-0000FE090000}"/>
    <cellStyle name="Normal 242" xfId="2940" xr:uid="{00000000-0005-0000-0000-0000FF090000}"/>
    <cellStyle name="Normal 242 2" xfId="2941" xr:uid="{00000000-0005-0000-0000-0000000A0000}"/>
    <cellStyle name="Normal 242_BASE Current Year" xfId="2942" xr:uid="{00000000-0005-0000-0000-0000010A0000}"/>
    <cellStyle name="Normal 243" xfId="2943" xr:uid="{00000000-0005-0000-0000-0000020A0000}"/>
    <cellStyle name="Normal 243 2" xfId="2944" xr:uid="{00000000-0005-0000-0000-0000030A0000}"/>
    <cellStyle name="Normal 243_BASE Current Year" xfId="2945" xr:uid="{00000000-0005-0000-0000-0000040A0000}"/>
    <cellStyle name="Normal 244" xfId="2946" xr:uid="{00000000-0005-0000-0000-0000050A0000}"/>
    <cellStyle name="Normal 244 2" xfId="2947" xr:uid="{00000000-0005-0000-0000-0000060A0000}"/>
    <cellStyle name="Normal 244_BASE Current Year" xfId="2948" xr:uid="{00000000-0005-0000-0000-0000070A0000}"/>
    <cellStyle name="Normal 245" xfId="2949" xr:uid="{00000000-0005-0000-0000-0000080A0000}"/>
    <cellStyle name="Normal 245 2" xfId="2950" xr:uid="{00000000-0005-0000-0000-0000090A0000}"/>
    <cellStyle name="Normal 245_BASE Current Year" xfId="2951" xr:uid="{00000000-0005-0000-0000-00000A0A0000}"/>
    <cellStyle name="Normal 246" xfId="2952" xr:uid="{00000000-0005-0000-0000-00000B0A0000}"/>
    <cellStyle name="Normal 247" xfId="2953" xr:uid="{00000000-0005-0000-0000-00000C0A0000}"/>
    <cellStyle name="Normal 248" xfId="2954" xr:uid="{00000000-0005-0000-0000-00000D0A0000}"/>
    <cellStyle name="Normal 249" xfId="2955" xr:uid="{00000000-0005-0000-0000-00000E0A0000}"/>
    <cellStyle name="Normal 25" xfId="186" xr:uid="{00000000-0005-0000-0000-00000F0A0000}"/>
    <cellStyle name="Normal 25 2" xfId="680" xr:uid="{00000000-0005-0000-0000-0000100A0000}"/>
    <cellStyle name="Normal 25 3" xfId="2956" xr:uid="{00000000-0005-0000-0000-0000110A0000}"/>
    <cellStyle name="Normal 25 3 2" xfId="2957" xr:uid="{00000000-0005-0000-0000-0000120A0000}"/>
    <cellStyle name="Normal 25 3 2 2" xfId="2958" xr:uid="{00000000-0005-0000-0000-0000130A0000}"/>
    <cellStyle name="Normal 25 3 2 2 2" xfId="2959" xr:uid="{00000000-0005-0000-0000-0000140A0000}"/>
    <cellStyle name="Normal 25 3 2 2_a.Data" xfId="2960" xr:uid="{00000000-0005-0000-0000-0000150A0000}"/>
    <cellStyle name="Normal 25 3 2 3" xfId="2961" xr:uid="{00000000-0005-0000-0000-0000160A0000}"/>
    <cellStyle name="Normal 25 3 2_a.Data" xfId="2962" xr:uid="{00000000-0005-0000-0000-0000170A0000}"/>
    <cellStyle name="Normal 25 3 3" xfId="2963" xr:uid="{00000000-0005-0000-0000-0000180A0000}"/>
    <cellStyle name="Normal 25 3 3 2" xfId="2964" xr:uid="{00000000-0005-0000-0000-0000190A0000}"/>
    <cellStyle name="Normal 25 3 3_a.Data" xfId="2965" xr:uid="{00000000-0005-0000-0000-00001A0A0000}"/>
    <cellStyle name="Normal 25 3 4" xfId="2966" xr:uid="{00000000-0005-0000-0000-00001B0A0000}"/>
    <cellStyle name="Normal 25 3_a.Data" xfId="2967" xr:uid="{00000000-0005-0000-0000-00001C0A0000}"/>
    <cellStyle name="Normal 25 4" xfId="2968" xr:uid="{00000000-0005-0000-0000-00001D0A0000}"/>
    <cellStyle name="Normal 25 4 2" xfId="2969" xr:uid="{00000000-0005-0000-0000-00001E0A0000}"/>
    <cellStyle name="Normal 25 4 2 2" xfId="2970" xr:uid="{00000000-0005-0000-0000-00001F0A0000}"/>
    <cellStyle name="Normal 25 4 2 2 2" xfId="2971" xr:uid="{00000000-0005-0000-0000-0000200A0000}"/>
    <cellStyle name="Normal 25 4 2 2_a.Data" xfId="2972" xr:uid="{00000000-0005-0000-0000-0000210A0000}"/>
    <cellStyle name="Normal 25 4 2 3" xfId="2973" xr:uid="{00000000-0005-0000-0000-0000220A0000}"/>
    <cellStyle name="Normal 25 4 2_a.Data" xfId="2974" xr:uid="{00000000-0005-0000-0000-0000230A0000}"/>
    <cellStyle name="Normal 25 4 3" xfId="2975" xr:uid="{00000000-0005-0000-0000-0000240A0000}"/>
    <cellStyle name="Normal 25 4 3 2" xfId="2976" xr:uid="{00000000-0005-0000-0000-0000250A0000}"/>
    <cellStyle name="Normal 25 4 3_a.Data" xfId="2977" xr:uid="{00000000-0005-0000-0000-0000260A0000}"/>
    <cellStyle name="Normal 25 4 4" xfId="2978" xr:uid="{00000000-0005-0000-0000-0000270A0000}"/>
    <cellStyle name="Normal 25 4_a.Data" xfId="2979" xr:uid="{00000000-0005-0000-0000-0000280A0000}"/>
    <cellStyle name="Normal 25 5" xfId="2980" xr:uid="{00000000-0005-0000-0000-0000290A0000}"/>
    <cellStyle name="Normal 25 5 2" xfId="2981" xr:uid="{00000000-0005-0000-0000-00002A0A0000}"/>
    <cellStyle name="Normal 25 5 2 2" xfId="2982" xr:uid="{00000000-0005-0000-0000-00002B0A0000}"/>
    <cellStyle name="Normal 25 5 2_a.Data" xfId="2983" xr:uid="{00000000-0005-0000-0000-00002C0A0000}"/>
    <cellStyle name="Normal 25 5 3" xfId="2984" xr:uid="{00000000-0005-0000-0000-00002D0A0000}"/>
    <cellStyle name="Normal 25 5_a.Data" xfId="2985" xr:uid="{00000000-0005-0000-0000-00002E0A0000}"/>
    <cellStyle name="Normal 25 6" xfId="2986" xr:uid="{00000000-0005-0000-0000-00002F0A0000}"/>
    <cellStyle name="Normal 25 6 2" xfId="2987" xr:uid="{00000000-0005-0000-0000-0000300A0000}"/>
    <cellStyle name="Normal 25 6_a.Data" xfId="2988" xr:uid="{00000000-0005-0000-0000-0000310A0000}"/>
    <cellStyle name="Normal 25 7" xfId="2989" xr:uid="{00000000-0005-0000-0000-0000320A0000}"/>
    <cellStyle name="Normal 25_a.Data" xfId="2990" xr:uid="{00000000-0005-0000-0000-0000330A0000}"/>
    <cellStyle name="Normal 250" xfId="2991" xr:uid="{00000000-0005-0000-0000-0000340A0000}"/>
    <cellStyle name="Normal 251" xfId="2992" xr:uid="{00000000-0005-0000-0000-0000350A0000}"/>
    <cellStyle name="Normal 252" xfId="2993" xr:uid="{00000000-0005-0000-0000-0000360A0000}"/>
    <cellStyle name="Normal 253" xfId="2994" xr:uid="{00000000-0005-0000-0000-0000370A0000}"/>
    <cellStyle name="Normal 254" xfId="2995" xr:uid="{00000000-0005-0000-0000-0000380A0000}"/>
    <cellStyle name="Normal 255" xfId="2996" xr:uid="{00000000-0005-0000-0000-0000390A0000}"/>
    <cellStyle name="Normal 256" xfId="2997" xr:uid="{00000000-0005-0000-0000-00003A0A0000}"/>
    <cellStyle name="Normal 257" xfId="2998" xr:uid="{00000000-0005-0000-0000-00003B0A0000}"/>
    <cellStyle name="Normal 258" xfId="2999" xr:uid="{00000000-0005-0000-0000-00003C0A0000}"/>
    <cellStyle name="Normal 259" xfId="3000" xr:uid="{00000000-0005-0000-0000-00003D0A0000}"/>
    <cellStyle name="Normal 26" xfId="352" xr:uid="{00000000-0005-0000-0000-00003E0A0000}"/>
    <cellStyle name="Normal 26 2" xfId="681" xr:uid="{00000000-0005-0000-0000-00003F0A0000}"/>
    <cellStyle name="Normal 26 2 2" xfId="3001" xr:uid="{00000000-0005-0000-0000-0000400A0000}"/>
    <cellStyle name="Normal 26 2 2 2" xfId="3002" xr:uid="{00000000-0005-0000-0000-0000410A0000}"/>
    <cellStyle name="Normal 26 2 2 2 2" xfId="3003" xr:uid="{00000000-0005-0000-0000-0000420A0000}"/>
    <cellStyle name="Normal 26 2 2 2_a.Data" xfId="3004" xr:uid="{00000000-0005-0000-0000-0000430A0000}"/>
    <cellStyle name="Normal 26 2 2 3" xfId="3005" xr:uid="{00000000-0005-0000-0000-0000440A0000}"/>
    <cellStyle name="Normal 26 2 2_a.Data" xfId="3006" xr:uid="{00000000-0005-0000-0000-0000450A0000}"/>
    <cellStyle name="Normal 26 2 3" xfId="3007" xr:uid="{00000000-0005-0000-0000-0000460A0000}"/>
    <cellStyle name="Normal 26 2 3 2" xfId="3008" xr:uid="{00000000-0005-0000-0000-0000470A0000}"/>
    <cellStyle name="Normal 26 2 3_a.Data" xfId="3009" xr:uid="{00000000-0005-0000-0000-0000480A0000}"/>
    <cellStyle name="Normal 26 2 4" xfId="3010" xr:uid="{00000000-0005-0000-0000-0000490A0000}"/>
    <cellStyle name="Normal 26 2_a.Data" xfId="3011" xr:uid="{00000000-0005-0000-0000-00004A0A0000}"/>
    <cellStyle name="Normal 26 3" xfId="3012" xr:uid="{00000000-0005-0000-0000-00004B0A0000}"/>
    <cellStyle name="Normal 26 3 2" xfId="3013" xr:uid="{00000000-0005-0000-0000-00004C0A0000}"/>
    <cellStyle name="Normal 26 3 2 2" xfId="3014" xr:uid="{00000000-0005-0000-0000-00004D0A0000}"/>
    <cellStyle name="Normal 26 3 2_a.Data" xfId="3015" xr:uid="{00000000-0005-0000-0000-00004E0A0000}"/>
    <cellStyle name="Normal 26 3 3" xfId="3016" xr:uid="{00000000-0005-0000-0000-00004F0A0000}"/>
    <cellStyle name="Normal 26 3_a.Data" xfId="3017" xr:uid="{00000000-0005-0000-0000-0000500A0000}"/>
    <cellStyle name="Normal 26 4" xfId="3018" xr:uid="{00000000-0005-0000-0000-0000510A0000}"/>
    <cellStyle name="Normal 26 4 2" xfId="3019" xr:uid="{00000000-0005-0000-0000-0000520A0000}"/>
    <cellStyle name="Normal 26 4_a.Data" xfId="3020" xr:uid="{00000000-0005-0000-0000-0000530A0000}"/>
    <cellStyle name="Normal 26 5" xfId="3021" xr:uid="{00000000-0005-0000-0000-0000540A0000}"/>
    <cellStyle name="Normal 26_a.Data" xfId="3022" xr:uid="{00000000-0005-0000-0000-0000550A0000}"/>
    <cellStyle name="Normal 260" xfId="3023" xr:uid="{00000000-0005-0000-0000-0000560A0000}"/>
    <cellStyle name="Normal 261" xfId="3024" xr:uid="{00000000-0005-0000-0000-0000570A0000}"/>
    <cellStyle name="Normal 262" xfId="3025" xr:uid="{00000000-0005-0000-0000-0000580A0000}"/>
    <cellStyle name="Normal 263" xfId="3026" xr:uid="{00000000-0005-0000-0000-0000590A0000}"/>
    <cellStyle name="Normal 264" xfId="3027" xr:uid="{00000000-0005-0000-0000-00005A0A0000}"/>
    <cellStyle name="Normal 265" xfId="3028" xr:uid="{00000000-0005-0000-0000-00005B0A0000}"/>
    <cellStyle name="Normal 266" xfId="3029" xr:uid="{00000000-0005-0000-0000-00005C0A0000}"/>
    <cellStyle name="Normal 267" xfId="3030" xr:uid="{00000000-0005-0000-0000-00005D0A0000}"/>
    <cellStyle name="Normal 268" xfId="3031" xr:uid="{00000000-0005-0000-0000-00005E0A0000}"/>
    <cellStyle name="Normal 269" xfId="3032" xr:uid="{00000000-0005-0000-0000-00005F0A0000}"/>
    <cellStyle name="Normal 27" xfId="682" xr:uid="{00000000-0005-0000-0000-0000600A0000}"/>
    <cellStyle name="Normal 27 2" xfId="3033" xr:uid="{00000000-0005-0000-0000-0000610A0000}"/>
    <cellStyle name="Normal 27 2 2" xfId="3034" xr:uid="{00000000-0005-0000-0000-0000620A0000}"/>
    <cellStyle name="Normal 27 2 2 2" xfId="3035" xr:uid="{00000000-0005-0000-0000-0000630A0000}"/>
    <cellStyle name="Normal 27 2 2 2 2" xfId="3036" xr:uid="{00000000-0005-0000-0000-0000640A0000}"/>
    <cellStyle name="Normal 27 2 2 2_a.Data" xfId="3037" xr:uid="{00000000-0005-0000-0000-0000650A0000}"/>
    <cellStyle name="Normal 27 2 2 3" xfId="3038" xr:uid="{00000000-0005-0000-0000-0000660A0000}"/>
    <cellStyle name="Normal 27 2 2_a.Data" xfId="3039" xr:uid="{00000000-0005-0000-0000-0000670A0000}"/>
    <cellStyle name="Normal 27 2 3" xfId="3040" xr:uid="{00000000-0005-0000-0000-0000680A0000}"/>
    <cellStyle name="Normal 27 2 3 2" xfId="3041" xr:uid="{00000000-0005-0000-0000-0000690A0000}"/>
    <cellStyle name="Normal 27 2 3_a.Data" xfId="3042" xr:uid="{00000000-0005-0000-0000-00006A0A0000}"/>
    <cellStyle name="Normal 27 2 4" xfId="3043" xr:uid="{00000000-0005-0000-0000-00006B0A0000}"/>
    <cellStyle name="Normal 27 2_a.Data" xfId="3044" xr:uid="{00000000-0005-0000-0000-00006C0A0000}"/>
    <cellStyle name="Normal 27 3" xfId="3045" xr:uid="{00000000-0005-0000-0000-00006D0A0000}"/>
    <cellStyle name="Normal 27 3 2" xfId="3046" xr:uid="{00000000-0005-0000-0000-00006E0A0000}"/>
    <cellStyle name="Normal 27 3 2 2" xfId="3047" xr:uid="{00000000-0005-0000-0000-00006F0A0000}"/>
    <cellStyle name="Normal 27 3 2_a.Data" xfId="3048" xr:uid="{00000000-0005-0000-0000-0000700A0000}"/>
    <cellStyle name="Normal 27 3 3" xfId="3049" xr:uid="{00000000-0005-0000-0000-0000710A0000}"/>
    <cellStyle name="Normal 27 3_a.Data" xfId="3050" xr:uid="{00000000-0005-0000-0000-0000720A0000}"/>
    <cellStyle name="Normal 27 4" xfId="3051" xr:uid="{00000000-0005-0000-0000-0000730A0000}"/>
    <cellStyle name="Normal 27 4 2" xfId="3052" xr:uid="{00000000-0005-0000-0000-0000740A0000}"/>
    <cellStyle name="Normal 27 4_a.Data" xfId="3053" xr:uid="{00000000-0005-0000-0000-0000750A0000}"/>
    <cellStyle name="Normal 27 5" xfId="3054" xr:uid="{00000000-0005-0000-0000-0000760A0000}"/>
    <cellStyle name="Normal 27_a.Data" xfId="3055" xr:uid="{00000000-0005-0000-0000-0000770A0000}"/>
    <cellStyle name="Normal 270" xfId="3056" xr:uid="{00000000-0005-0000-0000-0000780A0000}"/>
    <cellStyle name="Normal 271" xfId="3057" xr:uid="{00000000-0005-0000-0000-0000790A0000}"/>
    <cellStyle name="Normal 272" xfId="3058" xr:uid="{00000000-0005-0000-0000-00007A0A0000}"/>
    <cellStyle name="Normal 273" xfId="3059" xr:uid="{00000000-0005-0000-0000-00007B0A0000}"/>
    <cellStyle name="Normal 274" xfId="3060" xr:uid="{00000000-0005-0000-0000-00007C0A0000}"/>
    <cellStyle name="Normal 275" xfId="3061" xr:uid="{00000000-0005-0000-0000-00007D0A0000}"/>
    <cellStyle name="Normal 276" xfId="3062" xr:uid="{00000000-0005-0000-0000-00007E0A0000}"/>
    <cellStyle name="Normal 277" xfId="3063" xr:uid="{00000000-0005-0000-0000-00007F0A0000}"/>
    <cellStyle name="Normal 278" xfId="3064" xr:uid="{00000000-0005-0000-0000-0000800A0000}"/>
    <cellStyle name="Normal 279" xfId="3065" xr:uid="{00000000-0005-0000-0000-0000810A0000}"/>
    <cellStyle name="Normal 28" xfId="683" xr:uid="{00000000-0005-0000-0000-0000820A0000}"/>
    <cellStyle name="Normal 28 2" xfId="3066" xr:uid="{00000000-0005-0000-0000-0000830A0000}"/>
    <cellStyle name="Normal 28 2 2" xfId="3067" xr:uid="{00000000-0005-0000-0000-0000840A0000}"/>
    <cellStyle name="Normal 28 2 2 2" xfId="3068" xr:uid="{00000000-0005-0000-0000-0000850A0000}"/>
    <cellStyle name="Normal 28 2 2 2 2" xfId="3069" xr:uid="{00000000-0005-0000-0000-0000860A0000}"/>
    <cellStyle name="Normal 28 2 2 2_a.Data" xfId="3070" xr:uid="{00000000-0005-0000-0000-0000870A0000}"/>
    <cellStyle name="Normal 28 2 2 3" xfId="3071" xr:uid="{00000000-0005-0000-0000-0000880A0000}"/>
    <cellStyle name="Normal 28 2 2_a.Data" xfId="3072" xr:uid="{00000000-0005-0000-0000-0000890A0000}"/>
    <cellStyle name="Normal 28 2 3" xfId="3073" xr:uid="{00000000-0005-0000-0000-00008A0A0000}"/>
    <cellStyle name="Normal 28 2 3 2" xfId="3074" xr:uid="{00000000-0005-0000-0000-00008B0A0000}"/>
    <cellStyle name="Normal 28 2 3_a.Data" xfId="3075" xr:uid="{00000000-0005-0000-0000-00008C0A0000}"/>
    <cellStyle name="Normal 28 2 4" xfId="3076" xr:uid="{00000000-0005-0000-0000-00008D0A0000}"/>
    <cellStyle name="Normal 28 2_a.Data" xfId="3077" xr:uid="{00000000-0005-0000-0000-00008E0A0000}"/>
    <cellStyle name="Normal 28 3" xfId="3078" xr:uid="{00000000-0005-0000-0000-00008F0A0000}"/>
    <cellStyle name="Normal 28 3 2" xfId="3079" xr:uid="{00000000-0005-0000-0000-0000900A0000}"/>
    <cellStyle name="Normal 28 3 2 2" xfId="3080" xr:uid="{00000000-0005-0000-0000-0000910A0000}"/>
    <cellStyle name="Normal 28 3 2_a.Data" xfId="3081" xr:uid="{00000000-0005-0000-0000-0000920A0000}"/>
    <cellStyle name="Normal 28 3 3" xfId="3082" xr:uid="{00000000-0005-0000-0000-0000930A0000}"/>
    <cellStyle name="Normal 28 3_a.Data" xfId="3083" xr:uid="{00000000-0005-0000-0000-0000940A0000}"/>
    <cellStyle name="Normal 28 4" xfId="3084" xr:uid="{00000000-0005-0000-0000-0000950A0000}"/>
    <cellStyle name="Normal 28 4 2" xfId="3085" xr:uid="{00000000-0005-0000-0000-0000960A0000}"/>
    <cellStyle name="Normal 28 4_a.Data" xfId="3086" xr:uid="{00000000-0005-0000-0000-0000970A0000}"/>
    <cellStyle name="Normal 28 5" xfId="3087" xr:uid="{00000000-0005-0000-0000-0000980A0000}"/>
    <cellStyle name="Normal 28_a.Data" xfId="3088" xr:uid="{00000000-0005-0000-0000-0000990A0000}"/>
    <cellStyle name="Normal 280" xfId="3089" xr:uid="{00000000-0005-0000-0000-00009A0A0000}"/>
    <cellStyle name="Normal 281" xfId="3090" xr:uid="{00000000-0005-0000-0000-00009B0A0000}"/>
    <cellStyle name="Normal 282" xfId="3091" xr:uid="{00000000-0005-0000-0000-00009C0A0000}"/>
    <cellStyle name="Normal 283" xfId="3092" xr:uid="{00000000-0005-0000-0000-00009D0A0000}"/>
    <cellStyle name="Normal 284" xfId="3093" xr:uid="{00000000-0005-0000-0000-00009E0A0000}"/>
    <cellStyle name="Normal 285" xfId="3094" xr:uid="{00000000-0005-0000-0000-00009F0A0000}"/>
    <cellStyle name="Normal 286" xfId="3095" xr:uid="{00000000-0005-0000-0000-0000A00A0000}"/>
    <cellStyle name="Normal 287" xfId="3096" xr:uid="{00000000-0005-0000-0000-0000A10A0000}"/>
    <cellStyle name="Normal 288" xfId="3097" xr:uid="{00000000-0005-0000-0000-0000A20A0000}"/>
    <cellStyle name="Normal 289" xfId="3098" xr:uid="{00000000-0005-0000-0000-0000A30A0000}"/>
    <cellStyle name="Normal 29" xfId="684" xr:uid="{00000000-0005-0000-0000-0000A40A0000}"/>
    <cellStyle name="Normal 29 2" xfId="3099" xr:uid="{00000000-0005-0000-0000-0000A50A0000}"/>
    <cellStyle name="Normal 29 2 2" xfId="3100" xr:uid="{00000000-0005-0000-0000-0000A60A0000}"/>
    <cellStyle name="Normal 29 2 2 2" xfId="3101" xr:uid="{00000000-0005-0000-0000-0000A70A0000}"/>
    <cellStyle name="Normal 29 2 2 2 2" xfId="3102" xr:uid="{00000000-0005-0000-0000-0000A80A0000}"/>
    <cellStyle name="Normal 29 2 2 2_a.Data" xfId="3103" xr:uid="{00000000-0005-0000-0000-0000A90A0000}"/>
    <cellStyle name="Normal 29 2 2 3" xfId="3104" xr:uid="{00000000-0005-0000-0000-0000AA0A0000}"/>
    <cellStyle name="Normal 29 2 2_a.Data" xfId="3105" xr:uid="{00000000-0005-0000-0000-0000AB0A0000}"/>
    <cellStyle name="Normal 29 2 3" xfId="3106" xr:uid="{00000000-0005-0000-0000-0000AC0A0000}"/>
    <cellStyle name="Normal 29 2 3 2" xfId="3107" xr:uid="{00000000-0005-0000-0000-0000AD0A0000}"/>
    <cellStyle name="Normal 29 2 3_a.Data" xfId="3108" xr:uid="{00000000-0005-0000-0000-0000AE0A0000}"/>
    <cellStyle name="Normal 29 2 4" xfId="3109" xr:uid="{00000000-0005-0000-0000-0000AF0A0000}"/>
    <cellStyle name="Normal 29 2_a.Data" xfId="3110" xr:uid="{00000000-0005-0000-0000-0000B00A0000}"/>
    <cellStyle name="Normal 29 3" xfId="3111" xr:uid="{00000000-0005-0000-0000-0000B10A0000}"/>
    <cellStyle name="Normal 29 3 2" xfId="3112" xr:uid="{00000000-0005-0000-0000-0000B20A0000}"/>
    <cellStyle name="Normal 29 3 2 2" xfId="3113" xr:uid="{00000000-0005-0000-0000-0000B30A0000}"/>
    <cellStyle name="Normal 29 3 2_a.Data" xfId="3114" xr:uid="{00000000-0005-0000-0000-0000B40A0000}"/>
    <cellStyle name="Normal 29 3 3" xfId="3115" xr:uid="{00000000-0005-0000-0000-0000B50A0000}"/>
    <cellStyle name="Normal 29 3_a.Data" xfId="3116" xr:uid="{00000000-0005-0000-0000-0000B60A0000}"/>
    <cellStyle name="Normal 29 4" xfId="3117" xr:uid="{00000000-0005-0000-0000-0000B70A0000}"/>
    <cellStyle name="Normal 29 4 2" xfId="3118" xr:uid="{00000000-0005-0000-0000-0000B80A0000}"/>
    <cellStyle name="Normal 29 4_a.Data" xfId="3119" xr:uid="{00000000-0005-0000-0000-0000B90A0000}"/>
    <cellStyle name="Normal 29 5" xfId="3120" xr:uid="{00000000-0005-0000-0000-0000BA0A0000}"/>
    <cellStyle name="Normal 29_a.Data" xfId="3121" xr:uid="{00000000-0005-0000-0000-0000BB0A0000}"/>
    <cellStyle name="Normal 290" xfId="3122" xr:uid="{00000000-0005-0000-0000-0000BC0A0000}"/>
    <cellStyle name="Normal 291" xfId="3123" xr:uid="{00000000-0005-0000-0000-0000BD0A0000}"/>
    <cellStyle name="Normal 292" xfId="3124" xr:uid="{00000000-0005-0000-0000-0000BE0A0000}"/>
    <cellStyle name="Normal 293" xfId="3125" xr:uid="{00000000-0005-0000-0000-0000BF0A0000}"/>
    <cellStyle name="Normal 294" xfId="3126" xr:uid="{00000000-0005-0000-0000-0000C00A0000}"/>
    <cellStyle name="Normal 295" xfId="3127" xr:uid="{00000000-0005-0000-0000-0000C10A0000}"/>
    <cellStyle name="Normal 296" xfId="3128" xr:uid="{00000000-0005-0000-0000-0000C20A0000}"/>
    <cellStyle name="Normal 297" xfId="3129" xr:uid="{00000000-0005-0000-0000-0000C30A0000}"/>
    <cellStyle name="Normal 298" xfId="3130" xr:uid="{00000000-0005-0000-0000-0000C40A0000}"/>
    <cellStyle name="Normal 299" xfId="3131" xr:uid="{00000000-0005-0000-0000-0000C50A0000}"/>
    <cellStyle name="Normal 3" xfId="2" xr:uid="{00000000-0005-0000-0000-0000C60A0000}"/>
    <cellStyle name="Normal 3 10" xfId="685" xr:uid="{00000000-0005-0000-0000-0000C70A0000}"/>
    <cellStyle name="Normal 3 11" xfId="686" xr:uid="{00000000-0005-0000-0000-0000C80A0000}"/>
    <cellStyle name="Normal 3 12" xfId="187" xr:uid="{00000000-0005-0000-0000-0000C90A0000}"/>
    <cellStyle name="Normal 3 2" xfId="12" xr:uid="{00000000-0005-0000-0000-0000CA0A0000}"/>
    <cellStyle name="Normal 3 2 2" xfId="687" xr:uid="{00000000-0005-0000-0000-0000CB0A0000}"/>
    <cellStyle name="Normal 3 2 3" xfId="688" xr:uid="{00000000-0005-0000-0000-0000CC0A0000}"/>
    <cellStyle name="Normal 3 2 4" xfId="188" xr:uid="{00000000-0005-0000-0000-0000CD0A0000}"/>
    <cellStyle name="Normal 3 2_Ch4 v2" xfId="689" xr:uid="{00000000-0005-0000-0000-0000CE0A0000}"/>
    <cellStyle name="Normal 3 3" xfId="690" xr:uid="{00000000-0005-0000-0000-0000CF0A0000}"/>
    <cellStyle name="Normal 3 3 2" xfId="3132" xr:uid="{00000000-0005-0000-0000-0000D00A0000}"/>
    <cellStyle name="Normal 3 3 2 2" xfId="3133" xr:uid="{00000000-0005-0000-0000-0000D10A0000}"/>
    <cellStyle name="Normal 3 3 2_a.Data" xfId="3134" xr:uid="{00000000-0005-0000-0000-0000D20A0000}"/>
    <cellStyle name="Normal 3 3 3" xfId="3135" xr:uid="{00000000-0005-0000-0000-0000D30A0000}"/>
    <cellStyle name="Normal 3 3_a.Data" xfId="3136" xr:uid="{00000000-0005-0000-0000-0000D40A0000}"/>
    <cellStyle name="Normal 3 4" xfId="691" xr:uid="{00000000-0005-0000-0000-0000D50A0000}"/>
    <cellStyle name="Normal 3 5" xfId="692" xr:uid="{00000000-0005-0000-0000-0000D60A0000}"/>
    <cellStyle name="Normal 3 6" xfId="693" xr:uid="{00000000-0005-0000-0000-0000D70A0000}"/>
    <cellStyle name="Normal 3 7" xfId="694" xr:uid="{00000000-0005-0000-0000-0000D80A0000}"/>
    <cellStyle name="Normal 3 8" xfId="695" xr:uid="{00000000-0005-0000-0000-0000D90A0000}"/>
    <cellStyle name="Normal 3 9" xfId="696" xr:uid="{00000000-0005-0000-0000-0000DA0A0000}"/>
    <cellStyle name="Normal 3_a.Data" xfId="3137" xr:uid="{00000000-0005-0000-0000-0000DB0A0000}"/>
    <cellStyle name="Normal 30" xfId="353" xr:uid="{00000000-0005-0000-0000-0000DC0A0000}"/>
    <cellStyle name="Normal 300" xfId="3138" xr:uid="{00000000-0005-0000-0000-0000DD0A0000}"/>
    <cellStyle name="Normal 301" xfId="3139" xr:uid="{00000000-0005-0000-0000-0000DE0A0000}"/>
    <cellStyle name="Normal 302" xfId="3140" xr:uid="{00000000-0005-0000-0000-0000DF0A0000}"/>
    <cellStyle name="Normal 303" xfId="3141" xr:uid="{00000000-0005-0000-0000-0000E00A0000}"/>
    <cellStyle name="Normal 304" xfId="3142" xr:uid="{00000000-0005-0000-0000-0000E10A0000}"/>
    <cellStyle name="Normal 305" xfId="3143" xr:uid="{00000000-0005-0000-0000-0000E20A0000}"/>
    <cellStyle name="Normal 306" xfId="3144" xr:uid="{00000000-0005-0000-0000-0000E30A0000}"/>
    <cellStyle name="Normal 307" xfId="3145" xr:uid="{00000000-0005-0000-0000-0000E40A0000}"/>
    <cellStyle name="Normal 308" xfId="3146" xr:uid="{00000000-0005-0000-0000-0000E50A0000}"/>
    <cellStyle name="Normal 309" xfId="3147" xr:uid="{00000000-0005-0000-0000-0000E60A0000}"/>
    <cellStyle name="Normal 31" xfId="24" xr:uid="{00000000-0005-0000-0000-0000E70A0000}"/>
    <cellStyle name="Normal 310" xfId="3148" xr:uid="{00000000-0005-0000-0000-0000E80A0000}"/>
    <cellStyle name="Normal 311" xfId="3149" xr:uid="{00000000-0005-0000-0000-0000E90A0000}"/>
    <cellStyle name="Normal 312" xfId="3150" xr:uid="{00000000-0005-0000-0000-0000EA0A0000}"/>
    <cellStyle name="Normal 313" xfId="3151" xr:uid="{00000000-0005-0000-0000-0000EB0A0000}"/>
    <cellStyle name="Normal 314" xfId="3152" xr:uid="{00000000-0005-0000-0000-0000EC0A0000}"/>
    <cellStyle name="Normal 315" xfId="3153" xr:uid="{00000000-0005-0000-0000-0000ED0A0000}"/>
    <cellStyle name="Normal 316" xfId="3154" xr:uid="{00000000-0005-0000-0000-0000EE0A0000}"/>
    <cellStyle name="Normal 317" xfId="3155" xr:uid="{00000000-0005-0000-0000-0000EF0A0000}"/>
    <cellStyle name="Normal 318" xfId="3156" xr:uid="{00000000-0005-0000-0000-0000F00A0000}"/>
    <cellStyle name="Normal 319" xfId="3157" xr:uid="{00000000-0005-0000-0000-0000F10A0000}"/>
    <cellStyle name="Normal 32" xfId="3158" xr:uid="{00000000-0005-0000-0000-0000F20A0000}"/>
    <cellStyle name="Normal 320" xfId="3159" xr:uid="{00000000-0005-0000-0000-0000F30A0000}"/>
    <cellStyle name="Normal 321" xfId="3160" xr:uid="{00000000-0005-0000-0000-0000F40A0000}"/>
    <cellStyle name="Normal 322" xfId="3161" xr:uid="{00000000-0005-0000-0000-0000F50A0000}"/>
    <cellStyle name="Normal 323" xfId="3162" xr:uid="{00000000-0005-0000-0000-0000F60A0000}"/>
    <cellStyle name="Normal 324" xfId="3163" xr:uid="{00000000-0005-0000-0000-0000F70A0000}"/>
    <cellStyle name="Normal 325" xfId="3164" xr:uid="{00000000-0005-0000-0000-0000F80A0000}"/>
    <cellStyle name="Normal 326" xfId="3165" xr:uid="{00000000-0005-0000-0000-0000F90A0000}"/>
    <cellStyle name="Normal 327" xfId="3166" xr:uid="{00000000-0005-0000-0000-0000FA0A0000}"/>
    <cellStyle name="Normal 328" xfId="3167" xr:uid="{00000000-0005-0000-0000-0000FB0A0000}"/>
    <cellStyle name="Normal 329" xfId="3168" xr:uid="{00000000-0005-0000-0000-0000FC0A0000}"/>
    <cellStyle name="Normal 33" xfId="3169" xr:uid="{00000000-0005-0000-0000-0000FD0A0000}"/>
    <cellStyle name="Normal 330" xfId="3170" xr:uid="{00000000-0005-0000-0000-0000FE0A0000}"/>
    <cellStyle name="Normal 331" xfId="3171" xr:uid="{00000000-0005-0000-0000-0000FF0A0000}"/>
    <cellStyle name="Normal 332" xfId="3172" xr:uid="{00000000-0005-0000-0000-0000000B0000}"/>
    <cellStyle name="Normal 333" xfId="3173" xr:uid="{00000000-0005-0000-0000-0000010B0000}"/>
    <cellStyle name="Normal 334" xfId="3174" xr:uid="{00000000-0005-0000-0000-0000020B0000}"/>
    <cellStyle name="Normal 335" xfId="3175" xr:uid="{00000000-0005-0000-0000-0000030B0000}"/>
    <cellStyle name="Normal 336" xfId="3176" xr:uid="{00000000-0005-0000-0000-0000040B0000}"/>
    <cellStyle name="Normal 337" xfId="3177" xr:uid="{00000000-0005-0000-0000-0000050B0000}"/>
    <cellStyle name="Normal 338" xfId="3178" xr:uid="{00000000-0005-0000-0000-0000060B0000}"/>
    <cellStyle name="Normal 339" xfId="3179" xr:uid="{00000000-0005-0000-0000-0000070B0000}"/>
    <cellStyle name="Normal 34" xfId="3180" xr:uid="{00000000-0005-0000-0000-0000080B0000}"/>
    <cellStyle name="Normal 34 2" xfId="3181" xr:uid="{00000000-0005-0000-0000-0000090B0000}"/>
    <cellStyle name="Normal 34 2 2" xfId="3182" xr:uid="{00000000-0005-0000-0000-00000A0B0000}"/>
    <cellStyle name="Normal 34 2 2 2" xfId="3183" xr:uid="{00000000-0005-0000-0000-00000B0B0000}"/>
    <cellStyle name="Normal 34 2 2_a.Data" xfId="3184" xr:uid="{00000000-0005-0000-0000-00000C0B0000}"/>
    <cellStyle name="Normal 34 2 3" xfId="3185" xr:uid="{00000000-0005-0000-0000-00000D0B0000}"/>
    <cellStyle name="Normal 34 2_a.Data" xfId="3186" xr:uid="{00000000-0005-0000-0000-00000E0B0000}"/>
    <cellStyle name="Normal 34 3" xfId="3187" xr:uid="{00000000-0005-0000-0000-00000F0B0000}"/>
    <cellStyle name="Normal 34 3 2" xfId="3188" xr:uid="{00000000-0005-0000-0000-0000100B0000}"/>
    <cellStyle name="Normal 34 3_a.Data" xfId="3189" xr:uid="{00000000-0005-0000-0000-0000110B0000}"/>
    <cellStyle name="Normal 34 4" xfId="3190" xr:uid="{00000000-0005-0000-0000-0000120B0000}"/>
    <cellStyle name="Normal 34 4 2" xfId="3191" xr:uid="{00000000-0005-0000-0000-0000130B0000}"/>
    <cellStyle name="Normal 34 4_a.Data" xfId="3192" xr:uid="{00000000-0005-0000-0000-0000140B0000}"/>
    <cellStyle name="Normal 34 5" xfId="3193" xr:uid="{00000000-0005-0000-0000-0000150B0000}"/>
    <cellStyle name="Normal 34 6" xfId="3194" xr:uid="{00000000-0005-0000-0000-0000160B0000}"/>
    <cellStyle name="Normal 34_a.Data" xfId="3195" xr:uid="{00000000-0005-0000-0000-0000170B0000}"/>
    <cellStyle name="Normal 340" xfId="3196" xr:uid="{00000000-0005-0000-0000-0000180B0000}"/>
    <cellStyle name="Normal 341" xfId="3197" xr:uid="{00000000-0005-0000-0000-0000190B0000}"/>
    <cellStyle name="Normal 342" xfId="3198" xr:uid="{00000000-0005-0000-0000-00001A0B0000}"/>
    <cellStyle name="Normal 343" xfId="3199" xr:uid="{00000000-0005-0000-0000-00001B0B0000}"/>
    <cellStyle name="Normal 344" xfId="3200" xr:uid="{00000000-0005-0000-0000-00001C0B0000}"/>
    <cellStyle name="Normal 345" xfId="3201" xr:uid="{00000000-0005-0000-0000-00001D0B0000}"/>
    <cellStyle name="Normal 346" xfId="3202" xr:uid="{00000000-0005-0000-0000-00001E0B0000}"/>
    <cellStyle name="Normal 347" xfId="3203" xr:uid="{00000000-0005-0000-0000-00001F0B0000}"/>
    <cellStyle name="Normal 348" xfId="3204" xr:uid="{00000000-0005-0000-0000-0000200B0000}"/>
    <cellStyle name="Normal 349" xfId="3205" xr:uid="{00000000-0005-0000-0000-0000210B0000}"/>
    <cellStyle name="Normal 35" xfId="3206" xr:uid="{00000000-0005-0000-0000-0000220B0000}"/>
    <cellStyle name="Normal 35 2" xfId="3207" xr:uid="{00000000-0005-0000-0000-0000230B0000}"/>
    <cellStyle name="Normal 35 2 2" xfId="3208" xr:uid="{00000000-0005-0000-0000-0000240B0000}"/>
    <cellStyle name="Normal 35 2 2 2" xfId="3209" xr:uid="{00000000-0005-0000-0000-0000250B0000}"/>
    <cellStyle name="Normal 35 2 2_a.Data" xfId="3210" xr:uid="{00000000-0005-0000-0000-0000260B0000}"/>
    <cellStyle name="Normal 35 2 3" xfId="3211" xr:uid="{00000000-0005-0000-0000-0000270B0000}"/>
    <cellStyle name="Normal 35 2_a.Data" xfId="3212" xr:uid="{00000000-0005-0000-0000-0000280B0000}"/>
    <cellStyle name="Normal 35 3" xfId="3213" xr:uid="{00000000-0005-0000-0000-0000290B0000}"/>
    <cellStyle name="Normal 35 3 2" xfId="3214" xr:uid="{00000000-0005-0000-0000-00002A0B0000}"/>
    <cellStyle name="Normal 35 3_a.Data" xfId="3215" xr:uid="{00000000-0005-0000-0000-00002B0B0000}"/>
    <cellStyle name="Normal 35 4" xfId="3216" xr:uid="{00000000-0005-0000-0000-00002C0B0000}"/>
    <cellStyle name="Normal 35 4 2" xfId="3217" xr:uid="{00000000-0005-0000-0000-00002D0B0000}"/>
    <cellStyle name="Normal 35 4_a.Data" xfId="3218" xr:uid="{00000000-0005-0000-0000-00002E0B0000}"/>
    <cellStyle name="Normal 35 5" xfId="3219" xr:uid="{00000000-0005-0000-0000-00002F0B0000}"/>
    <cellStyle name="Normal 35 6" xfId="3220" xr:uid="{00000000-0005-0000-0000-0000300B0000}"/>
    <cellStyle name="Normal 35_a.Data" xfId="3221" xr:uid="{00000000-0005-0000-0000-0000310B0000}"/>
    <cellStyle name="Normal 350" xfId="3222" xr:uid="{00000000-0005-0000-0000-0000320B0000}"/>
    <cellStyle name="Normal 351" xfId="3223" xr:uid="{00000000-0005-0000-0000-0000330B0000}"/>
    <cellStyle name="Normal 352" xfId="3224" xr:uid="{00000000-0005-0000-0000-0000340B0000}"/>
    <cellStyle name="Normal 353" xfId="3225" xr:uid="{00000000-0005-0000-0000-0000350B0000}"/>
    <cellStyle name="Normal 354" xfId="3226" xr:uid="{00000000-0005-0000-0000-0000360B0000}"/>
    <cellStyle name="Normal 355" xfId="3227" xr:uid="{00000000-0005-0000-0000-0000370B0000}"/>
    <cellStyle name="Normal 356" xfId="3228" xr:uid="{00000000-0005-0000-0000-0000380B0000}"/>
    <cellStyle name="Normal 357" xfId="3229" xr:uid="{00000000-0005-0000-0000-0000390B0000}"/>
    <cellStyle name="Normal 359" xfId="4626" xr:uid="{6C068770-7985-4A6C-851F-BA61673C1BE2}"/>
    <cellStyle name="Normal 36" xfId="3230" xr:uid="{00000000-0005-0000-0000-00003A0B0000}"/>
    <cellStyle name="Normal 37" xfId="3231" xr:uid="{00000000-0005-0000-0000-00003B0B0000}"/>
    <cellStyle name="Normal 37 2" xfId="3232" xr:uid="{00000000-0005-0000-0000-00003C0B0000}"/>
    <cellStyle name="Normal 37 2 2" xfId="3233" xr:uid="{00000000-0005-0000-0000-00003D0B0000}"/>
    <cellStyle name="Normal 37 2 2 2" xfId="3234" xr:uid="{00000000-0005-0000-0000-00003E0B0000}"/>
    <cellStyle name="Normal 37 2 2_a.Data" xfId="3235" xr:uid="{00000000-0005-0000-0000-00003F0B0000}"/>
    <cellStyle name="Normal 37 2 3" xfId="3236" xr:uid="{00000000-0005-0000-0000-0000400B0000}"/>
    <cellStyle name="Normal 37 2_a.Data" xfId="3237" xr:uid="{00000000-0005-0000-0000-0000410B0000}"/>
    <cellStyle name="Normal 37 3" xfId="3238" xr:uid="{00000000-0005-0000-0000-0000420B0000}"/>
    <cellStyle name="Normal 37 3 2" xfId="3239" xr:uid="{00000000-0005-0000-0000-0000430B0000}"/>
    <cellStyle name="Normal 37 3_a.Data" xfId="3240" xr:uid="{00000000-0005-0000-0000-0000440B0000}"/>
    <cellStyle name="Normal 37 4" xfId="3241" xr:uid="{00000000-0005-0000-0000-0000450B0000}"/>
    <cellStyle name="Normal 37_a.Data" xfId="3242" xr:uid="{00000000-0005-0000-0000-0000460B0000}"/>
    <cellStyle name="Normal 38" xfId="3243" xr:uid="{00000000-0005-0000-0000-0000470B0000}"/>
    <cellStyle name="Normal 38 2" xfId="3244" xr:uid="{00000000-0005-0000-0000-0000480B0000}"/>
    <cellStyle name="Normal 38 2 2" xfId="3245" xr:uid="{00000000-0005-0000-0000-0000490B0000}"/>
    <cellStyle name="Normal 38 2 2 2" xfId="3246" xr:uid="{00000000-0005-0000-0000-00004A0B0000}"/>
    <cellStyle name="Normal 38 2 2_a.Data" xfId="3247" xr:uid="{00000000-0005-0000-0000-00004B0B0000}"/>
    <cellStyle name="Normal 38 2 3" xfId="3248" xr:uid="{00000000-0005-0000-0000-00004C0B0000}"/>
    <cellStyle name="Normal 38 2_a.Data" xfId="3249" xr:uid="{00000000-0005-0000-0000-00004D0B0000}"/>
    <cellStyle name="Normal 38 3" xfId="3250" xr:uid="{00000000-0005-0000-0000-00004E0B0000}"/>
    <cellStyle name="Normal 38 3 2" xfId="3251" xr:uid="{00000000-0005-0000-0000-00004F0B0000}"/>
    <cellStyle name="Normal 38 3_a.Data" xfId="3252" xr:uid="{00000000-0005-0000-0000-0000500B0000}"/>
    <cellStyle name="Normal 38 4" xfId="3253" xr:uid="{00000000-0005-0000-0000-0000510B0000}"/>
    <cellStyle name="Normal 38_a.Data" xfId="3254" xr:uid="{00000000-0005-0000-0000-0000520B0000}"/>
    <cellStyle name="Normal 39" xfId="3255" xr:uid="{00000000-0005-0000-0000-0000530B0000}"/>
    <cellStyle name="Normal 39 2" xfId="3256" xr:uid="{00000000-0005-0000-0000-0000540B0000}"/>
    <cellStyle name="Normal 39 2 2" xfId="3257" xr:uid="{00000000-0005-0000-0000-0000550B0000}"/>
    <cellStyle name="Normal 39 2 2 2" xfId="3258" xr:uid="{00000000-0005-0000-0000-0000560B0000}"/>
    <cellStyle name="Normal 39 2 2_a.Data" xfId="3259" xr:uid="{00000000-0005-0000-0000-0000570B0000}"/>
    <cellStyle name="Normal 39 2 3" xfId="3260" xr:uid="{00000000-0005-0000-0000-0000580B0000}"/>
    <cellStyle name="Normal 39 2_a.Data" xfId="3261" xr:uid="{00000000-0005-0000-0000-0000590B0000}"/>
    <cellStyle name="Normal 39 3" xfId="3262" xr:uid="{00000000-0005-0000-0000-00005A0B0000}"/>
    <cellStyle name="Normal 39 3 2" xfId="3263" xr:uid="{00000000-0005-0000-0000-00005B0B0000}"/>
    <cellStyle name="Normal 39 3_a.Data" xfId="3264" xr:uid="{00000000-0005-0000-0000-00005C0B0000}"/>
    <cellStyle name="Normal 39 4" xfId="3265" xr:uid="{00000000-0005-0000-0000-00005D0B0000}"/>
    <cellStyle name="Normal 39_a.Data" xfId="3266" xr:uid="{00000000-0005-0000-0000-00005E0B0000}"/>
    <cellStyle name="Normal 4" xfId="7" xr:uid="{00000000-0005-0000-0000-00005F0B0000}"/>
    <cellStyle name="Normal 4 10" xfId="189" xr:uid="{00000000-0005-0000-0000-0000600B0000}"/>
    <cellStyle name="Normal 4 2" xfId="698" xr:uid="{00000000-0005-0000-0000-0000610B0000}"/>
    <cellStyle name="Normal 4 2 2" xfId="699" xr:uid="{00000000-0005-0000-0000-0000620B0000}"/>
    <cellStyle name="Normal 4 2 3" xfId="700" xr:uid="{00000000-0005-0000-0000-0000630B0000}"/>
    <cellStyle name="Normal 4 2_Ch4 v2" xfId="701" xr:uid="{00000000-0005-0000-0000-0000640B0000}"/>
    <cellStyle name="Normal 4 3" xfId="702" xr:uid="{00000000-0005-0000-0000-0000650B0000}"/>
    <cellStyle name="Normal 4 4" xfId="703" xr:uid="{00000000-0005-0000-0000-0000660B0000}"/>
    <cellStyle name="Normal 4 5" xfId="704" xr:uid="{00000000-0005-0000-0000-0000670B0000}"/>
    <cellStyle name="Normal 4 6" xfId="705" xr:uid="{00000000-0005-0000-0000-0000680B0000}"/>
    <cellStyle name="Normal 4 7" xfId="706" xr:uid="{00000000-0005-0000-0000-0000690B0000}"/>
    <cellStyle name="Normal 4 8" xfId="707" xr:uid="{00000000-0005-0000-0000-00006A0B0000}"/>
    <cellStyle name="Normal 4 9" xfId="697" xr:uid="{00000000-0005-0000-0000-00006B0B0000}"/>
    <cellStyle name="Normal 4_April 17_Updated labor demand figures May 12 workshop" xfId="708" xr:uid="{00000000-0005-0000-0000-00006C0B0000}"/>
    <cellStyle name="Normal 40" xfId="3267" xr:uid="{00000000-0005-0000-0000-00006D0B0000}"/>
    <cellStyle name="Normal 40 2" xfId="3268" xr:uid="{00000000-0005-0000-0000-00006E0B0000}"/>
    <cellStyle name="Normal 40 2 2" xfId="3269" xr:uid="{00000000-0005-0000-0000-00006F0B0000}"/>
    <cellStyle name="Normal 40 2 2 2" xfId="3270" xr:uid="{00000000-0005-0000-0000-0000700B0000}"/>
    <cellStyle name="Normal 40 2 2_a.Data" xfId="3271" xr:uid="{00000000-0005-0000-0000-0000710B0000}"/>
    <cellStyle name="Normal 40 2 3" xfId="3272" xr:uid="{00000000-0005-0000-0000-0000720B0000}"/>
    <cellStyle name="Normal 40 2_a.Data" xfId="3273" xr:uid="{00000000-0005-0000-0000-0000730B0000}"/>
    <cellStyle name="Normal 40 3" xfId="3274" xr:uid="{00000000-0005-0000-0000-0000740B0000}"/>
    <cellStyle name="Normal 40 3 2" xfId="3275" xr:uid="{00000000-0005-0000-0000-0000750B0000}"/>
    <cellStyle name="Normal 40 3_a.Data" xfId="3276" xr:uid="{00000000-0005-0000-0000-0000760B0000}"/>
    <cellStyle name="Normal 40 4" xfId="3277" xr:uid="{00000000-0005-0000-0000-0000770B0000}"/>
    <cellStyle name="Normal 40_a.Data" xfId="3278" xr:uid="{00000000-0005-0000-0000-0000780B0000}"/>
    <cellStyle name="Normal 41" xfId="3279" xr:uid="{00000000-0005-0000-0000-0000790B0000}"/>
    <cellStyle name="Normal 41 2" xfId="3280" xr:uid="{00000000-0005-0000-0000-00007A0B0000}"/>
    <cellStyle name="Normal 41 2 2" xfId="3281" xr:uid="{00000000-0005-0000-0000-00007B0B0000}"/>
    <cellStyle name="Normal 41 2 2 2" xfId="3282" xr:uid="{00000000-0005-0000-0000-00007C0B0000}"/>
    <cellStyle name="Normal 41 2 2_a.Data" xfId="3283" xr:uid="{00000000-0005-0000-0000-00007D0B0000}"/>
    <cellStyle name="Normal 41 2 3" xfId="3284" xr:uid="{00000000-0005-0000-0000-00007E0B0000}"/>
    <cellStyle name="Normal 41 2_a.Data" xfId="3285" xr:uid="{00000000-0005-0000-0000-00007F0B0000}"/>
    <cellStyle name="Normal 41 3" xfId="3286" xr:uid="{00000000-0005-0000-0000-0000800B0000}"/>
    <cellStyle name="Normal 41 3 2" xfId="3287" xr:uid="{00000000-0005-0000-0000-0000810B0000}"/>
    <cellStyle name="Normal 41 3_a.Data" xfId="3288" xr:uid="{00000000-0005-0000-0000-0000820B0000}"/>
    <cellStyle name="Normal 41 4" xfId="3289" xr:uid="{00000000-0005-0000-0000-0000830B0000}"/>
    <cellStyle name="Normal 41_a.Data" xfId="3290" xr:uid="{00000000-0005-0000-0000-0000840B0000}"/>
    <cellStyle name="Normal 42" xfId="3291" xr:uid="{00000000-0005-0000-0000-0000850B0000}"/>
    <cellStyle name="Normal 43" xfId="3292" xr:uid="{00000000-0005-0000-0000-0000860B0000}"/>
    <cellStyle name="Normal 43 2" xfId="3293" xr:uid="{00000000-0005-0000-0000-0000870B0000}"/>
    <cellStyle name="Normal 43 2 2" xfId="3294" xr:uid="{00000000-0005-0000-0000-0000880B0000}"/>
    <cellStyle name="Normal 43 2 2 2" xfId="3295" xr:uid="{00000000-0005-0000-0000-0000890B0000}"/>
    <cellStyle name="Normal 43 2 2_a.Data" xfId="3296" xr:uid="{00000000-0005-0000-0000-00008A0B0000}"/>
    <cellStyle name="Normal 43 2 3" xfId="3297" xr:uid="{00000000-0005-0000-0000-00008B0B0000}"/>
    <cellStyle name="Normal 43 2_a.Data" xfId="3298" xr:uid="{00000000-0005-0000-0000-00008C0B0000}"/>
    <cellStyle name="Normal 43 3" xfId="3299" xr:uid="{00000000-0005-0000-0000-00008D0B0000}"/>
    <cellStyle name="Normal 43 3 2" xfId="3300" xr:uid="{00000000-0005-0000-0000-00008E0B0000}"/>
    <cellStyle name="Normal 43 3_a.Data" xfId="3301" xr:uid="{00000000-0005-0000-0000-00008F0B0000}"/>
    <cellStyle name="Normal 43 4" xfId="3302" xr:uid="{00000000-0005-0000-0000-0000900B0000}"/>
    <cellStyle name="Normal 43_a.Data" xfId="3303" xr:uid="{00000000-0005-0000-0000-0000910B0000}"/>
    <cellStyle name="Normal 44" xfId="3304" xr:uid="{00000000-0005-0000-0000-0000920B0000}"/>
    <cellStyle name="Normal 44 2" xfId="3305" xr:uid="{00000000-0005-0000-0000-0000930B0000}"/>
    <cellStyle name="Normal 44 2 2" xfId="3306" xr:uid="{00000000-0005-0000-0000-0000940B0000}"/>
    <cellStyle name="Normal 44 2 2 2" xfId="3307" xr:uid="{00000000-0005-0000-0000-0000950B0000}"/>
    <cellStyle name="Normal 44 2 2_a.Data" xfId="3308" xr:uid="{00000000-0005-0000-0000-0000960B0000}"/>
    <cellStyle name="Normal 44 2 3" xfId="3309" xr:uid="{00000000-0005-0000-0000-0000970B0000}"/>
    <cellStyle name="Normal 44 2_a.Data" xfId="3310" xr:uid="{00000000-0005-0000-0000-0000980B0000}"/>
    <cellStyle name="Normal 44 3" xfId="3311" xr:uid="{00000000-0005-0000-0000-0000990B0000}"/>
    <cellStyle name="Normal 44 3 2" xfId="3312" xr:uid="{00000000-0005-0000-0000-00009A0B0000}"/>
    <cellStyle name="Normal 44 3_a.Data" xfId="3313" xr:uid="{00000000-0005-0000-0000-00009B0B0000}"/>
    <cellStyle name="Normal 44 4" xfId="3314" xr:uid="{00000000-0005-0000-0000-00009C0B0000}"/>
    <cellStyle name="Normal 44_a.Data" xfId="3315" xr:uid="{00000000-0005-0000-0000-00009D0B0000}"/>
    <cellStyle name="Normal 45" xfId="3316" xr:uid="{00000000-0005-0000-0000-00009E0B0000}"/>
    <cellStyle name="Normal 46" xfId="3317" xr:uid="{00000000-0005-0000-0000-00009F0B0000}"/>
    <cellStyle name="Normal 46 2" xfId="3318" xr:uid="{00000000-0005-0000-0000-0000A00B0000}"/>
    <cellStyle name="Normal 46 2 2" xfId="3319" xr:uid="{00000000-0005-0000-0000-0000A10B0000}"/>
    <cellStyle name="Normal 46 2 2 2" xfId="3320" xr:uid="{00000000-0005-0000-0000-0000A20B0000}"/>
    <cellStyle name="Normal 46 2 2_a.Data" xfId="3321" xr:uid="{00000000-0005-0000-0000-0000A30B0000}"/>
    <cellStyle name="Normal 46 2 3" xfId="3322" xr:uid="{00000000-0005-0000-0000-0000A40B0000}"/>
    <cellStyle name="Normal 46 2_a.Data" xfId="3323" xr:uid="{00000000-0005-0000-0000-0000A50B0000}"/>
    <cellStyle name="Normal 46 3" xfId="3324" xr:uid="{00000000-0005-0000-0000-0000A60B0000}"/>
    <cellStyle name="Normal 46 3 2" xfId="3325" xr:uid="{00000000-0005-0000-0000-0000A70B0000}"/>
    <cellStyle name="Normal 46 3_a.Data" xfId="3326" xr:uid="{00000000-0005-0000-0000-0000A80B0000}"/>
    <cellStyle name="Normal 46 4" xfId="3327" xr:uid="{00000000-0005-0000-0000-0000A90B0000}"/>
    <cellStyle name="Normal 46_a.Data" xfId="3328" xr:uid="{00000000-0005-0000-0000-0000AA0B0000}"/>
    <cellStyle name="Normal 47" xfId="3329" xr:uid="{00000000-0005-0000-0000-0000AB0B0000}"/>
    <cellStyle name="Normal 47 2" xfId="3330" xr:uid="{00000000-0005-0000-0000-0000AC0B0000}"/>
    <cellStyle name="Normal 47 2 2" xfId="3331" xr:uid="{00000000-0005-0000-0000-0000AD0B0000}"/>
    <cellStyle name="Normal 47 2 2 2" xfId="3332" xr:uid="{00000000-0005-0000-0000-0000AE0B0000}"/>
    <cellStyle name="Normal 47 2 2_a.Data" xfId="3333" xr:uid="{00000000-0005-0000-0000-0000AF0B0000}"/>
    <cellStyle name="Normal 47 2 3" xfId="3334" xr:uid="{00000000-0005-0000-0000-0000B00B0000}"/>
    <cellStyle name="Normal 47 2_a.Data" xfId="3335" xr:uid="{00000000-0005-0000-0000-0000B10B0000}"/>
    <cellStyle name="Normal 47 3" xfId="3336" xr:uid="{00000000-0005-0000-0000-0000B20B0000}"/>
    <cellStyle name="Normal 47 3 2" xfId="3337" xr:uid="{00000000-0005-0000-0000-0000B30B0000}"/>
    <cellStyle name="Normal 47 3_a.Data" xfId="3338" xr:uid="{00000000-0005-0000-0000-0000B40B0000}"/>
    <cellStyle name="Normal 47 4" xfId="3339" xr:uid="{00000000-0005-0000-0000-0000B50B0000}"/>
    <cellStyle name="Normal 47_a.Data" xfId="3340" xr:uid="{00000000-0005-0000-0000-0000B60B0000}"/>
    <cellStyle name="Normal 48" xfId="3341" xr:uid="{00000000-0005-0000-0000-0000B70B0000}"/>
    <cellStyle name="Normal 49" xfId="3342" xr:uid="{00000000-0005-0000-0000-0000B80B0000}"/>
    <cellStyle name="Normal 49 2" xfId="3343" xr:uid="{00000000-0005-0000-0000-0000B90B0000}"/>
    <cellStyle name="Normal 49 2 2" xfId="3344" xr:uid="{00000000-0005-0000-0000-0000BA0B0000}"/>
    <cellStyle name="Normal 49 2 2 2" xfId="3345" xr:uid="{00000000-0005-0000-0000-0000BB0B0000}"/>
    <cellStyle name="Normal 49 2 2_a.Data" xfId="3346" xr:uid="{00000000-0005-0000-0000-0000BC0B0000}"/>
    <cellStyle name="Normal 49 2 3" xfId="3347" xr:uid="{00000000-0005-0000-0000-0000BD0B0000}"/>
    <cellStyle name="Normal 49 2_a.Data" xfId="3348" xr:uid="{00000000-0005-0000-0000-0000BE0B0000}"/>
    <cellStyle name="Normal 49 3" xfId="3349" xr:uid="{00000000-0005-0000-0000-0000BF0B0000}"/>
    <cellStyle name="Normal 49 3 2" xfId="3350" xr:uid="{00000000-0005-0000-0000-0000C00B0000}"/>
    <cellStyle name="Normal 49 3_a.Data" xfId="3351" xr:uid="{00000000-0005-0000-0000-0000C10B0000}"/>
    <cellStyle name="Normal 49 4" xfId="3352" xr:uid="{00000000-0005-0000-0000-0000C20B0000}"/>
    <cellStyle name="Normal 49_a.Data" xfId="3353" xr:uid="{00000000-0005-0000-0000-0000C30B0000}"/>
    <cellStyle name="Normal 5" xfId="190" xr:uid="{00000000-0005-0000-0000-0000C40B0000}"/>
    <cellStyle name="Normal 5 2" xfId="710" xr:uid="{00000000-0005-0000-0000-0000C50B0000}"/>
    <cellStyle name="Normal 5 2 2" xfId="711" xr:uid="{00000000-0005-0000-0000-0000C60B0000}"/>
    <cellStyle name="Normal 5 2 3" xfId="712" xr:uid="{00000000-0005-0000-0000-0000C70B0000}"/>
    <cellStyle name="Normal 5 2_Data for charts" xfId="3354" xr:uid="{00000000-0005-0000-0000-0000C80B0000}"/>
    <cellStyle name="Normal 5 3" xfId="713" xr:uid="{00000000-0005-0000-0000-0000C90B0000}"/>
    <cellStyle name="Normal 5 3 2" xfId="3355" xr:uid="{00000000-0005-0000-0000-0000CA0B0000}"/>
    <cellStyle name="Normal 5 3 2 2" xfId="3356" xr:uid="{00000000-0005-0000-0000-0000CB0B0000}"/>
    <cellStyle name="Normal 5 3 2 2 2" xfId="3357" xr:uid="{00000000-0005-0000-0000-0000CC0B0000}"/>
    <cellStyle name="Normal 5 3 2 2 2 2" xfId="3358" xr:uid="{00000000-0005-0000-0000-0000CD0B0000}"/>
    <cellStyle name="Normal 5 3 2 2 2_a.Data" xfId="3359" xr:uid="{00000000-0005-0000-0000-0000CE0B0000}"/>
    <cellStyle name="Normal 5 3 2 2 3" xfId="3360" xr:uid="{00000000-0005-0000-0000-0000CF0B0000}"/>
    <cellStyle name="Normal 5 3 2 2_a.Data" xfId="3361" xr:uid="{00000000-0005-0000-0000-0000D00B0000}"/>
    <cellStyle name="Normal 5 3 2 3" xfId="3362" xr:uid="{00000000-0005-0000-0000-0000D10B0000}"/>
    <cellStyle name="Normal 5 3 2 3 2" xfId="3363" xr:uid="{00000000-0005-0000-0000-0000D20B0000}"/>
    <cellStyle name="Normal 5 3 2 3_a.Data" xfId="3364" xr:uid="{00000000-0005-0000-0000-0000D30B0000}"/>
    <cellStyle name="Normal 5 3 2 4" xfId="3365" xr:uid="{00000000-0005-0000-0000-0000D40B0000}"/>
    <cellStyle name="Normal 5 3 2_a.Data" xfId="3366" xr:uid="{00000000-0005-0000-0000-0000D50B0000}"/>
    <cellStyle name="Normal 5 3 3" xfId="3367" xr:uid="{00000000-0005-0000-0000-0000D60B0000}"/>
    <cellStyle name="Normal 5 3 3 2" xfId="3368" xr:uid="{00000000-0005-0000-0000-0000D70B0000}"/>
    <cellStyle name="Normal 5 3 3 2 2" xfId="3369" xr:uid="{00000000-0005-0000-0000-0000D80B0000}"/>
    <cellStyle name="Normal 5 3 3 2_a.Data" xfId="3370" xr:uid="{00000000-0005-0000-0000-0000D90B0000}"/>
    <cellStyle name="Normal 5 3 3 3" xfId="3371" xr:uid="{00000000-0005-0000-0000-0000DA0B0000}"/>
    <cellStyle name="Normal 5 3 3_a.Data" xfId="3372" xr:uid="{00000000-0005-0000-0000-0000DB0B0000}"/>
    <cellStyle name="Normal 5 3 4" xfId="3373" xr:uid="{00000000-0005-0000-0000-0000DC0B0000}"/>
    <cellStyle name="Normal 5 3 4 2" xfId="3374" xr:uid="{00000000-0005-0000-0000-0000DD0B0000}"/>
    <cellStyle name="Normal 5 3 4_a.Data" xfId="3375" xr:uid="{00000000-0005-0000-0000-0000DE0B0000}"/>
    <cellStyle name="Normal 5 3 5" xfId="3376" xr:uid="{00000000-0005-0000-0000-0000DF0B0000}"/>
    <cellStyle name="Normal 5 3_a.Data" xfId="3377" xr:uid="{00000000-0005-0000-0000-0000E00B0000}"/>
    <cellStyle name="Normal 5 4" xfId="714" xr:uid="{00000000-0005-0000-0000-0000E10B0000}"/>
    <cellStyle name="Normal 5 4 2" xfId="3378" xr:uid="{00000000-0005-0000-0000-0000E20B0000}"/>
    <cellStyle name="Normal 5 4 2 2" xfId="3379" xr:uid="{00000000-0005-0000-0000-0000E30B0000}"/>
    <cellStyle name="Normal 5 4 2 2 2" xfId="3380" xr:uid="{00000000-0005-0000-0000-0000E40B0000}"/>
    <cellStyle name="Normal 5 4 2 2_a.Data" xfId="3381" xr:uid="{00000000-0005-0000-0000-0000E50B0000}"/>
    <cellStyle name="Normal 5 4 2 3" xfId="3382" xr:uid="{00000000-0005-0000-0000-0000E60B0000}"/>
    <cellStyle name="Normal 5 4 2_a.Data" xfId="3383" xr:uid="{00000000-0005-0000-0000-0000E70B0000}"/>
    <cellStyle name="Normal 5 4 3" xfId="3384" xr:uid="{00000000-0005-0000-0000-0000E80B0000}"/>
    <cellStyle name="Normal 5 4 3 2" xfId="3385" xr:uid="{00000000-0005-0000-0000-0000E90B0000}"/>
    <cellStyle name="Normal 5 4 3_a.Data" xfId="3386" xr:uid="{00000000-0005-0000-0000-0000EA0B0000}"/>
    <cellStyle name="Normal 5 4 4" xfId="3387" xr:uid="{00000000-0005-0000-0000-0000EB0B0000}"/>
    <cellStyle name="Normal 5 4_a.Data" xfId="3388" xr:uid="{00000000-0005-0000-0000-0000EC0B0000}"/>
    <cellStyle name="Normal 5 5" xfId="715" xr:uid="{00000000-0005-0000-0000-0000ED0B0000}"/>
    <cellStyle name="Normal 5 5 2" xfId="3389" xr:uid="{00000000-0005-0000-0000-0000EE0B0000}"/>
    <cellStyle name="Normal 5 5 2 2" xfId="3390" xr:uid="{00000000-0005-0000-0000-0000EF0B0000}"/>
    <cellStyle name="Normal 5 5 2 2 2" xfId="3391" xr:uid="{00000000-0005-0000-0000-0000F00B0000}"/>
    <cellStyle name="Normal 5 5 2 2_a.Data" xfId="3392" xr:uid="{00000000-0005-0000-0000-0000F10B0000}"/>
    <cellStyle name="Normal 5 5 2 3" xfId="3393" xr:uid="{00000000-0005-0000-0000-0000F20B0000}"/>
    <cellStyle name="Normal 5 5 2_a.Data" xfId="3394" xr:uid="{00000000-0005-0000-0000-0000F30B0000}"/>
    <cellStyle name="Normal 5 5 3" xfId="3395" xr:uid="{00000000-0005-0000-0000-0000F40B0000}"/>
    <cellStyle name="Normal 5 5 3 2" xfId="3396" xr:uid="{00000000-0005-0000-0000-0000F50B0000}"/>
    <cellStyle name="Normal 5 5 3_a.Data" xfId="3397" xr:uid="{00000000-0005-0000-0000-0000F60B0000}"/>
    <cellStyle name="Normal 5 5 4" xfId="3398" xr:uid="{00000000-0005-0000-0000-0000F70B0000}"/>
    <cellStyle name="Normal 5 5_a.Data" xfId="3399" xr:uid="{00000000-0005-0000-0000-0000F80B0000}"/>
    <cellStyle name="Normal 5 6" xfId="716" xr:uid="{00000000-0005-0000-0000-0000F90B0000}"/>
    <cellStyle name="Normal 5 6 2" xfId="3400" xr:uid="{00000000-0005-0000-0000-0000FA0B0000}"/>
    <cellStyle name="Normal 5 6_BASE Current Year" xfId="3401" xr:uid="{00000000-0005-0000-0000-0000FB0B0000}"/>
    <cellStyle name="Normal 5 7" xfId="709" xr:uid="{00000000-0005-0000-0000-0000FC0B0000}"/>
    <cellStyle name="Normal 5_a.Data" xfId="3402" xr:uid="{00000000-0005-0000-0000-0000FD0B0000}"/>
    <cellStyle name="Normal 50" xfId="3403" xr:uid="{00000000-0005-0000-0000-0000FE0B0000}"/>
    <cellStyle name="Normal 50 2" xfId="3404" xr:uid="{00000000-0005-0000-0000-0000FF0B0000}"/>
    <cellStyle name="Normal 50 2 2" xfId="3405" xr:uid="{00000000-0005-0000-0000-0000000C0000}"/>
    <cellStyle name="Normal 50 2 2 2" xfId="3406" xr:uid="{00000000-0005-0000-0000-0000010C0000}"/>
    <cellStyle name="Normal 50 2 2_a.Data" xfId="3407" xr:uid="{00000000-0005-0000-0000-0000020C0000}"/>
    <cellStyle name="Normal 50 2 3" xfId="3408" xr:uid="{00000000-0005-0000-0000-0000030C0000}"/>
    <cellStyle name="Normal 50 2_a.Data" xfId="3409" xr:uid="{00000000-0005-0000-0000-0000040C0000}"/>
    <cellStyle name="Normal 50 3" xfId="3410" xr:uid="{00000000-0005-0000-0000-0000050C0000}"/>
    <cellStyle name="Normal 50 3 2" xfId="3411" xr:uid="{00000000-0005-0000-0000-0000060C0000}"/>
    <cellStyle name="Normal 50 3_a.Data" xfId="3412" xr:uid="{00000000-0005-0000-0000-0000070C0000}"/>
    <cellStyle name="Normal 50 4" xfId="3413" xr:uid="{00000000-0005-0000-0000-0000080C0000}"/>
    <cellStyle name="Normal 50_a.Data" xfId="3414" xr:uid="{00000000-0005-0000-0000-0000090C0000}"/>
    <cellStyle name="Normal 51" xfId="3415" xr:uid="{00000000-0005-0000-0000-00000A0C0000}"/>
    <cellStyle name="Normal 52" xfId="3416" xr:uid="{00000000-0005-0000-0000-00000B0C0000}"/>
    <cellStyle name="Normal 52 2" xfId="3417" xr:uid="{00000000-0005-0000-0000-00000C0C0000}"/>
    <cellStyle name="Normal 52 2 2" xfId="3418" xr:uid="{00000000-0005-0000-0000-00000D0C0000}"/>
    <cellStyle name="Normal 52 2 2 2" xfId="3419" xr:uid="{00000000-0005-0000-0000-00000E0C0000}"/>
    <cellStyle name="Normal 52 2 2_a.Data" xfId="3420" xr:uid="{00000000-0005-0000-0000-00000F0C0000}"/>
    <cellStyle name="Normal 52 2 3" xfId="3421" xr:uid="{00000000-0005-0000-0000-0000100C0000}"/>
    <cellStyle name="Normal 52 2_a.Data" xfId="3422" xr:uid="{00000000-0005-0000-0000-0000110C0000}"/>
    <cellStyle name="Normal 52 3" xfId="3423" xr:uid="{00000000-0005-0000-0000-0000120C0000}"/>
    <cellStyle name="Normal 52 3 2" xfId="3424" xr:uid="{00000000-0005-0000-0000-0000130C0000}"/>
    <cellStyle name="Normal 52 3_a.Data" xfId="3425" xr:uid="{00000000-0005-0000-0000-0000140C0000}"/>
    <cellStyle name="Normal 52 4" xfId="3426" xr:uid="{00000000-0005-0000-0000-0000150C0000}"/>
    <cellStyle name="Normal 52_a.Data" xfId="3427" xr:uid="{00000000-0005-0000-0000-0000160C0000}"/>
    <cellStyle name="Normal 53" xfId="3428" xr:uid="{00000000-0005-0000-0000-0000170C0000}"/>
    <cellStyle name="Normal 53 2" xfId="3429" xr:uid="{00000000-0005-0000-0000-0000180C0000}"/>
    <cellStyle name="Normal 53 2 2" xfId="3430" xr:uid="{00000000-0005-0000-0000-0000190C0000}"/>
    <cellStyle name="Normal 53 2 2 2" xfId="3431" xr:uid="{00000000-0005-0000-0000-00001A0C0000}"/>
    <cellStyle name="Normal 53 2 2_a.Data" xfId="3432" xr:uid="{00000000-0005-0000-0000-00001B0C0000}"/>
    <cellStyle name="Normal 53 2 3" xfId="3433" xr:uid="{00000000-0005-0000-0000-00001C0C0000}"/>
    <cellStyle name="Normal 53 2_a.Data" xfId="3434" xr:uid="{00000000-0005-0000-0000-00001D0C0000}"/>
    <cellStyle name="Normal 53 3" xfId="3435" xr:uid="{00000000-0005-0000-0000-00001E0C0000}"/>
    <cellStyle name="Normal 53 3 2" xfId="3436" xr:uid="{00000000-0005-0000-0000-00001F0C0000}"/>
    <cellStyle name="Normal 53 3_a.Data" xfId="3437" xr:uid="{00000000-0005-0000-0000-0000200C0000}"/>
    <cellStyle name="Normal 53 4" xfId="3438" xr:uid="{00000000-0005-0000-0000-0000210C0000}"/>
    <cellStyle name="Normal 53_a.Data" xfId="3439" xr:uid="{00000000-0005-0000-0000-0000220C0000}"/>
    <cellStyle name="Normal 54" xfId="3440" xr:uid="{00000000-0005-0000-0000-0000230C0000}"/>
    <cellStyle name="Normal 55" xfId="3441" xr:uid="{00000000-0005-0000-0000-0000240C0000}"/>
    <cellStyle name="Normal 55 2" xfId="3442" xr:uid="{00000000-0005-0000-0000-0000250C0000}"/>
    <cellStyle name="Normal 55 2 2" xfId="3443" xr:uid="{00000000-0005-0000-0000-0000260C0000}"/>
    <cellStyle name="Normal 55 2 2 2" xfId="3444" xr:uid="{00000000-0005-0000-0000-0000270C0000}"/>
    <cellStyle name="Normal 55 2 2_a.Data" xfId="3445" xr:uid="{00000000-0005-0000-0000-0000280C0000}"/>
    <cellStyle name="Normal 55 2 3" xfId="3446" xr:uid="{00000000-0005-0000-0000-0000290C0000}"/>
    <cellStyle name="Normal 55 2_a.Data" xfId="3447" xr:uid="{00000000-0005-0000-0000-00002A0C0000}"/>
    <cellStyle name="Normal 55 3" xfId="3448" xr:uid="{00000000-0005-0000-0000-00002B0C0000}"/>
    <cellStyle name="Normal 55 3 2" xfId="3449" xr:uid="{00000000-0005-0000-0000-00002C0C0000}"/>
    <cellStyle name="Normal 55 3_a.Data" xfId="3450" xr:uid="{00000000-0005-0000-0000-00002D0C0000}"/>
    <cellStyle name="Normal 55 4" xfId="3451" xr:uid="{00000000-0005-0000-0000-00002E0C0000}"/>
    <cellStyle name="Normal 55_a.Data" xfId="3452" xr:uid="{00000000-0005-0000-0000-00002F0C0000}"/>
    <cellStyle name="Normal 56" xfId="3453" xr:uid="{00000000-0005-0000-0000-0000300C0000}"/>
    <cellStyle name="Normal 56 2" xfId="3454" xr:uid="{00000000-0005-0000-0000-0000310C0000}"/>
    <cellStyle name="Normal 56 2 2" xfId="3455" xr:uid="{00000000-0005-0000-0000-0000320C0000}"/>
    <cellStyle name="Normal 56 2 2 2" xfId="3456" xr:uid="{00000000-0005-0000-0000-0000330C0000}"/>
    <cellStyle name="Normal 56 2 2_a.Data" xfId="3457" xr:uid="{00000000-0005-0000-0000-0000340C0000}"/>
    <cellStyle name="Normal 56 2 3" xfId="3458" xr:uid="{00000000-0005-0000-0000-0000350C0000}"/>
    <cellStyle name="Normal 56 2_a.Data" xfId="3459" xr:uid="{00000000-0005-0000-0000-0000360C0000}"/>
    <cellStyle name="Normal 56 3" xfId="3460" xr:uid="{00000000-0005-0000-0000-0000370C0000}"/>
    <cellStyle name="Normal 56 3 2" xfId="3461" xr:uid="{00000000-0005-0000-0000-0000380C0000}"/>
    <cellStyle name="Normal 56 3_a.Data" xfId="3462" xr:uid="{00000000-0005-0000-0000-0000390C0000}"/>
    <cellStyle name="Normal 56 4" xfId="3463" xr:uid="{00000000-0005-0000-0000-00003A0C0000}"/>
    <cellStyle name="Normal 56_a.Data" xfId="3464" xr:uid="{00000000-0005-0000-0000-00003B0C0000}"/>
    <cellStyle name="Normal 57" xfId="3465" xr:uid="{00000000-0005-0000-0000-00003C0C0000}"/>
    <cellStyle name="Normal 58" xfId="3466" xr:uid="{00000000-0005-0000-0000-00003D0C0000}"/>
    <cellStyle name="Normal 58 2" xfId="3467" xr:uid="{00000000-0005-0000-0000-00003E0C0000}"/>
    <cellStyle name="Normal 58 2 2" xfId="3468" xr:uid="{00000000-0005-0000-0000-00003F0C0000}"/>
    <cellStyle name="Normal 58 2 2 2" xfId="3469" xr:uid="{00000000-0005-0000-0000-0000400C0000}"/>
    <cellStyle name="Normal 58 2 2_a.Data" xfId="3470" xr:uid="{00000000-0005-0000-0000-0000410C0000}"/>
    <cellStyle name="Normal 58 2 3" xfId="3471" xr:uid="{00000000-0005-0000-0000-0000420C0000}"/>
    <cellStyle name="Normal 58 2_a.Data" xfId="3472" xr:uid="{00000000-0005-0000-0000-0000430C0000}"/>
    <cellStyle name="Normal 58 3" xfId="3473" xr:uid="{00000000-0005-0000-0000-0000440C0000}"/>
    <cellStyle name="Normal 58 3 2" xfId="3474" xr:uid="{00000000-0005-0000-0000-0000450C0000}"/>
    <cellStyle name="Normal 58 3_a.Data" xfId="3475" xr:uid="{00000000-0005-0000-0000-0000460C0000}"/>
    <cellStyle name="Normal 58 4" xfId="3476" xr:uid="{00000000-0005-0000-0000-0000470C0000}"/>
    <cellStyle name="Normal 58_a.Data" xfId="3477" xr:uid="{00000000-0005-0000-0000-0000480C0000}"/>
    <cellStyle name="Normal 59" xfId="3478" xr:uid="{00000000-0005-0000-0000-0000490C0000}"/>
    <cellStyle name="Normal 59 2" xfId="3479" xr:uid="{00000000-0005-0000-0000-00004A0C0000}"/>
    <cellStyle name="Normal 59 2 2" xfId="3480" xr:uid="{00000000-0005-0000-0000-00004B0C0000}"/>
    <cellStyle name="Normal 59 2 2 2" xfId="3481" xr:uid="{00000000-0005-0000-0000-00004C0C0000}"/>
    <cellStyle name="Normal 59 2 2_a.Data" xfId="3482" xr:uid="{00000000-0005-0000-0000-00004D0C0000}"/>
    <cellStyle name="Normal 59 2 3" xfId="3483" xr:uid="{00000000-0005-0000-0000-00004E0C0000}"/>
    <cellStyle name="Normal 59 2_a.Data" xfId="3484" xr:uid="{00000000-0005-0000-0000-00004F0C0000}"/>
    <cellStyle name="Normal 59 3" xfId="3485" xr:uid="{00000000-0005-0000-0000-0000500C0000}"/>
    <cellStyle name="Normal 59 3 2" xfId="3486" xr:uid="{00000000-0005-0000-0000-0000510C0000}"/>
    <cellStyle name="Normal 59 3_a.Data" xfId="3487" xr:uid="{00000000-0005-0000-0000-0000520C0000}"/>
    <cellStyle name="Normal 59 4" xfId="3488" xr:uid="{00000000-0005-0000-0000-0000530C0000}"/>
    <cellStyle name="Normal 59_a.Data" xfId="3489" xr:uid="{00000000-0005-0000-0000-0000540C0000}"/>
    <cellStyle name="Normal 6" xfId="191" xr:uid="{00000000-0005-0000-0000-0000550C0000}"/>
    <cellStyle name="Normal 6 2" xfId="718" xr:uid="{00000000-0005-0000-0000-0000560C0000}"/>
    <cellStyle name="Normal 6 2 2" xfId="719" xr:uid="{00000000-0005-0000-0000-0000570C0000}"/>
    <cellStyle name="Normal 6 2 3" xfId="720" xr:uid="{00000000-0005-0000-0000-0000580C0000}"/>
    <cellStyle name="Normal 6 2_Data for charts" xfId="3490" xr:uid="{00000000-0005-0000-0000-0000590C0000}"/>
    <cellStyle name="Normal 6 3" xfId="721" xr:uid="{00000000-0005-0000-0000-00005A0C0000}"/>
    <cellStyle name="Normal 6 4" xfId="722" xr:uid="{00000000-0005-0000-0000-00005B0C0000}"/>
    <cellStyle name="Normal 6 5" xfId="723" xr:uid="{00000000-0005-0000-0000-00005C0C0000}"/>
    <cellStyle name="Normal 6 6" xfId="724" xr:uid="{00000000-0005-0000-0000-00005D0C0000}"/>
    <cellStyle name="Normal 6 7" xfId="717" xr:uid="{00000000-0005-0000-0000-00005E0C0000}"/>
    <cellStyle name="Normal 6_April 17_Updated labor demand figures May 12 workshop" xfId="725" xr:uid="{00000000-0005-0000-0000-00005F0C0000}"/>
    <cellStyle name="Normal 60" xfId="3491" xr:uid="{00000000-0005-0000-0000-0000600C0000}"/>
    <cellStyle name="Normal 61" xfId="3492" xr:uid="{00000000-0005-0000-0000-0000610C0000}"/>
    <cellStyle name="Normal 61 2" xfId="3493" xr:uid="{00000000-0005-0000-0000-0000620C0000}"/>
    <cellStyle name="Normal 61 2 2" xfId="3494" xr:uid="{00000000-0005-0000-0000-0000630C0000}"/>
    <cellStyle name="Normal 61 2 2 2" xfId="3495" xr:uid="{00000000-0005-0000-0000-0000640C0000}"/>
    <cellStyle name="Normal 61 2 2_a.Data" xfId="3496" xr:uid="{00000000-0005-0000-0000-0000650C0000}"/>
    <cellStyle name="Normal 61 2 3" xfId="3497" xr:uid="{00000000-0005-0000-0000-0000660C0000}"/>
    <cellStyle name="Normal 61 2_a.Data" xfId="3498" xr:uid="{00000000-0005-0000-0000-0000670C0000}"/>
    <cellStyle name="Normal 61 3" xfId="3499" xr:uid="{00000000-0005-0000-0000-0000680C0000}"/>
    <cellStyle name="Normal 61 3 2" xfId="3500" xr:uid="{00000000-0005-0000-0000-0000690C0000}"/>
    <cellStyle name="Normal 61 3_a.Data" xfId="3501" xr:uid="{00000000-0005-0000-0000-00006A0C0000}"/>
    <cellStyle name="Normal 61 4" xfId="3502" xr:uid="{00000000-0005-0000-0000-00006B0C0000}"/>
    <cellStyle name="Normal 61_a.Data" xfId="3503" xr:uid="{00000000-0005-0000-0000-00006C0C0000}"/>
    <cellStyle name="Normal 62" xfId="3504" xr:uid="{00000000-0005-0000-0000-00006D0C0000}"/>
    <cellStyle name="Normal 62 2" xfId="3505" xr:uid="{00000000-0005-0000-0000-00006E0C0000}"/>
    <cellStyle name="Normal 62 2 2" xfId="3506" xr:uid="{00000000-0005-0000-0000-00006F0C0000}"/>
    <cellStyle name="Normal 62 2 2 2" xfId="3507" xr:uid="{00000000-0005-0000-0000-0000700C0000}"/>
    <cellStyle name="Normal 62 2 2_a.Data" xfId="3508" xr:uid="{00000000-0005-0000-0000-0000710C0000}"/>
    <cellStyle name="Normal 62 2 3" xfId="3509" xr:uid="{00000000-0005-0000-0000-0000720C0000}"/>
    <cellStyle name="Normal 62 2_a.Data" xfId="3510" xr:uid="{00000000-0005-0000-0000-0000730C0000}"/>
    <cellStyle name="Normal 62 3" xfId="3511" xr:uid="{00000000-0005-0000-0000-0000740C0000}"/>
    <cellStyle name="Normal 62 3 2" xfId="3512" xr:uid="{00000000-0005-0000-0000-0000750C0000}"/>
    <cellStyle name="Normal 62 3_a.Data" xfId="3513" xr:uid="{00000000-0005-0000-0000-0000760C0000}"/>
    <cellStyle name="Normal 62 4" xfId="3514" xr:uid="{00000000-0005-0000-0000-0000770C0000}"/>
    <cellStyle name="Normal 62_a.Data" xfId="3515" xr:uid="{00000000-0005-0000-0000-0000780C0000}"/>
    <cellStyle name="Normal 63" xfId="3516" xr:uid="{00000000-0005-0000-0000-0000790C0000}"/>
    <cellStyle name="Normal 64" xfId="3517" xr:uid="{00000000-0005-0000-0000-00007A0C0000}"/>
    <cellStyle name="Normal 64 2" xfId="3518" xr:uid="{00000000-0005-0000-0000-00007B0C0000}"/>
    <cellStyle name="Normal 64 2 2" xfId="3519" xr:uid="{00000000-0005-0000-0000-00007C0C0000}"/>
    <cellStyle name="Normal 64 2 2 2" xfId="3520" xr:uid="{00000000-0005-0000-0000-00007D0C0000}"/>
    <cellStyle name="Normal 64 2 2_a.Data" xfId="3521" xr:uid="{00000000-0005-0000-0000-00007E0C0000}"/>
    <cellStyle name="Normal 64 2 3" xfId="3522" xr:uid="{00000000-0005-0000-0000-00007F0C0000}"/>
    <cellStyle name="Normal 64 2_a.Data" xfId="3523" xr:uid="{00000000-0005-0000-0000-0000800C0000}"/>
    <cellStyle name="Normal 64 3" xfId="3524" xr:uid="{00000000-0005-0000-0000-0000810C0000}"/>
    <cellStyle name="Normal 64 3 2" xfId="3525" xr:uid="{00000000-0005-0000-0000-0000820C0000}"/>
    <cellStyle name="Normal 64 3_a.Data" xfId="3526" xr:uid="{00000000-0005-0000-0000-0000830C0000}"/>
    <cellStyle name="Normal 64 4" xfId="3527" xr:uid="{00000000-0005-0000-0000-0000840C0000}"/>
    <cellStyle name="Normal 64_a.Data" xfId="3528" xr:uid="{00000000-0005-0000-0000-0000850C0000}"/>
    <cellStyle name="Normal 65" xfId="3529" xr:uid="{00000000-0005-0000-0000-0000860C0000}"/>
    <cellStyle name="Normal 65 2" xfId="3530" xr:uid="{00000000-0005-0000-0000-0000870C0000}"/>
    <cellStyle name="Normal 65 2 2" xfId="3531" xr:uid="{00000000-0005-0000-0000-0000880C0000}"/>
    <cellStyle name="Normal 65 2 2 2" xfId="3532" xr:uid="{00000000-0005-0000-0000-0000890C0000}"/>
    <cellStyle name="Normal 65 2 2_a.Data" xfId="3533" xr:uid="{00000000-0005-0000-0000-00008A0C0000}"/>
    <cellStyle name="Normal 65 2 3" xfId="3534" xr:uid="{00000000-0005-0000-0000-00008B0C0000}"/>
    <cellStyle name="Normal 65 2_a.Data" xfId="3535" xr:uid="{00000000-0005-0000-0000-00008C0C0000}"/>
    <cellStyle name="Normal 65 3" xfId="3536" xr:uid="{00000000-0005-0000-0000-00008D0C0000}"/>
    <cellStyle name="Normal 65 3 2" xfId="3537" xr:uid="{00000000-0005-0000-0000-00008E0C0000}"/>
    <cellStyle name="Normal 65 3_a.Data" xfId="3538" xr:uid="{00000000-0005-0000-0000-00008F0C0000}"/>
    <cellStyle name="Normal 65 4" xfId="3539" xr:uid="{00000000-0005-0000-0000-0000900C0000}"/>
    <cellStyle name="Normal 65_a.Data" xfId="3540" xr:uid="{00000000-0005-0000-0000-0000910C0000}"/>
    <cellStyle name="Normal 66" xfId="3541" xr:uid="{00000000-0005-0000-0000-0000920C0000}"/>
    <cellStyle name="Normal 67" xfId="3542" xr:uid="{00000000-0005-0000-0000-0000930C0000}"/>
    <cellStyle name="Normal 67 2" xfId="3543" xr:uid="{00000000-0005-0000-0000-0000940C0000}"/>
    <cellStyle name="Normal 67 2 2" xfId="3544" xr:uid="{00000000-0005-0000-0000-0000950C0000}"/>
    <cellStyle name="Normal 67 2 2 2" xfId="3545" xr:uid="{00000000-0005-0000-0000-0000960C0000}"/>
    <cellStyle name="Normal 67 2 2_a.Data" xfId="3546" xr:uid="{00000000-0005-0000-0000-0000970C0000}"/>
    <cellStyle name="Normal 67 2 3" xfId="3547" xr:uid="{00000000-0005-0000-0000-0000980C0000}"/>
    <cellStyle name="Normal 67 2_a.Data" xfId="3548" xr:uid="{00000000-0005-0000-0000-0000990C0000}"/>
    <cellStyle name="Normal 67 3" xfId="3549" xr:uid="{00000000-0005-0000-0000-00009A0C0000}"/>
    <cellStyle name="Normal 67 3 2" xfId="3550" xr:uid="{00000000-0005-0000-0000-00009B0C0000}"/>
    <cellStyle name="Normal 67 3_a.Data" xfId="3551" xr:uid="{00000000-0005-0000-0000-00009C0C0000}"/>
    <cellStyle name="Normal 67 4" xfId="3552" xr:uid="{00000000-0005-0000-0000-00009D0C0000}"/>
    <cellStyle name="Normal 67_a.Data" xfId="3553" xr:uid="{00000000-0005-0000-0000-00009E0C0000}"/>
    <cellStyle name="Normal 68" xfId="3554" xr:uid="{00000000-0005-0000-0000-00009F0C0000}"/>
    <cellStyle name="Normal 68 2" xfId="3555" xr:uid="{00000000-0005-0000-0000-0000A00C0000}"/>
    <cellStyle name="Normal 68 2 2" xfId="3556" xr:uid="{00000000-0005-0000-0000-0000A10C0000}"/>
    <cellStyle name="Normal 68 2 2 2" xfId="3557" xr:uid="{00000000-0005-0000-0000-0000A20C0000}"/>
    <cellStyle name="Normal 68 2 2_a.Data" xfId="3558" xr:uid="{00000000-0005-0000-0000-0000A30C0000}"/>
    <cellStyle name="Normal 68 2 3" xfId="3559" xr:uid="{00000000-0005-0000-0000-0000A40C0000}"/>
    <cellStyle name="Normal 68 2_a.Data" xfId="3560" xr:uid="{00000000-0005-0000-0000-0000A50C0000}"/>
    <cellStyle name="Normal 68 3" xfId="3561" xr:uid="{00000000-0005-0000-0000-0000A60C0000}"/>
    <cellStyle name="Normal 68 3 2" xfId="3562" xr:uid="{00000000-0005-0000-0000-0000A70C0000}"/>
    <cellStyle name="Normal 68 3_a.Data" xfId="3563" xr:uid="{00000000-0005-0000-0000-0000A80C0000}"/>
    <cellStyle name="Normal 68 4" xfId="3564" xr:uid="{00000000-0005-0000-0000-0000A90C0000}"/>
    <cellStyle name="Normal 68_a.Data" xfId="3565" xr:uid="{00000000-0005-0000-0000-0000AA0C0000}"/>
    <cellStyle name="Normal 69" xfId="3566" xr:uid="{00000000-0005-0000-0000-0000AB0C0000}"/>
    <cellStyle name="Normal 7" xfId="192" xr:uid="{00000000-0005-0000-0000-0000AC0C0000}"/>
    <cellStyle name="Normal 7 2" xfId="726" xr:uid="{00000000-0005-0000-0000-0000AD0C0000}"/>
    <cellStyle name="Normal 7 3" xfId="3568" xr:uid="{00000000-0005-0000-0000-0000AE0C0000}"/>
    <cellStyle name="Normal 7_Data for charts" xfId="3567" xr:uid="{00000000-0005-0000-0000-0000AF0C0000}"/>
    <cellStyle name="Normal 70" xfId="3569" xr:uid="{00000000-0005-0000-0000-0000B00C0000}"/>
    <cellStyle name="Normal 70 2" xfId="3570" xr:uid="{00000000-0005-0000-0000-0000B10C0000}"/>
    <cellStyle name="Normal 70 2 2" xfId="3571" xr:uid="{00000000-0005-0000-0000-0000B20C0000}"/>
    <cellStyle name="Normal 70 2 2 2" xfId="3572" xr:uid="{00000000-0005-0000-0000-0000B30C0000}"/>
    <cellStyle name="Normal 70 2 2_a.Data" xfId="3573" xr:uid="{00000000-0005-0000-0000-0000B40C0000}"/>
    <cellStyle name="Normal 70 2 3" xfId="3574" xr:uid="{00000000-0005-0000-0000-0000B50C0000}"/>
    <cellStyle name="Normal 70 2_a.Data" xfId="3575" xr:uid="{00000000-0005-0000-0000-0000B60C0000}"/>
    <cellStyle name="Normal 70 3" xfId="3576" xr:uid="{00000000-0005-0000-0000-0000B70C0000}"/>
    <cellStyle name="Normal 70 3 2" xfId="3577" xr:uid="{00000000-0005-0000-0000-0000B80C0000}"/>
    <cellStyle name="Normal 70 3_a.Data" xfId="3578" xr:uid="{00000000-0005-0000-0000-0000B90C0000}"/>
    <cellStyle name="Normal 70 4" xfId="3579" xr:uid="{00000000-0005-0000-0000-0000BA0C0000}"/>
    <cellStyle name="Normal 70_a.Data" xfId="3580" xr:uid="{00000000-0005-0000-0000-0000BB0C0000}"/>
    <cellStyle name="Normal 71" xfId="3581" xr:uid="{00000000-0005-0000-0000-0000BC0C0000}"/>
    <cellStyle name="Normal 71 2" xfId="3582" xr:uid="{00000000-0005-0000-0000-0000BD0C0000}"/>
    <cellStyle name="Normal 71 2 2" xfId="3583" xr:uid="{00000000-0005-0000-0000-0000BE0C0000}"/>
    <cellStyle name="Normal 71 2 2 2" xfId="3584" xr:uid="{00000000-0005-0000-0000-0000BF0C0000}"/>
    <cellStyle name="Normal 71 2 2_a.Data" xfId="3585" xr:uid="{00000000-0005-0000-0000-0000C00C0000}"/>
    <cellStyle name="Normal 71 2 3" xfId="3586" xr:uid="{00000000-0005-0000-0000-0000C10C0000}"/>
    <cellStyle name="Normal 71 2_a.Data" xfId="3587" xr:uid="{00000000-0005-0000-0000-0000C20C0000}"/>
    <cellStyle name="Normal 71 3" xfId="3588" xr:uid="{00000000-0005-0000-0000-0000C30C0000}"/>
    <cellStyle name="Normal 71 3 2" xfId="3589" xr:uid="{00000000-0005-0000-0000-0000C40C0000}"/>
    <cellStyle name="Normal 71 3_a.Data" xfId="3590" xr:uid="{00000000-0005-0000-0000-0000C50C0000}"/>
    <cellStyle name="Normal 71 4" xfId="3591" xr:uid="{00000000-0005-0000-0000-0000C60C0000}"/>
    <cellStyle name="Normal 71_a.Data" xfId="3592" xr:uid="{00000000-0005-0000-0000-0000C70C0000}"/>
    <cellStyle name="Normal 72" xfId="3593" xr:uid="{00000000-0005-0000-0000-0000C80C0000}"/>
    <cellStyle name="Normal 73" xfId="3594" xr:uid="{00000000-0005-0000-0000-0000C90C0000}"/>
    <cellStyle name="Normal 73 2" xfId="3595" xr:uid="{00000000-0005-0000-0000-0000CA0C0000}"/>
    <cellStyle name="Normal 73 2 2" xfId="3596" xr:uid="{00000000-0005-0000-0000-0000CB0C0000}"/>
    <cellStyle name="Normal 73 2 2 2" xfId="3597" xr:uid="{00000000-0005-0000-0000-0000CC0C0000}"/>
    <cellStyle name="Normal 73 2 2_a.Data" xfId="3598" xr:uid="{00000000-0005-0000-0000-0000CD0C0000}"/>
    <cellStyle name="Normal 73 2 3" xfId="3599" xr:uid="{00000000-0005-0000-0000-0000CE0C0000}"/>
    <cellStyle name="Normal 73 2_a.Data" xfId="3600" xr:uid="{00000000-0005-0000-0000-0000CF0C0000}"/>
    <cellStyle name="Normal 73 3" xfId="3601" xr:uid="{00000000-0005-0000-0000-0000D00C0000}"/>
    <cellStyle name="Normal 73 3 2" xfId="3602" xr:uid="{00000000-0005-0000-0000-0000D10C0000}"/>
    <cellStyle name="Normal 73 3_a.Data" xfId="3603" xr:uid="{00000000-0005-0000-0000-0000D20C0000}"/>
    <cellStyle name="Normal 73 4" xfId="3604" xr:uid="{00000000-0005-0000-0000-0000D30C0000}"/>
    <cellStyle name="Normal 73_a.Data" xfId="3605" xr:uid="{00000000-0005-0000-0000-0000D40C0000}"/>
    <cellStyle name="Normal 74" xfId="3606" xr:uid="{00000000-0005-0000-0000-0000D50C0000}"/>
    <cellStyle name="Normal 74 2" xfId="3607" xr:uid="{00000000-0005-0000-0000-0000D60C0000}"/>
    <cellStyle name="Normal 74 2 2" xfId="3608" xr:uid="{00000000-0005-0000-0000-0000D70C0000}"/>
    <cellStyle name="Normal 74 2 2 2" xfId="3609" xr:uid="{00000000-0005-0000-0000-0000D80C0000}"/>
    <cellStyle name="Normal 74 2 2_a.Data" xfId="3610" xr:uid="{00000000-0005-0000-0000-0000D90C0000}"/>
    <cellStyle name="Normal 74 2 3" xfId="3611" xr:uid="{00000000-0005-0000-0000-0000DA0C0000}"/>
    <cellStyle name="Normal 74 2_a.Data" xfId="3612" xr:uid="{00000000-0005-0000-0000-0000DB0C0000}"/>
    <cellStyle name="Normal 74 3" xfId="3613" xr:uid="{00000000-0005-0000-0000-0000DC0C0000}"/>
    <cellStyle name="Normal 74 3 2" xfId="3614" xr:uid="{00000000-0005-0000-0000-0000DD0C0000}"/>
    <cellStyle name="Normal 74 3_a.Data" xfId="3615" xr:uid="{00000000-0005-0000-0000-0000DE0C0000}"/>
    <cellStyle name="Normal 74 4" xfId="3616" xr:uid="{00000000-0005-0000-0000-0000DF0C0000}"/>
    <cellStyle name="Normal 74_a.Data" xfId="3617" xr:uid="{00000000-0005-0000-0000-0000E00C0000}"/>
    <cellStyle name="Normal 75" xfId="3618" xr:uid="{00000000-0005-0000-0000-0000E10C0000}"/>
    <cellStyle name="Normal 76" xfId="3619" xr:uid="{00000000-0005-0000-0000-0000E20C0000}"/>
    <cellStyle name="Normal 76 2" xfId="3620" xr:uid="{00000000-0005-0000-0000-0000E30C0000}"/>
    <cellStyle name="Normal 76 2 2" xfId="3621" xr:uid="{00000000-0005-0000-0000-0000E40C0000}"/>
    <cellStyle name="Normal 76 2 2 2" xfId="3622" xr:uid="{00000000-0005-0000-0000-0000E50C0000}"/>
    <cellStyle name="Normal 76 2 2_a.Data" xfId="3623" xr:uid="{00000000-0005-0000-0000-0000E60C0000}"/>
    <cellStyle name="Normal 76 2 3" xfId="3624" xr:uid="{00000000-0005-0000-0000-0000E70C0000}"/>
    <cellStyle name="Normal 76 2_a.Data" xfId="3625" xr:uid="{00000000-0005-0000-0000-0000E80C0000}"/>
    <cellStyle name="Normal 76 3" xfId="3626" xr:uid="{00000000-0005-0000-0000-0000E90C0000}"/>
    <cellStyle name="Normal 76 3 2" xfId="3627" xr:uid="{00000000-0005-0000-0000-0000EA0C0000}"/>
    <cellStyle name="Normal 76 3_a.Data" xfId="3628" xr:uid="{00000000-0005-0000-0000-0000EB0C0000}"/>
    <cellStyle name="Normal 76 4" xfId="3629" xr:uid="{00000000-0005-0000-0000-0000EC0C0000}"/>
    <cellStyle name="Normal 76_a.Data" xfId="3630" xr:uid="{00000000-0005-0000-0000-0000ED0C0000}"/>
    <cellStyle name="Normal 77" xfId="3631" xr:uid="{00000000-0005-0000-0000-0000EE0C0000}"/>
    <cellStyle name="Normal 77 2" xfId="3632" xr:uid="{00000000-0005-0000-0000-0000EF0C0000}"/>
    <cellStyle name="Normal 77 2 2" xfId="3633" xr:uid="{00000000-0005-0000-0000-0000F00C0000}"/>
    <cellStyle name="Normal 77 2 2 2" xfId="3634" xr:uid="{00000000-0005-0000-0000-0000F10C0000}"/>
    <cellStyle name="Normal 77 2 2_a.Data" xfId="3635" xr:uid="{00000000-0005-0000-0000-0000F20C0000}"/>
    <cellStyle name="Normal 77 2 3" xfId="3636" xr:uid="{00000000-0005-0000-0000-0000F30C0000}"/>
    <cellStyle name="Normal 77 2_a.Data" xfId="3637" xr:uid="{00000000-0005-0000-0000-0000F40C0000}"/>
    <cellStyle name="Normal 77 3" xfId="3638" xr:uid="{00000000-0005-0000-0000-0000F50C0000}"/>
    <cellStyle name="Normal 77 3 2" xfId="3639" xr:uid="{00000000-0005-0000-0000-0000F60C0000}"/>
    <cellStyle name="Normal 77 3_a.Data" xfId="3640" xr:uid="{00000000-0005-0000-0000-0000F70C0000}"/>
    <cellStyle name="Normal 77 4" xfId="3641" xr:uid="{00000000-0005-0000-0000-0000F80C0000}"/>
    <cellStyle name="Normal 77_a.Data" xfId="3642" xr:uid="{00000000-0005-0000-0000-0000F90C0000}"/>
    <cellStyle name="Normal 78" xfId="3643" xr:uid="{00000000-0005-0000-0000-0000FA0C0000}"/>
    <cellStyle name="Normal 79" xfId="3644" xr:uid="{00000000-0005-0000-0000-0000FB0C0000}"/>
    <cellStyle name="Normal 79 2" xfId="3645" xr:uid="{00000000-0005-0000-0000-0000FC0C0000}"/>
    <cellStyle name="Normal 79 2 2" xfId="3646" xr:uid="{00000000-0005-0000-0000-0000FD0C0000}"/>
    <cellStyle name="Normal 79 2 2 2" xfId="3647" xr:uid="{00000000-0005-0000-0000-0000FE0C0000}"/>
    <cellStyle name="Normal 79 2 2_a.Data" xfId="3648" xr:uid="{00000000-0005-0000-0000-0000FF0C0000}"/>
    <cellStyle name="Normal 79 2 3" xfId="3649" xr:uid="{00000000-0005-0000-0000-0000000D0000}"/>
    <cellStyle name="Normal 79 2_a.Data" xfId="3650" xr:uid="{00000000-0005-0000-0000-0000010D0000}"/>
    <cellStyle name="Normal 79 3" xfId="3651" xr:uid="{00000000-0005-0000-0000-0000020D0000}"/>
    <cellStyle name="Normal 79 3 2" xfId="3652" xr:uid="{00000000-0005-0000-0000-0000030D0000}"/>
    <cellStyle name="Normal 79 3_a.Data" xfId="3653" xr:uid="{00000000-0005-0000-0000-0000040D0000}"/>
    <cellStyle name="Normal 79 4" xfId="3654" xr:uid="{00000000-0005-0000-0000-0000050D0000}"/>
    <cellStyle name="Normal 79_a.Data" xfId="3655" xr:uid="{00000000-0005-0000-0000-0000060D0000}"/>
    <cellStyle name="Normal 8" xfId="193" xr:uid="{00000000-0005-0000-0000-0000070D0000}"/>
    <cellStyle name="Normal 8 2" xfId="727" xr:uid="{00000000-0005-0000-0000-0000080D0000}"/>
    <cellStyle name="Normal 8 3" xfId="3657" xr:uid="{00000000-0005-0000-0000-0000090D0000}"/>
    <cellStyle name="Normal 8_Data for charts" xfId="3656" xr:uid="{00000000-0005-0000-0000-00000A0D0000}"/>
    <cellStyle name="Normal 80" xfId="3658" xr:uid="{00000000-0005-0000-0000-00000B0D0000}"/>
    <cellStyle name="Normal 80 2" xfId="3659" xr:uid="{00000000-0005-0000-0000-00000C0D0000}"/>
    <cellStyle name="Normal 80 2 2" xfId="3660" xr:uid="{00000000-0005-0000-0000-00000D0D0000}"/>
    <cellStyle name="Normal 80 2 2 2" xfId="3661" xr:uid="{00000000-0005-0000-0000-00000E0D0000}"/>
    <cellStyle name="Normal 80 2 2_a.Data" xfId="3662" xr:uid="{00000000-0005-0000-0000-00000F0D0000}"/>
    <cellStyle name="Normal 80 2 3" xfId="3663" xr:uid="{00000000-0005-0000-0000-0000100D0000}"/>
    <cellStyle name="Normal 80 2_a.Data" xfId="3664" xr:uid="{00000000-0005-0000-0000-0000110D0000}"/>
    <cellStyle name="Normal 80 3" xfId="3665" xr:uid="{00000000-0005-0000-0000-0000120D0000}"/>
    <cellStyle name="Normal 80 3 2" xfId="3666" xr:uid="{00000000-0005-0000-0000-0000130D0000}"/>
    <cellStyle name="Normal 80 3_a.Data" xfId="3667" xr:uid="{00000000-0005-0000-0000-0000140D0000}"/>
    <cellStyle name="Normal 80 4" xfId="3668" xr:uid="{00000000-0005-0000-0000-0000150D0000}"/>
    <cellStyle name="Normal 80_a.Data" xfId="3669" xr:uid="{00000000-0005-0000-0000-0000160D0000}"/>
    <cellStyle name="Normal 81" xfId="3670" xr:uid="{00000000-0005-0000-0000-0000170D0000}"/>
    <cellStyle name="Normal 82" xfId="3671" xr:uid="{00000000-0005-0000-0000-0000180D0000}"/>
    <cellStyle name="Normal 82 2" xfId="3672" xr:uid="{00000000-0005-0000-0000-0000190D0000}"/>
    <cellStyle name="Normal 82 2 2" xfId="3673" xr:uid="{00000000-0005-0000-0000-00001A0D0000}"/>
    <cellStyle name="Normal 82 2 2 2" xfId="3674" xr:uid="{00000000-0005-0000-0000-00001B0D0000}"/>
    <cellStyle name="Normal 82 2 2_a.Data" xfId="3675" xr:uid="{00000000-0005-0000-0000-00001C0D0000}"/>
    <cellStyle name="Normal 82 2 3" xfId="3676" xr:uid="{00000000-0005-0000-0000-00001D0D0000}"/>
    <cellStyle name="Normal 82 2_a.Data" xfId="3677" xr:uid="{00000000-0005-0000-0000-00001E0D0000}"/>
    <cellStyle name="Normal 82 3" xfId="3678" xr:uid="{00000000-0005-0000-0000-00001F0D0000}"/>
    <cellStyle name="Normal 82 3 2" xfId="3679" xr:uid="{00000000-0005-0000-0000-0000200D0000}"/>
    <cellStyle name="Normal 82 3_a.Data" xfId="3680" xr:uid="{00000000-0005-0000-0000-0000210D0000}"/>
    <cellStyle name="Normal 82 4" xfId="3681" xr:uid="{00000000-0005-0000-0000-0000220D0000}"/>
    <cellStyle name="Normal 82_a.Data" xfId="3682" xr:uid="{00000000-0005-0000-0000-0000230D0000}"/>
    <cellStyle name="Normal 83" xfId="3683" xr:uid="{00000000-0005-0000-0000-0000240D0000}"/>
    <cellStyle name="Normal 83 2" xfId="3684" xr:uid="{00000000-0005-0000-0000-0000250D0000}"/>
    <cellStyle name="Normal 83 2 2" xfId="3685" xr:uid="{00000000-0005-0000-0000-0000260D0000}"/>
    <cellStyle name="Normal 83 2 2 2" xfId="3686" xr:uid="{00000000-0005-0000-0000-0000270D0000}"/>
    <cellStyle name="Normal 83 2 2_a.Data" xfId="3687" xr:uid="{00000000-0005-0000-0000-0000280D0000}"/>
    <cellStyle name="Normal 83 2 3" xfId="3688" xr:uid="{00000000-0005-0000-0000-0000290D0000}"/>
    <cellStyle name="Normal 83 2_a.Data" xfId="3689" xr:uid="{00000000-0005-0000-0000-00002A0D0000}"/>
    <cellStyle name="Normal 83 3" xfId="3690" xr:uid="{00000000-0005-0000-0000-00002B0D0000}"/>
    <cellStyle name="Normal 83 3 2" xfId="3691" xr:uid="{00000000-0005-0000-0000-00002C0D0000}"/>
    <cellStyle name="Normal 83 3_a.Data" xfId="3692" xr:uid="{00000000-0005-0000-0000-00002D0D0000}"/>
    <cellStyle name="Normal 83 4" xfId="3693" xr:uid="{00000000-0005-0000-0000-00002E0D0000}"/>
    <cellStyle name="Normal 83_a.Data" xfId="3694" xr:uid="{00000000-0005-0000-0000-00002F0D0000}"/>
    <cellStyle name="Normal 84" xfId="3695" xr:uid="{00000000-0005-0000-0000-0000300D0000}"/>
    <cellStyle name="Normal 85" xfId="3696" xr:uid="{00000000-0005-0000-0000-0000310D0000}"/>
    <cellStyle name="Normal 85 2" xfId="3697" xr:uid="{00000000-0005-0000-0000-0000320D0000}"/>
    <cellStyle name="Normal 85 2 2" xfId="3698" xr:uid="{00000000-0005-0000-0000-0000330D0000}"/>
    <cellStyle name="Normal 85 2 2 2" xfId="3699" xr:uid="{00000000-0005-0000-0000-0000340D0000}"/>
    <cellStyle name="Normal 85 2 2_a.Data" xfId="3700" xr:uid="{00000000-0005-0000-0000-0000350D0000}"/>
    <cellStyle name="Normal 85 2 3" xfId="3701" xr:uid="{00000000-0005-0000-0000-0000360D0000}"/>
    <cellStyle name="Normal 85 2_a.Data" xfId="3702" xr:uid="{00000000-0005-0000-0000-0000370D0000}"/>
    <cellStyle name="Normal 85 3" xfId="3703" xr:uid="{00000000-0005-0000-0000-0000380D0000}"/>
    <cellStyle name="Normal 85 3 2" xfId="3704" xr:uid="{00000000-0005-0000-0000-0000390D0000}"/>
    <cellStyle name="Normal 85 3_a.Data" xfId="3705" xr:uid="{00000000-0005-0000-0000-00003A0D0000}"/>
    <cellStyle name="Normal 85 4" xfId="3706" xr:uid="{00000000-0005-0000-0000-00003B0D0000}"/>
    <cellStyle name="Normal 85_a.Data" xfId="3707" xr:uid="{00000000-0005-0000-0000-00003C0D0000}"/>
    <cellStyle name="Normal 86" xfId="3708" xr:uid="{00000000-0005-0000-0000-00003D0D0000}"/>
    <cellStyle name="Normal 86 2" xfId="3709" xr:uid="{00000000-0005-0000-0000-00003E0D0000}"/>
    <cellStyle name="Normal 86 2 2" xfId="3710" xr:uid="{00000000-0005-0000-0000-00003F0D0000}"/>
    <cellStyle name="Normal 86 2 2 2" xfId="3711" xr:uid="{00000000-0005-0000-0000-0000400D0000}"/>
    <cellStyle name="Normal 86 2 2_a.Data" xfId="3712" xr:uid="{00000000-0005-0000-0000-0000410D0000}"/>
    <cellStyle name="Normal 86 2 3" xfId="3713" xr:uid="{00000000-0005-0000-0000-0000420D0000}"/>
    <cellStyle name="Normal 86 2_a.Data" xfId="3714" xr:uid="{00000000-0005-0000-0000-0000430D0000}"/>
    <cellStyle name="Normal 86 3" xfId="3715" xr:uid="{00000000-0005-0000-0000-0000440D0000}"/>
    <cellStyle name="Normal 86 3 2" xfId="3716" xr:uid="{00000000-0005-0000-0000-0000450D0000}"/>
    <cellStyle name="Normal 86 3_a.Data" xfId="3717" xr:uid="{00000000-0005-0000-0000-0000460D0000}"/>
    <cellStyle name="Normal 86 4" xfId="3718" xr:uid="{00000000-0005-0000-0000-0000470D0000}"/>
    <cellStyle name="Normal 86_a.Data" xfId="3719" xr:uid="{00000000-0005-0000-0000-0000480D0000}"/>
    <cellStyle name="Normal 87" xfId="3720" xr:uid="{00000000-0005-0000-0000-0000490D0000}"/>
    <cellStyle name="Normal 88" xfId="3721" xr:uid="{00000000-0005-0000-0000-00004A0D0000}"/>
    <cellStyle name="Normal 88 2" xfId="3722" xr:uid="{00000000-0005-0000-0000-00004B0D0000}"/>
    <cellStyle name="Normal 88 2 2" xfId="3723" xr:uid="{00000000-0005-0000-0000-00004C0D0000}"/>
    <cellStyle name="Normal 88 2 2 2" xfId="3724" xr:uid="{00000000-0005-0000-0000-00004D0D0000}"/>
    <cellStyle name="Normal 88 2 2_a.Data" xfId="3725" xr:uid="{00000000-0005-0000-0000-00004E0D0000}"/>
    <cellStyle name="Normal 88 2 3" xfId="3726" xr:uid="{00000000-0005-0000-0000-00004F0D0000}"/>
    <cellStyle name="Normal 88 2_a.Data" xfId="3727" xr:uid="{00000000-0005-0000-0000-0000500D0000}"/>
    <cellStyle name="Normal 88 3" xfId="3728" xr:uid="{00000000-0005-0000-0000-0000510D0000}"/>
    <cellStyle name="Normal 88 3 2" xfId="3729" xr:uid="{00000000-0005-0000-0000-0000520D0000}"/>
    <cellStyle name="Normal 88 3_a.Data" xfId="3730" xr:uid="{00000000-0005-0000-0000-0000530D0000}"/>
    <cellStyle name="Normal 88 4" xfId="3731" xr:uid="{00000000-0005-0000-0000-0000540D0000}"/>
    <cellStyle name="Normal 88_a.Data" xfId="3732" xr:uid="{00000000-0005-0000-0000-0000550D0000}"/>
    <cellStyle name="Normal 89" xfId="3733" xr:uid="{00000000-0005-0000-0000-0000560D0000}"/>
    <cellStyle name="Normal 89 2" xfId="3734" xr:uid="{00000000-0005-0000-0000-0000570D0000}"/>
    <cellStyle name="Normal 89 2 2" xfId="3735" xr:uid="{00000000-0005-0000-0000-0000580D0000}"/>
    <cellStyle name="Normal 89 2 2 2" xfId="3736" xr:uid="{00000000-0005-0000-0000-0000590D0000}"/>
    <cellStyle name="Normal 89 2 2_a.Data" xfId="3737" xr:uid="{00000000-0005-0000-0000-00005A0D0000}"/>
    <cellStyle name="Normal 89 2 3" xfId="3738" xr:uid="{00000000-0005-0000-0000-00005B0D0000}"/>
    <cellStyle name="Normal 89 2_a.Data" xfId="3739" xr:uid="{00000000-0005-0000-0000-00005C0D0000}"/>
    <cellStyle name="Normal 89 3" xfId="3740" xr:uid="{00000000-0005-0000-0000-00005D0D0000}"/>
    <cellStyle name="Normal 89 3 2" xfId="3741" xr:uid="{00000000-0005-0000-0000-00005E0D0000}"/>
    <cellStyle name="Normal 89 3_a.Data" xfId="3742" xr:uid="{00000000-0005-0000-0000-00005F0D0000}"/>
    <cellStyle name="Normal 89 4" xfId="3743" xr:uid="{00000000-0005-0000-0000-0000600D0000}"/>
    <cellStyle name="Normal 89_a.Data" xfId="3744" xr:uid="{00000000-0005-0000-0000-0000610D0000}"/>
    <cellStyle name="Normal 9" xfId="194" xr:uid="{00000000-0005-0000-0000-0000620D0000}"/>
    <cellStyle name="Normal 9 2" xfId="729" xr:uid="{00000000-0005-0000-0000-0000630D0000}"/>
    <cellStyle name="Normal 9 3" xfId="730" xr:uid="{00000000-0005-0000-0000-0000640D0000}"/>
    <cellStyle name="Normal 9 3 2" xfId="3745" xr:uid="{00000000-0005-0000-0000-0000650D0000}"/>
    <cellStyle name="Normal 9 3 2 2" xfId="3746" xr:uid="{00000000-0005-0000-0000-0000660D0000}"/>
    <cellStyle name="Normal 9 3 2 2 2" xfId="3747" xr:uid="{00000000-0005-0000-0000-0000670D0000}"/>
    <cellStyle name="Normal 9 3 2 2 2 2" xfId="3748" xr:uid="{00000000-0005-0000-0000-0000680D0000}"/>
    <cellStyle name="Normal 9 3 2 2 2_a.Data" xfId="3749" xr:uid="{00000000-0005-0000-0000-0000690D0000}"/>
    <cellStyle name="Normal 9 3 2 2 3" xfId="3750" xr:uid="{00000000-0005-0000-0000-00006A0D0000}"/>
    <cellStyle name="Normal 9 3 2 2_a.Data" xfId="3751" xr:uid="{00000000-0005-0000-0000-00006B0D0000}"/>
    <cellStyle name="Normal 9 3 2 3" xfId="3752" xr:uid="{00000000-0005-0000-0000-00006C0D0000}"/>
    <cellStyle name="Normal 9 3 2 3 2" xfId="3753" xr:uid="{00000000-0005-0000-0000-00006D0D0000}"/>
    <cellStyle name="Normal 9 3 2 3_a.Data" xfId="3754" xr:uid="{00000000-0005-0000-0000-00006E0D0000}"/>
    <cellStyle name="Normal 9 3 2 4" xfId="3755" xr:uid="{00000000-0005-0000-0000-00006F0D0000}"/>
    <cellStyle name="Normal 9 3 2_a.Data" xfId="3756" xr:uid="{00000000-0005-0000-0000-0000700D0000}"/>
    <cellStyle name="Normal 9 3 3" xfId="3757" xr:uid="{00000000-0005-0000-0000-0000710D0000}"/>
    <cellStyle name="Normal 9 3 3 2" xfId="3758" xr:uid="{00000000-0005-0000-0000-0000720D0000}"/>
    <cellStyle name="Normal 9 3 3 2 2" xfId="3759" xr:uid="{00000000-0005-0000-0000-0000730D0000}"/>
    <cellStyle name="Normal 9 3 3 2_a.Data" xfId="3760" xr:uid="{00000000-0005-0000-0000-0000740D0000}"/>
    <cellStyle name="Normal 9 3 3 3" xfId="3761" xr:uid="{00000000-0005-0000-0000-0000750D0000}"/>
    <cellStyle name="Normal 9 3 3_a.Data" xfId="3762" xr:uid="{00000000-0005-0000-0000-0000760D0000}"/>
    <cellStyle name="Normal 9 3 4" xfId="3763" xr:uid="{00000000-0005-0000-0000-0000770D0000}"/>
    <cellStyle name="Normal 9 3 4 2" xfId="3764" xr:uid="{00000000-0005-0000-0000-0000780D0000}"/>
    <cellStyle name="Normal 9 3 4_a.Data" xfId="3765" xr:uid="{00000000-0005-0000-0000-0000790D0000}"/>
    <cellStyle name="Normal 9 3 5" xfId="3766" xr:uid="{00000000-0005-0000-0000-00007A0D0000}"/>
    <cellStyle name="Normal 9 3_a.Data" xfId="3767" xr:uid="{00000000-0005-0000-0000-00007B0D0000}"/>
    <cellStyle name="Normal 9 4" xfId="728" xr:uid="{00000000-0005-0000-0000-00007C0D0000}"/>
    <cellStyle name="Normal 9 4 2" xfId="3768" xr:uid="{00000000-0005-0000-0000-00007D0D0000}"/>
    <cellStyle name="Normal 9 4 2 2" xfId="3769" xr:uid="{00000000-0005-0000-0000-00007E0D0000}"/>
    <cellStyle name="Normal 9 4 2 2 2" xfId="3770" xr:uid="{00000000-0005-0000-0000-00007F0D0000}"/>
    <cellStyle name="Normal 9 4 2 2_a.Data" xfId="3771" xr:uid="{00000000-0005-0000-0000-0000800D0000}"/>
    <cellStyle name="Normal 9 4 2 3" xfId="3772" xr:uid="{00000000-0005-0000-0000-0000810D0000}"/>
    <cellStyle name="Normal 9 4 2_a.Data" xfId="3773" xr:uid="{00000000-0005-0000-0000-0000820D0000}"/>
    <cellStyle name="Normal 9 4 3" xfId="3774" xr:uid="{00000000-0005-0000-0000-0000830D0000}"/>
    <cellStyle name="Normal 9 4 3 2" xfId="3775" xr:uid="{00000000-0005-0000-0000-0000840D0000}"/>
    <cellStyle name="Normal 9 4 3_a.Data" xfId="3776" xr:uid="{00000000-0005-0000-0000-0000850D0000}"/>
    <cellStyle name="Normal 9 4 4" xfId="3777" xr:uid="{00000000-0005-0000-0000-0000860D0000}"/>
    <cellStyle name="Normal 9 4_a.Data" xfId="3778" xr:uid="{00000000-0005-0000-0000-0000870D0000}"/>
    <cellStyle name="Normal 9 5" xfId="3779" xr:uid="{00000000-0005-0000-0000-0000880D0000}"/>
    <cellStyle name="Normal 9 5 2" xfId="3780" xr:uid="{00000000-0005-0000-0000-0000890D0000}"/>
    <cellStyle name="Normal 9 5_BASE Current Year" xfId="3781" xr:uid="{00000000-0005-0000-0000-00008A0D0000}"/>
    <cellStyle name="Normal 9 6" xfId="3782" xr:uid="{00000000-0005-0000-0000-00008B0D0000}"/>
    <cellStyle name="Normal 9 6 2" xfId="3783" xr:uid="{00000000-0005-0000-0000-00008C0D0000}"/>
    <cellStyle name="Normal 9 6_BASE Current Year" xfId="3784" xr:uid="{00000000-0005-0000-0000-00008D0D0000}"/>
    <cellStyle name="Normal 9 7" xfId="3785" xr:uid="{00000000-0005-0000-0000-00008E0D0000}"/>
    <cellStyle name="Normal 9_Ch4 v2" xfId="731" xr:uid="{00000000-0005-0000-0000-00008F0D0000}"/>
    <cellStyle name="Normal 90" xfId="3786" xr:uid="{00000000-0005-0000-0000-0000900D0000}"/>
    <cellStyle name="Normal 91" xfId="3787" xr:uid="{00000000-0005-0000-0000-0000910D0000}"/>
    <cellStyle name="Normal 91 2" xfId="3788" xr:uid="{00000000-0005-0000-0000-0000920D0000}"/>
    <cellStyle name="Normal 91 2 2" xfId="3789" xr:uid="{00000000-0005-0000-0000-0000930D0000}"/>
    <cellStyle name="Normal 91 2 2 2" xfId="3790" xr:uid="{00000000-0005-0000-0000-0000940D0000}"/>
    <cellStyle name="Normal 91 2 2_a.Data" xfId="3791" xr:uid="{00000000-0005-0000-0000-0000950D0000}"/>
    <cellStyle name="Normal 91 2 3" xfId="3792" xr:uid="{00000000-0005-0000-0000-0000960D0000}"/>
    <cellStyle name="Normal 91 2_a.Data" xfId="3793" xr:uid="{00000000-0005-0000-0000-0000970D0000}"/>
    <cellStyle name="Normal 91 3" xfId="3794" xr:uid="{00000000-0005-0000-0000-0000980D0000}"/>
    <cellStyle name="Normal 91 3 2" xfId="3795" xr:uid="{00000000-0005-0000-0000-0000990D0000}"/>
    <cellStyle name="Normal 91 3_a.Data" xfId="3796" xr:uid="{00000000-0005-0000-0000-00009A0D0000}"/>
    <cellStyle name="Normal 91 4" xfId="3797" xr:uid="{00000000-0005-0000-0000-00009B0D0000}"/>
    <cellStyle name="Normal 91_a.Data" xfId="3798" xr:uid="{00000000-0005-0000-0000-00009C0D0000}"/>
    <cellStyle name="Normal 92" xfId="3799" xr:uid="{00000000-0005-0000-0000-00009D0D0000}"/>
    <cellStyle name="Normal 92 2" xfId="3800" xr:uid="{00000000-0005-0000-0000-00009E0D0000}"/>
    <cellStyle name="Normal 92 2 2" xfId="3801" xr:uid="{00000000-0005-0000-0000-00009F0D0000}"/>
    <cellStyle name="Normal 92 2 2 2" xfId="3802" xr:uid="{00000000-0005-0000-0000-0000A00D0000}"/>
    <cellStyle name="Normal 92 2 2_a.Data" xfId="3803" xr:uid="{00000000-0005-0000-0000-0000A10D0000}"/>
    <cellStyle name="Normal 92 2 3" xfId="3804" xr:uid="{00000000-0005-0000-0000-0000A20D0000}"/>
    <cellStyle name="Normal 92 2_a.Data" xfId="3805" xr:uid="{00000000-0005-0000-0000-0000A30D0000}"/>
    <cellStyle name="Normal 92 3" xfId="3806" xr:uid="{00000000-0005-0000-0000-0000A40D0000}"/>
    <cellStyle name="Normal 92 3 2" xfId="3807" xr:uid="{00000000-0005-0000-0000-0000A50D0000}"/>
    <cellStyle name="Normal 92 3_a.Data" xfId="3808" xr:uid="{00000000-0005-0000-0000-0000A60D0000}"/>
    <cellStyle name="Normal 92 4" xfId="3809" xr:uid="{00000000-0005-0000-0000-0000A70D0000}"/>
    <cellStyle name="Normal 92_a.Data" xfId="3810" xr:uid="{00000000-0005-0000-0000-0000A80D0000}"/>
    <cellStyle name="Normal 93" xfId="3811" xr:uid="{00000000-0005-0000-0000-0000A90D0000}"/>
    <cellStyle name="Normal 94" xfId="3812" xr:uid="{00000000-0005-0000-0000-0000AA0D0000}"/>
    <cellStyle name="Normal 94 2" xfId="3813" xr:uid="{00000000-0005-0000-0000-0000AB0D0000}"/>
    <cellStyle name="Normal 94 2 2" xfId="3814" xr:uid="{00000000-0005-0000-0000-0000AC0D0000}"/>
    <cellStyle name="Normal 94 2 2 2" xfId="3815" xr:uid="{00000000-0005-0000-0000-0000AD0D0000}"/>
    <cellStyle name="Normal 94 2 2_a.Data" xfId="3816" xr:uid="{00000000-0005-0000-0000-0000AE0D0000}"/>
    <cellStyle name="Normal 94 2 3" xfId="3817" xr:uid="{00000000-0005-0000-0000-0000AF0D0000}"/>
    <cellStyle name="Normal 94 2_a.Data" xfId="3818" xr:uid="{00000000-0005-0000-0000-0000B00D0000}"/>
    <cellStyle name="Normal 94 3" xfId="3819" xr:uid="{00000000-0005-0000-0000-0000B10D0000}"/>
    <cellStyle name="Normal 94 3 2" xfId="3820" xr:uid="{00000000-0005-0000-0000-0000B20D0000}"/>
    <cellStyle name="Normal 94 3_a.Data" xfId="3821" xr:uid="{00000000-0005-0000-0000-0000B30D0000}"/>
    <cellStyle name="Normal 94 4" xfId="3822" xr:uid="{00000000-0005-0000-0000-0000B40D0000}"/>
    <cellStyle name="Normal 94_a.Data" xfId="3823" xr:uid="{00000000-0005-0000-0000-0000B50D0000}"/>
    <cellStyle name="Normal 95" xfId="3824" xr:uid="{00000000-0005-0000-0000-0000B60D0000}"/>
    <cellStyle name="Normal 95 2" xfId="3825" xr:uid="{00000000-0005-0000-0000-0000B70D0000}"/>
    <cellStyle name="Normal 95 2 2" xfId="3826" xr:uid="{00000000-0005-0000-0000-0000B80D0000}"/>
    <cellStyle name="Normal 95 2 2 2" xfId="3827" xr:uid="{00000000-0005-0000-0000-0000B90D0000}"/>
    <cellStyle name="Normal 95 2 2_a.Data" xfId="3828" xr:uid="{00000000-0005-0000-0000-0000BA0D0000}"/>
    <cellStyle name="Normal 95 2 3" xfId="3829" xr:uid="{00000000-0005-0000-0000-0000BB0D0000}"/>
    <cellStyle name="Normal 95 2_a.Data" xfId="3830" xr:uid="{00000000-0005-0000-0000-0000BC0D0000}"/>
    <cellStyle name="Normal 95 3" xfId="3831" xr:uid="{00000000-0005-0000-0000-0000BD0D0000}"/>
    <cellStyle name="Normal 95 3 2" xfId="3832" xr:uid="{00000000-0005-0000-0000-0000BE0D0000}"/>
    <cellStyle name="Normal 95 3_a.Data" xfId="3833" xr:uid="{00000000-0005-0000-0000-0000BF0D0000}"/>
    <cellStyle name="Normal 95 4" xfId="3834" xr:uid="{00000000-0005-0000-0000-0000C00D0000}"/>
    <cellStyle name="Normal 95_a.Data" xfId="3835" xr:uid="{00000000-0005-0000-0000-0000C10D0000}"/>
    <cellStyle name="Normal 96" xfId="3836" xr:uid="{00000000-0005-0000-0000-0000C20D0000}"/>
    <cellStyle name="Normal 97" xfId="3837" xr:uid="{00000000-0005-0000-0000-0000C30D0000}"/>
    <cellStyle name="Normal 97 2" xfId="3838" xr:uid="{00000000-0005-0000-0000-0000C40D0000}"/>
    <cellStyle name="Normal 97 2 2" xfId="3839" xr:uid="{00000000-0005-0000-0000-0000C50D0000}"/>
    <cellStyle name="Normal 97 2 2 2" xfId="3840" xr:uid="{00000000-0005-0000-0000-0000C60D0000}"/>
    <cellStyle name="Normal 97 2 2_a.Data" xfId="3841" xr:uid="{00000000-0005-0000-0000-0000C70D0000}"/>
    <cellStyle name="Normal 97 2 3" xfId="3842" xr:uid="{00000000-0005-0000-0000-0000C80D0000}"/>
    <cellStyle name="Normal 97 2_a.Data" xfId="3843" xr:uid="{00000000-0005-0000-0000-0000C90D0000}"/>
    <cellStyle name="Normal 97 3" xfId="3844" xr:uid="{00000000-0005-0000-0000-0000CA0D0000}"/>
    <cellStyle name="Normal 97 3 2" xfId="3845" xr:uid="{00000000-0005-0000-0000-0000CB0D0000}"/>
    <cellStyle name="Normal 97 3_a.Data" xfId="3846" xr:uid="{00000000-0005-0000-0000-0000CC0D0000}"/>
    <cellStyle name="Normal 97 4" xfId="3847" xr:uid="{00000000-0005-0000-0000-0000CD0D0000}"/>
    <cellStyle name="Normal 97_a.Data" xfId="3848" xr:uid="{00000000-0005-0000-0000-0000CE0D0000}"/>
    <cellStyle name="Normal 98" xfId="3849" xr:uid="{00000000-0005-0000-0000-0000CF0D0000}"/>
    <cellStyle name="Normal 98 2" xfId="3850" xr:uid="{00000000-0005-0000-0000-0000D00D0000}"/>
    <cellStyle name="Normal 98 2 2" xfId="3851" xr:uid="{00000000-0005-0000-0000-0000D10D0000}"/>
    <cellStyle name="Normal 98 2 2 2" xfId="3852" xr:uid="{00000000-0005-0000-0000-0000D20D0000}"/>
    <cellStyle name="Normal 98 2 2_a.Data" xfId="3853" xr:uid="{00000000-0005-0000-0000-0000D30D0000}"/>
    <cellStyle name="Normal 98 2 3" xfId="3854" xr:uid="{00000000-0005-0000-0000-0000D40D0000}"/>
    <cellStyle name="Normal 98 2_a.Data" xfId="3855" xr:uid="{00000000-0005-0000-0000-0000D50D0000}"/>
    <cellStyle name="Normal 98 3" xfId="3856" xr:uid="{00000000-0005-0000-0000-0000D60D0000}"/>
    <cellStyle name="Normal 98 3 2" xfId="3857" xr:uid="{00000000-0005-0000-0000-0000D70D0000}"/>
    <cellStyle name="Normal 98 3_a.Data" xfId="3858" xr:uid="{00000000-0005-0000-0000-0000D80D0000}"/>
    <cellStyle name="Normal 98 4" xfId="3859" xr:uid="{00000000-0005-0000-0000-0000D90D0000}"/>
    <cellStyle name="Normal 98_a.Data" xfId="3860" xr:uid="{00000000-0005-0000-0000-0000DA0D0000}"/>
    <cellStyle name="Normal 99" xfId="3861" xr:uid="{00000000-0005-0000-0000-0000DB0D0000}"/>
    <cellStyle name="Normale_Foglio2" xfId="3862" xr:uid="{00000000-0005-0000-0000-0000DD0D0000}"/>
    <cellStyle name="Note 2" xfId="196" xr:uid="{00000000-0005-0000-0000-0000DE0D0000}"/>
    <cellStyle name="Note 2 2" xfId="732" xr:uid="{00000000-0005-0000-0000-0000DF0D0000}"/>
    <cellStyle name="Note 2 2 2" xfId="3863" xr:uid="{00000000-0005-0000-0000-0000E00D0000}"/>
    <cellStyle name="Note 2 2 2 2" xfId="3864" xr:uid="{00000000-0005-0000-0000-0000E10D0000}"/>
    <cellStyle name="Note 2 2 2_Sheet1" xfId="3865" xr:uid="{00000000-0005-0000-0000-0000E20D0000}"/>
    <cellStyle name="Note 2 2 3" xfId="3866" xr:uid="{00000000-0005-0000-0000-0000E30D0000}"/>
    <cellStyle name="Note 2 2_Sheet1" xfId="3867" xr:uid="{00000000-0005-0000-0000-0000E40D0000}"/>
    <cellStyle name="Note 2 3" xfId="3868" xr:uid="{00000000-0005-0000-0000-0000E50D0000}"/>
    <cellStyle name="Note 2 3 2" xfId="3869" xr:uid="{00000000-0005-0000-0000-0000E60D0000}"/>
    <cellStyle name="Note 2 3 2 2" xfId="3870" xr:uid="{00000000-0005-0000-0000-0000E70D0000}"/>
    <cellStyle name="Note 2 3 2 2 2" xfId="3871" xr:uid="{00000000-0005-0000-0000-0000E80D0000}"/>
    <cellStyle name="Note 2 3 2 2 2 2" xfId="3872" xr:uid="{00000000-0005-0000-0000-0000E90D0000}"/>
    <cellStyle name="Note 2 3 2 2 2_a.Data" xfId="3873" xr:uid="{00000000-0005-0000-0000-0000EA0D0000}"/>
    <cellStyle name="Note 2 3 2 2 3" xfId="3874" xr:uid="{00000000-0005-0000-0000-0000EB0D0000}"/>
    <cellStyle name="Note 2 3 2 2_a.Data" xfId="3875" xr:uid="{00000000-0005-0000-0000-0000EC0D0000}"/>
    <cellStyle name="Note 2 3 2 3" xfId="3876" xr:uid="{00000000-0005-0000-0000-0000ED0D0000}"/>
    <cellStyle name="Note 2 3 2 3 2" xfId="3877" xr:uid="{00000000-0005-0000-0000-0000EE0D0000}"/>
    <cellStyle name="Note 2 3 2 3_a.Data" xfId="3878" xr:uid="{00000000-0005-0000-0000-0000EF0D0000}"/>
    <cellStyle name="Note 2 3 2 4" xfId="3879" xr:uid="{00000000-0005-0000-0000-0000F00D0000}"/>
    <cellStyle name="Note 2 3 2_a.Data" xfId="3880" xr:uid="{00000000-0005-0000-0000-0000F10D0000}"/>
    <cellStyle name="Note 2 3 3" xfId="3881" xr:uid="{00000000-0005-0000-0000-0000F20D0000}"/>
    <cellStyle name="Note 2 3 3 2" xfId="3882" xr:uid="{00000000-0005-0000-0000-0000F30D0000}"/>
    <cellStyle name="Note 2 3 3 2 2" xfId="3883" xr:uid="{00000000-0005-0000-0000-0000F40D0000}"/>
    <cellStyle name="Note 2 3 3 2_a.Data" xfId="3884" xr:uid="{00000000-0005-0000-0000-0000F50D0000}"/>
    <cellStyle name="Note 2 3 3 3" xfId="3885" xr:uid="{00000000-0005-0000-0000-0000F60D0000}"/>
    <cellStyle name="Note 2 3 3_a.Data" xfId="3886" xr:uid="{00000000-0005-0000-0000-0000F70D0000}"/>
    <cellStyle name="Note 2 3 4" xfId="3887" xr:uid="{00000000-0005-0000-0000-0000F80D0000}"/>
    <cellStyle name="Note 2 3 4 2" xfId="3888" xr:uid="{00000000-0005-0000-0000-0000F90D0000}"/>
    <cellStyle name="Note 2 3 4_a.Data" xfId="3889" xr:uid="{00000000-0005-0000-0000-0000FA0D0000}"/>
    <cellStyle name="Note 2 3 5" xfId="3890" xr:uid="{00000000-0005-0000-0000-0000FB0D0000}"/>
    <cellStyle name="Note 2 3_a.Data" xfId="3891" xr:uid="{00000000-0005-0000-0000-0000FC0D0000}"/>
    <cellStyle name="Note 2 4" xfId="3892" xr:uid="{00000000-0005-0000-0000-0000FD0D0000}"/>
    <cellStyle name="Note 2 4 2" xfId="3893" xr:uid="{00000000-0005-0000-0000-0000FE0D0000}"/>
    <cellStyle name="Note 2 4 2 2" xfId="3894" xr:uid="{00000000-0005-0000-0000-0000FF0D0000}"/>
    <cellStyle name="Note 2 4 2 2 2" xfId="3895" xr:uid="{00000000-0005-0000-0000-0000000E0000}"/>
    <cellStyle name="Note 2 4 2 2_a.Data" xfId="3896" xr:uid="{00000000-0005-0000-0000-0000010E0000}"/>
    <cellStyle name="Note 2 4 2 3" xfId="3897" xr:uid="{00000000-0005-0000-0000-0000020E0000}"/>
    <cellStyle name="Note 2 4 2_a.Data" xfId="3898" xr:uid="{00000000-0005-0000-0000-0000030E0000}"/>
    <cellStyle name="Note 2 4 3" xfId="3899" xr:uid="{00000000-0005-0000-0000-0000040E0000}"/>
    <cellStyle name="Note 2 4 3 2" xfId="3900" xr:uid="{00000000-0005-0000-0000-0000050E0000}"/>
    <cellStyle name="Note 2 4 3_a.Data" xfId="3901" xr:uid="{00000000-0005-0000-0000-0000060E0000}"/>
    <cellStyle name="Note 2 4 4" xfId="3902" xr:uid="{00000000-0005-0000-0000-0000070E0000}"/>
    <cellStyle name="Note 2 4_a.Data" xfId="3903" xr:uid="{00000000-0005-0000-0000-0000080E0000}"/>
    <cellStyle name="Note 2 5" xfId="3904" xr:uid="{00000000-0005-0000-0000-0000090E0000}"/>
    <cellStyle name="Note 2 5 2" xfId="3905" xr:uid="{00000000-0005-0000-0000-00000A0E0000}"/>
    <cellStyle name="Note 2 5_BASE Current Year" xfId="3906" xr:uid="{00000000-0005-0000-0000-00000B0E0000}"/>
    <cellStyle name="Note 2 6" xfId="3907" xr:uid="{00000000-0005-0000-0000-00000C0E0000}"/>
    <cellStyle name="Note 2_Sheet1" xfId="3908" xr:uid="{00000000-0005-0000-0000-00000D0E0000}"/>
    <cellStyle name="Note 3" xfId="195" xr:uid="{00000000-0005-0000-0000-00000E0E0000}"/>
    <cellStyle name="Note 3 2" xfId="3909" xr:uid="{00000000-0005-0000-0000-00000F0E0000}"/>
    <cellStyle name="Note 3 2 2" xfId="3910" xr:uid="{00000000-0005-0000-0000-0000100E0000}"/>
    <cellStyle name="Note 3 2 2 2" xfId="3911" xr:uid="{00000000-0005-0000-0000-0000110E0000}"/>
    <cellStyle name="Note 3 2 2 2 2" xfId="3912" xr:uid="{00000000-0005-0000-0000-0000120E0000}"/>
    <cellStyle name="Note 3 2 2 2_a.Data" xfId="3913" xr:uid="{00000000-0005-0000-0000-0000130E0000}"/>
    <cellStyle name="Note 3 2 2 3" xfId="3914" xr:uid="{00000000-0005-0000-0000-0000140E0000}"/>
    <cellStyle name="Note 3 2 2_a.Data" xfId="3915" xr:uid="{00000000-0005-0000-0000-0000150E0000}"/>
    <cellStyle name="Note 3 2 3" xfId="3916" xr:uid="{00000000-0005-0000-0000-0000160E0000}"/>
    <cellStyle name="Note 3 2 3 2" xfId="3917" xr:uid="{00000000-0005-0000-0000-0000170E0000}"/>
    <cellStyle name="Note 3 2 3_a.Data" xfId="3918" xr:uid="{00000000-0005-0000-0000-0000180E0000}"/>
    <cellStyle name="Note 3 2 4" xfId="3919" xr:uid="{00000000-0005-0000-0000-0000190E0000}"/>
    <cellStyle name="Note 3 2_a.Data" xfId="3920" xr:uid="{00000000-0005-0000-0000-00001A0E0000}"/>
    <cellStyle name="Note 3 3" xfId="3921" xr:uid="{00000000-0005-0000-0000-00001B0E0000}"/>
    <cellStyle name="Note 3 3 2" xfId="3922" xr:uid="{00000000-0005-0000-0000-00001C0E0000}"/>
    <cellStyle name="Note 3 3 2 2" xfId="3923" xr:uid="{00000000-0005-0000-0000-00001D0E0000}"/>
    <cellStyle name="Note 3 3 2_a.Data" xfId="3924" xr:uid="{00000000-0005-0000-0000-00001E0E0000}"/>
    <cellStyle name="Note 3 3 3" xfId="3925" xr:uid="{00000000-0005-0000-0000-00001F0E0000}"/>
    <cellStyle name="Note 3 3_a.Data" xfId="3926" xr:uid="{00000000-0005-0000-0000-0000200E0000}"/>
    <cellStyle name="Note 3 4" xfId="3927" xr:uid="{00000000-0005-0000-0000-0000210E0000}"/>
    <cellStyle name="Note 3 4 2" xfId="3928" xr:uid="{00000000-0005-0000-0000-0000220E0000}"/>
    <cellStyle name="Note 3 4_a.Data" xfId="3929" xr:uid="{00000000-0005-0000-0000-0000230E0000}"/>
    <cellStyle name="Note 3 5" xfId="3930" xr:uid="{00000000-0005-0000-0000-0000240E0000}"/>
    <cellStyle name="Note 3_a.Data" xfId="3931" xr:uid="{00000000-0005-0000-0000-0000250E0000}"/>
    <cellStyle name="Note 4" xfId="3932" xr:uid="{00000000-0005-0000-0000-0000260E0000}"/>
    <cellStyle name="Note 4 2" xfId="3933" xr:uid="{00000000-0005-0000-0000-0000270E0000}"/>
    <cellStyle name="Note 4 2 2" xfId="3934" xr:uid="{00000000-0005-0000-0000-0000280E0000}"/>
    <cellStyle name="Note 4 2 2 2" xfId="3935" xr:uid="{00000000-0005-0000-0000-0000290E0000}"/>
    <cellStyle name="Note 4 2 2_a.Data" xfId="3936" xr:uid="{00000000-0005-0000-0000-00002A0E0000}"/>
    <cellStyle name="Note 4 2 3" xfId="3937" xr:uid="{00000000-0005-0000-0000-00002B0E0000}"/>
    <cellStyle name="Note 4 2_a.Data" xfId="3938" xr:uid="{00000000-0005-0000-0000-00002C0E0000}"/>
    <cellStyle name="Note 4 3" xfId="3939" xr:uid="{00000000-0005-0000-0000-00002D0E0000}"/>
    <cellStyle name="Note 4 3 2" xfId="3940" xr:uid="{00000000-0005-0000-0000-00002E0E0000}"/>
    <cellStyle name="Note 4 3_a.Data" xfId="3941" xr:uid="{00000000-0005-0000-0000-00002F0E0000}"/>
    <cellStyle name="Note 4 4" xfId="3942" xr:uid="{00000000-0005-0000-0000-0000300E0000}"/>
    <cellStyle name="Note 4_a.Data" xfId="3943" xr:uid="{00000000-0005-0000-0000-0000310E0000}"/>
    <cellStyle name="Note 5" xfId="3944" xr:uid="{00000000-0005-0000-0000-0000320E0000}"/>
    <cellStyle name="Number Cell WGA" xfId="3945" xr:uid="{00000000-0005-0000-0000-0000330E0000}"/>
    <cellStyle name="Number Cell WGA 2" xfId="3946" xr:uid="{00000000-0005-0000-0000-0000340E0000}"/>
    <cellStyle name="Number_WGA" xfId="3947" xr:uid="{00000000-0005-0000-0000-0000350E0000}"/>
    <cellStyle name="NumberFormat" xfId="3948" xr:uid="{00000000-0005-0000-0000-0000360E0000}"/>
    <cellStyle name="NumberFormat 2" xfId="3949" xr:uid="{00000000-0005-0000-0000-0000370E0000}"/>
    <cellStyle name="NumberFormat 2 2" xfId="3950" xr:uid="{00000000-0005-0000-0000-0000380E0000}"/>
    <cellStyle name="NumberFormat 2 3" xfId="3951" xr:uid="{00000000-0005-0000-0000-0000390E0000}"/>
    <cellStyle name="NumberFormat 3" xfId="3952" xr:uid="{00000000-0005-0000-0000-00003A0E0000}"/>
    <cellStyle name="NumberFormat 4" xfId="3953" xr:uid="{00000000-0005-0000-0000-00003B0E0000}"/>
    <cellStyle name="Numdate" xfId="3954" xr:uid="{00000000-0005-0000-0000-00003C0E0000}"/>
    <cellStyle name="Numdate 2" xfId="3955" xr:uid="{00000000-0005-0000-0000-00003D0E0000}"/>
    <cellStyle name="Numdate 2 2" xfId="3956" xr:uid="{00000000-0005-0000-0000-00003E0E0000}"/>
    <cellStyle name="Numdate 2 2 2" xfId="3957" xr:uid="{00000000-0005-0000-0000-00003F0E0000}"/>
    <cellStyle name="Numfract" xfId="3958" xr:uid="{00000000-0005-0000-0000-0000400E0000}"/>
    <cellStyle name="Numpercent" xfId="3959" xr:uid="{00000000-0005-0000-0000-0000410E0000}"/>
    <cellStyle name="NumResAccts" xfId="3960" xr:uid="{00000000-0005-0000-0000-0000420E0000}"/>
    <cellStyle name="Numwhole" xfId="3961" xr:uid="{00000000-0005-0000-0000-0000430E0000}"/>
    <cellStyle name="Œ…‹æØ‚è [0.00]_Industry" xfId="3962" xr:uid="{00000000-0005-0000-0000-0000440E0000}"/>
    <cellStyle name="Œ…‹æØ‚è_Industry" xfId="3963" xr:uid="{00000000-0005-0000-0000-0000450E0000}"/>
    <cellStyle name="Option" xfId="733" xr:uid="{00000000-0005-0000-0000-0000460E0000}"/>
    <cellStyle name="Option 2" xfId="3965" xr:uid="{00000000-0005-0000-0000-0000470E0000}"/>
    <cellStyle name="Option 2 2" xfId="3966" xr:uid="{00000000-0005-0000-0000-0000480E0000}"/>
    <cellStyle name="Option 3" xfId="3967" xr:uid="{00000000-0005-0000-0000-0000490E0000}"/>
    <cellStyle name="Option_Data for charts" xfId="3964" xr:uid="{00000000-0005-0000-0000-00004A0E0000}"/>
    <cellStyle name="OptionHeading" xfId="734" xr:uid="{00000000-0005-0000-0000-00004B0E0000}"/>
    <cellStyle name="OptionHeading2" xfId="735" xr:uid="{00000000-0005-0000-0000-00004C0E0000}"/>
    <cellStyle name="Output 2" xfId="198" xr:uid="{00000000-0005-0000-0000-00004D0E0000}"/>
    <cellStyle name="Output 2 2" xfId="3968" xr:uid="{00000000-0005-0000-0000-00004E0E0000}"/>
    <cellStyle name="Output 2 2 2" xfId="3969" xr:uid="{00000000-0005-0000-0000-00004F0E0000}"/>
    <cellStyle name="Output 2 2_a.Data" xfId="3970" xr:uid="{00000000-0005-0000-0000-0000500E0000}"/>
    <cellStyle name="Output 2 3" xfId="3971" xr:uid="{00000000-0005-0000-0000-0000510E0000}"/>
    <cellStyle name="Output 2_a.Data" xfId="3972" xr:uid="{00000000-0005-0000-0000-0000520E0000}"/>
    <cellStyle name="Output 3" xfId="736" xr:uid="{00000000-0005-0000-0000-0000530E0000}"/>
    <cellStyle name="Output 4" xfId="197" xr:uid="{00000000-0005-0000-0000-0000540E0000}"/>
    <cellStyle name="Output Amounts" xfId="199" xr:uid="{00000000-0005-0000-0000-0000550E0000}"/>
    <cellStyle name="Output Column Headings" xfId="200" xr:uid="{00000000-0005-0000-0000-0000560E0000}"/>
    <cellStyle name="Output Line Items" xfId="201" xr:uid="{00000000-0005-0000-0000-0000570E0000}"/>
    <cellStyle name="Output Report Heading" xfId="202" xr:uid="{00000000-0005-0000-0000-0000580E0000}"/>
    <cellStyle name="Output Report Title" xfId="203" xr:uid="{00000000-0005-0000-0000-0000590E0000}"/>
    <cellStyle name="Override" xfId="3973" xr:uid="{00000000-0005-0000-0000-00005A0E0000}"/>
    <cellStyle name="Override 2" xfId="3974" xr:uid="{00000000-0005-0000-0000-00005B0E0000}"/>
    <cellStyle name="Override 2 2" xfId="3975" xr:uid="{00000000-0005-0000-0000-00005C0E0000}"/>
    <cellStyle name="Override 2 2 2" xfId="3976" xr:uid="{00000000-0005-0000-0000-00005D0E0000}"/>
    <cellStyle name="Override 2 2_Sheet1" xfId="3977" xr:uid="{00000000-0005-0000-0000-00005E0E0000}"/>
    <cellStyle name="Override 2 3" xfId="3978" xr:uid="{00000000-0005-0000-0000-00005F0E0000}"/>
    <cellStyle name="Override 2_Sheet1" xfId="3979" xr:uid="{00000000-0005-0000-0000-0000600E0000}"/>
    <cellStyle name="Override 3" xfId="3980" xr:uid="{00000000-0005-0000-0000-0000610E0000}"/>
    <cellStyle name="Override 3 2" xfId="3981" xr:uid="{00000000-0005-0000-0000-0000620E0000}"/>
    <cellStyle name="Override 3_Sheet1" xfId="3982" xr:uid="{00000000-0005-0000-0000-0000630E0000}"/>
    <cellStyle name="Override 4" xfId="3983" xr:uid="{00000000-0005-0000-0000-0000640E0000}"/>
    <cellStyle name="Override_Sheet1" xfId="3984" xr:uid="{00000000-0005-0000-0000-0000650E0000}"/>
    <cellStyle name="P" xfId="204" xr:uid="{00000000-0005-0000-0000-0000660E0000}"/>
    <cellStyle name="P 2" xfId="205" xr:uid="{00000000-0005-0000-0000-0000670E0000}"/>
    <cellStyle name="P 2 2" xfId="738" xr:uid="{00000000-0005-0000-0000-0000680E0000}"/>
    <cellStyle name="P 3" xfId="737" xr:uid="{00000000-0005-0000-0000-0000690E0000}"/>
    <cellStyle name="Page 1" xfId="3985" xr:uid="{00000000-0005-0000-0000-00006A0E0000}"/>
    <cellStyle name="Page Number" xfId="739" xr:uid="{00000000-0005-0000-0000-00006B0E0000}"/>
    <cellStyle name="Pence" xfId="3986" xr:uid="{00000000-0005-0000-0000-00006C0E0000}"/>
    <cellStyle name="Per cent 2" xfId="4624" xr:uid="{90EEC5D4-DF66-4E88-AB63-551466801965}"/>
    <cellStyle name="Percent" xfId="1" builtinId="5"/>
    <cellStyle name="Percent [0]" xfId="740" xr:uid="{00000000-0005-0000-0000-00006E0E0000}"/>
    <cellStyle name="Percent [2]" xfId="206" xr:uid="{00000000-0005-0000-0000-00006F0E0000}"/>
    <cellStyle name="Percent [2] 2" xfId="741" xr:uid="{00000000-0005-0000-0000-0000700E0000}"/>
    <cellStyle name="Percent [2] 2 2" xfId="3987" xr:uid="{00000000-0005-0000-0000-0000710E0000}"/>
    <cellStyle name="Percent [2] 3" xfId="3988" xr:uid="{00000000-0005-0000-0000-0000720E0000}"/>
    <cellStyle name="Percent 10" xfId="3989" xr:uid="{00000000-0005-0000-0000-0000730E0000}"/>
    <cellStyle name="Percent 10 2" xfId="3990" xr:uid="{00000000-0005-0000-0000-0000740E0000}"/>
    <cellStyle name="Percent 100" xfId="3991" xr:uid="{00000000-0005-0000-0000-0000750E0000}"/>
    <cellStyle name="Percent 101" xfId="3992" xr:uid="{00000000-0005-0000-0000-0000760E0000}"/>
    <cellStyle name="Percent 102" xfId="3993" xr:uid="{00000000-0005-0000-0000-0000770E0000}"/>
    <cellStyle name="Percent 103" xfId="3994" xr:uid="{00000000-0005-0000-0000-0000780E0000}"/>
    <cellStyle name="Percent 104" xfId="3995" xr:uid="{00000000-0005-0000-0000-0000790E0000}"/>
    <cellStyle name="Percent 105" xfId="3996" xr:uid="{00000000-0005-0000-0000-00007A0E0000}"/>
    <cellStyle name="Percent 106" xfId="3997" xr:uid="{00000000-0005-0000-0000-00007B0E0000}"/>
    <cellStyle name="Percent 107" xfId="3998" xr:uid="{00000000-0005-0000-0000-00007C0E0000}"/>
    <cellStyle name="Percent 108" xfId="3999" xr:uid="{00000000-0005-0000-0000-00007D0E0000}"/>
    <cellStyle name="Percent 109" xfId="4000" xr:uid="{00000000-0005-0000-0000-00007E0E0000}"/>
    <cellStyle name="Percent 11" xfId="4001" xr:uid="{00000000-0005-0000-0000-00007F0E0000}"/>
    <cellStyle name="Percent 11 2" xfId="4002" xr:uid="{00000000-0005-0000-0000-0000800E0000}"/>
    <cellStyle name="Percent 110" xfId="4003" xr:uid="{00000000-0005-0000-0000-0000810E0000}"/>
    <cellStyle name="Percent 111" xfId="4004" xr:uid="{00000000-0005-0000-0000-0000820E0000}"/>
    <cellStyle name="Percent 112" xfId="4005" xr:uid="{00000000-0005-0000-0000-0000830E0000}"/>
    <cellStyle name="Percent 113" xfId="4006" xr:uid="{00000000-0005-0000-0000-0000840E0000}"/>
    <cellStyle name="Percent 114" xfId="4007" xr:uid="{00000000-0005-0000-0000-0000850E0000}"/>
    <cellStyle name="Percent 115" xfId="4008" xr:uid="{00000000-0005-0000-0000-0000860E0000}"/>
    <cellStyle name="Percent 116" xfId="4009" xr:uid="{00000000-0005-0000-0000-0000870E0000}"/>
    <cellStyle name="Percent 117" xfId="4010" xr:uid="{00000000-0005-0000-0000-0000880E0000}"/>
    <cellStyle name="Percent 118" xfId="4011" xr:uid="{00000000-0005-0000-0000-0000890E0000}"/>
    <cellStyle name="Percent 119" xfId="4012" xr:uid="{00000000-0005-0000-0000-00008A0E0000}"/>
    <cellStyle name="Percent 12" xfId="4013" xr:uid="{00000000-0005-0000-0000-00008B0E0000}"/>
    <cellStyle name="Percent 13" xfId="4014" xr:uid="{00000000-0005-0000-0000-00008C0E0000}"/>
    <cellStyle name="Percent 14" xfId="4015" xr:uid="{00000000-0005-0000-0000-00008D0E0000}"/>
    <cellStyle name="Percent 15" xfId="4016" xr:uid="{00000000-0005-0000-0000-00008E0E0000}"/>
    <cellStyle name="Percent 16" xfId="4017" xr:uid="{00000000-0005-0000-0000-00008F0E0000}"/>
    <cellStyle name="Percent 17" xfId="4018" xr:uid="{00000000-0005-0000-0000-0000900E0000}"/>
    <cellStyle name="Percent 17 2" xfId="4019" xr:uid="{00000000-0005-0000-0000-0000910E0000}"/>
    <cellStyle name="Percent 18" xfId="4020" xr:uid="{00000000-0005-0000-0000-0000920E0000}"/>
    <cellStyle name="Percent 18 2" xfId="4021" xr:uid="{00000000-0005-0000-0000-0000930E0000}"/>
    <cellStyle name="Percent 19" xfId="4022" xr:uid="{00000000-0005-0000-0000-0000940E0000}"/>
    <cellStyle name="Percent 19 2" xfId="4023" xr:uid="{00000000-0005-0000-0000-0000950E0000}"/>
    <cellStyle name="Percent 2" xfId="5" xr:uid="{00000000-0005-0000-0000-0000960E0000}"/>
    <cellStyle name="Percent 2 2" xfId="743" xr:uid="{00000000-0005-0000-0000-0000970E0000}"/>
    <cellStyle name="Percent 2 3" xfId="744" xr:uid="{00000000-0005-0000-0000-0000980E0000}"/>
    <cellStyle name="Percent 2 4" xfId="742" xr:uid="{00000000-0005-0000-0000-0000990E0000}"/>
    <cellStyle name="Percent 2 5" xfId="207" xr:uid="{00000000-0005-0000-0000-00009A0E0000}"/>
    <cellStyle name="Percent 2 6" xfId="4024" xr:uid="{00000000-0005-0000-0000-00009B0E0000}"/>
    <cellStyle name="Percent 2 7" xfId="4025" xr:uid="{00000000-0005-0000-0000-00009C0E0000}"/>
    <cellStyle name="Percent 2 8" xfId="4026" xr:uid="{00000000-0005-0000-0000-00009D0E0000}"/>
    <cellStyle name="Percent 2 9" xfId="4027" xr:uid="{00000000-0005-0000-0000-00009E0E0000}"/>
    <cellStyle name="Percent 20" xfId="4028" xr:uid="{00000000-0005-0000-0000-00009F0E0000}"/>
    <cellStyle name="Percent 21" xfId="4029" xr:uid="{00000000-0005-0000-0000-0000A00E0000}"/>
    <cellStyle name="Percent 22" xfId="4030" xr:uid="{00000000-0005-0000-0000-0000A10E0000}"/>
    <cellStyle name="Percent 23" xfId="4031" xr:uid="{00000000-0005-0000-0000-0000A20E0000}"/>
    <cellStyle name="Percent 24" xfId="4032" xr:uid="{00000000-0005-0000-0000-0000A30E0000}"/>
    <cellStyle name="Percent 24 2" xfId="4033" xr:uid="{00000000-0005-0000-0000-0000A40E0000}"/>
    <cellStyle name="Percent 25" xfId="4034" xr:uid="{00000000-0005-0000-0000-0000A50E0000}"/>
    <cellStyle name="Percent 25 2" xfId="4035" xr:uid="{00000000-0005-0000-0000-0000A60E0000}"/>
    <cellStyle name="Percent 26" xfId="4036" xr:uid="{00000000-0005-0000-0000-0000A70E0000}"/>
    <cellStyle name="Percent 27" xfId="4037" xr:uid="{00000000-0005-0000-0000-0000A80E0000}"/>
    <cellStyle name="Percent 28" xfId="4038" xr:uid="{00000000-0005-0000-0000-0000A90E0000}"/>
    <cellStyle name="Percent 29" xfId="4039" xr:uid="{00000000-0005-0000-0000-0000AA0E0000}"/>
    <cellStyle name="Percent 3" xfId="16" xr:uid="{00000000-0005-0000-0000-0000AB0E0000}"/>
    <cellStyle name="Percent 3 2" xfId="208" xr:uid="{00000000-0005-0000-0000-0000AC0E0000}"/>
    <cellStyle name="Percent 3 2 2" xfId="747" xr:uid="{00000000-0005-0000-0000-0000AD0E0000}"/>
    <cellStyle name="Percent 3 2 3" xfId="746" xr:uid="{00000000-0005-0000-0000-0000AE0E0000}"/>
    <cellStyle name="Percent 3 3" xfId="748" xr:uid="{00000000-0005-0000-0000-0000AF0E0000}"/>
    <cellStyle name="Percent 3 4" xfId="745" xr:uid="{00000000-0005-0000-0000-0000B00E0000}"/>
    <cellStyle name="Percent 30" xfId="4040" xr:uid="{00000000-0005-0000-0000-0000B10E0000}"/>
    <cellStyle name="Percent 31" xfId="4041" xr:uid="{00000000-0005-0000-0000-0000B20E0000}"/>
    <cellStyle name="Percent 32" xfId="4042" xr:uid="{00000000-0005-0000-0000-0000B30E0000}"/>
    <cellStyle name="Percent 33" xfId="4043" xr:uid="{00000000-0005-0000-0000-0000B40E0000}"/>
    <cellStyle name="Percent 34" xfId="4044" xr:uid="{00000000-0005-0000-0000-0000B50E0000}"/>
    <cellStyle name="Percent 35" xfId="4045" xr:uid="{00000000-0005-0000-0000-0000B60E0000}"/>
    <cellStyle name="Percent 36" xfId="4046" xr:uid="{00000000-0005-0000-0000-0000B70E0000}"/>
    <cellStyle name="Percent 37" xfId="4047" xr:uid="{00000000-0005-0000-0000-0000B80E0000}"/>
    <cellStyle name="Percent 38" xfId="4048" xr:uid="{00000000-0005-0000-0000-0000B90E0000}"/>
    <cellStyle name="Percent 39" xfId="4049" xr:uid="{00000000-0005-0000-0000-0000BA0E0000}"/>
    <cellStyle name="Percent 4" xfId="18" xr:uid="{00000000-0005-0000-0000-0000BB0E0000}"/>
    <cellStyle name="Percent 4 2" xfId="210" xr:uid="{00000000-0005-0000-0000-0000BC0E0000}"/>
    <cellStyle name="Percent 4 2 2" xfId="750" xr:uid="{00000000-0005-0000-0000-0000BD0E0000}"/>
    <cellStyle name="Percent 4 3" xfId="749" xr:uid="{00000000-0005-0000-0000-0000BE0E0000}"/>
    <cellStyle name="Percent 4 4" xfId="209" xr:uid="{00000000-0005-0000-0000-0000BF0E0000}"/>
    <cellStyle name="Percent 40" xfId="4050" xr:uid="{00000000-0005-0000-0000-0000C00E0000}"/>
    <cellStyle name="Percent 41" xfId="4051" xr:uid="{00000000-0005-0000-0000-0000C10E0000}"/>
    <cellStyle name="Percent 42" xfId="4052" xr:uid="{00000000-0005-0000-0000-0000C20E0000}"/>
    <cellStyle name="Percent 43" xfId="4053" xr:uid="{00000000-0005-0000-0000-0000C30E0000}"/>
    <cellStyle name="Percent 44" xfId="4054" xr:uid="{00000000-0005-0000-0000-0000C40E0000}"/>
    <cellStyle name="Percent 45" xfId="4055" xr:uid="{00000000-0005-0000-0000-0000C50E0000}"/>
    <cellStyle name="Percent 46" xfId="4056" xr:uid="{00000000-0005-0000-0000-0000C60E0000}"/>
    <cellStyle name="Percent 47" xfId="4057" xr:uid="{00000000-0005-0000-0000-0000C70E0000}"/>
    <cellStyle name="Percent 48" xfId="4058" xr:uid="{00000000-0005-0000-0000-0000C80E0000}"/>
    <cellStyle name="Percent 49" xfId="4059" xr:uid="{00000000-0005-0000-0000-0000C90E0000}"/>
    <cellStyle name="Percent 49 2" xfId="4060" xr:uid="{00000000-0005-0000-0000-0000CA0E0000}"/>
    <cellStyle name="Percent 5" xfId="211" xr:uid="{00000000-0005-0000-0000-0000CB0E0000}"/>
    <cellStyle name="Percent 5 2" xfId="751" xr:uid="{00000000-0005-0000-0000-0000CC0E0000}"/>
    <cellStyle name="Percent 50" xfId="4061" xr:uid="{00000000-0005-0000-0000-0000CD0E0000}"/>
    <cellStyle name="Percent 50 2" xfId="4062" xr:uid="{00000000-0005-0000-0000-0000CE0E0000}"/>
    <cellStyle name="Percent 51" xfId="4063" xr:uid="{00000000-0005-0000-0000-0000CF0E0000}"/>
    <cellStyle name="Percent 52" xfId="4064" xr:uid="{00000000-0005-0000-0000-0000D00E0000}"/>
    <cellStyle name="Percent 53" xfId="4065" xr:uid="{00000000-0005-0000-0000-0000D10E0000}"/>
    <cellStyle name="Percent 54" xfId="4066" xr:uid="{00000000-0005-0000-0000-0000D20E0000}"/>
    <cellStyle name="Percent 55" xfId="4067" xr:uid="{00000000-0005-0000-0000-0000D30E0000}"/>
    <cellStyle name="Percent 56" xfId="4068" xr:uid="{00000000-0005-0000-0000-0000D40E0000}"/>
    <cellStyle name="Percent 57" xfId="4069" xr:uid="{00000000-0005-0000-0000-0000D50E0000}"/>
    <cellStyle name="Percent 58" xfId="4070" xr:uid="{00000000-0005-0000-0000-0000D60E0000}"/>
    <cellStyle name="Percent 59" xfId="4071" xr:uid="{00000000-0005-0000-0000-0000D70E0000}"/>
    <cellStyle name="Percent 6" xfId="4072" xr:uid="{00000000-0005-0000-0000-0000D80E0000}"/>
    <cellStyle name="Percent 6 2" xfId="4073" xr:uid="{00000000-0005-0000-0000-0000D90E0000}"/>
    <cellStyle name="Percent 60" xfId="4074" xr:uid="{00000000-0005-0000-0000-0000DA0E0000}"/>
    <cellStyle name="Percent 61" xfId="4075" xr:uid="{00000000-0005-0000-0000-0000DB0E0000}"/>
    <cellStyle name="Percent 62" xfId="4076" xr:uid="{00000000-0005-0000-0000-0000DC0E0000}"/>
    <cellStyle name="Percent 63" xfId="4077" xr:uid="{00000000-0005-0000-0000-0000DD0E0000}"/>
    <cellStyle name="Percent 64" xfId="4078" xr:uid="{00000000-0005-0000-0000-0000DE0E0000}"/>
    <cellStyle name="Percent 65" xfId="4079" xr:uid="{00000000-0005-0000-0000-0000DF0E0000}"/>
    <cellStyle name="Percent 66" xfId="4080" xr:uid="{00000000-0005-0000-0000-0000E00E0000}"/>
    <cellStyle name="Percent 67" xfId="4081" xr:uid="{00000000-0005-0000-0000-0000E10E0000}"/>
    <cellStyle name="Percent 68" xfId="4082" xr:uid="{00000000-0005-0000-0000-0000E20E0000}"/>
    <cellStyle name="Percent 69" xfId="4083" xr:uid="{00000000-0005-0000-0000-0000E30E0000}"/>
    <cellStyle name="Percent 7" xfId="4084" xr:uid="{00000000-0005-0000-0000-0000E40E0000}"/>
    <cellStyle name="Percent 7 2" xfId="4085" xr:uid="{00000000-0005-0000-0000-0000E50E0000}"/>
    <cellStyle name="Percent 70" xfId="4086" xr:uid="{00000000-0005-0000-0000-0000E60E0000}"/>
    <cellStyle name="Percent 71" xfId="4087" xr:uid="{00000000-0005-0000-0000-0000E70E0000}"/>
    <cellStyle name="Percent 72" xfId="4088" xr:uid="{00000000-0005-0000-0000-0000E80E0000}"/>
    <cellStyle name="Percent 73" xfId="4089" xr:uid="{00000000-0005-0000-0000-0000E90E0000}"/>
    <cellStyle name="Percent 74" xfId="4090" xr:uid="{00000000-0005-0000-0000-0000EA0E0000}"/>
    <cellStyle name="Percent 75" xfId="4091" xr:uid="{00000000-0005-0000-0000-0000EB0E0000}"/>
    <cellStyle name="Percent 76" xfId="4092" xr:uid="{00000000-0005-0000-0000-0000EC0E0000}"/>
    <cellStyle name="Percent 77" xfId="4093" xr:uid="{00000000-0005-0000-0000-0000ED0E0000}"/>
    <cellStyle name="Percent 78" xfId="4094" xr:uid="{00000000-0005-0000-0000-0000EE0E0000}"/>
    <cellStyle name="Percent 79" xfId="4095" xr:uid="{00000000-0005-0000-0000-0000EF0E0000}"/>
    <cellStyle name="Percent 8" xfId="4096" xr:uid="{00000000-0005-0000-0000-0000F00E0000}"/>
    <cellStyle name="Percent 8 2" xfId="4097" xr:uid="{00000000-0005-0000-0000-0000F10E0000}"/>
    <cellStyle name="Percent 80" xfId="4098" xr:uid="{00000000-0005-0000-0000-0000F20E0000}"/>
    <cellStyle name="Percent 81" xfId="4099" xr:uid="{00000000-0005-0000-0000-0000F30E0000}"/>
    <cellStyle name="Percent 82" xfId="4100" xr:uid="{00000000-0005-0000-0000-0000F40E0000}"/>
    <cellStyle name="Percent 83" xfId="4101" xr:uid="{00000000-0005-0000-0000-0000F50E0000}"/>
    <cellStyle name="Percent 84" xfId="4102" xr:uid="{00000000-0005-0000-0000-0000F60E0000}"/>
    <cellStyle name="Percent 85" xfId="4103" xr:uid="{00000000-0005-0000-0000-0000F70E0000}"/>
    <cellStyle name="Percent 86" xfId="4104" xr:uid="{00000000-0005-0000-0000-0000F80E0000}"/>
    <cellStyle name="Percent 87" xfId="4105" xr:uid="{00000000-0005-0000-0000-0000F90E0000}"/>
    <cellStyle name="Percent 88" xfId="4106" xr:uid="{00000000-0005-0000-0000-0000FA0E0000}"/>
    <cellStyle name="Percent 89" xfId="4107" xr:uid="{00000000-0005-0000-0000-0000FB0E0000}"/>
    <cellStyle name="Percent 9" xfId="4108" xr:uid="{00000000-0005-0000-0000-0000FC0E0000}"/>
    <cellStyle name="Percent 9 2" xfId="4109" xr:uid="{00000000-0005-0000-0000-0000FD0E0000}"/>
    <cellStyle name="Percent 90" xfId="4110" xr:uid="{00000000-0005-0000-0000-0000FE0E0000}"/>
    <cellStyle name="Percent 91" xfId="4111" xr:uid="{00000000-0005-0000-0000-0000FF0E0000}"/>
    <cellStyle name="Percent 92" xfId="4112" xr:uid="{00000000-0005-0000-0000-0000000F0000}"/>
    <cellStyle name="Percent 93" xfId="4113" xr:uid="{00000000-0005-0000-0000-0000010F0000}"/>
    <cellStyle name="Percent 94" xfId="4114" xr:uid="{00000000-0005-0000-0000-0000020F0000}"/>
    <cellStyle name="Percent 95" xfId="4115" xr:uid="{00000000-0005-0000-0000-0000030F0000}"/>
    <cellStyle name="Percent 96" xfId="4116" xr:uid="{00000000-0005-0000-0000-0000040F0000}"/>
    <cellStyle name="Percent 97" xfId="4117" xr:uid="{00000000-0005-0000-0000-0000050F0000}"/>
    <cellStyle name="Percent 98" xfId="4118" xr:uid="{00000000-0005-0000-0000-0000060F0000}"/>
    <cellStyle name="Percent 99" xfId="4119" xr:uid="{00000000-0005-0000-0000-0000070F0000}"/>
    <cellStyle name="Percent*" xfId="752" xr:uid="{00000000-0005-0000-0000-0000080F0000}"/>
    <cellStyle name="Percent.0" xfId="753" xr:uid="{00000000-0005-0000-0000-0000090F0000}"/>
    <cellStyle name="Percent.00" xfId="754" xr:uid="{00000000-0005-0000-0000-00000A0F0000}"/>
    <cellStyle name="Percent0" xfId="755" xr:uid="{00000000-0005-0000-0000-00000B0F0000}"/>
    <cellStyle name="Price" xfId="756" xr:uid="{00000000-0005-0000-0000-00000C0F0000}"/>
    <cellStyle name="ProductClass" xfId="757" xr:uid="{00000000-0005-0000-0000-00000D0F0000}"/>
    <cellStyle name="ProductType" xfId="758" xr:uid="{00000000-0005-0000-0000-00000E0F0000}"/>
    <cellStyle name="ProgramVariable" xfId="4120" xr:uid="{00000000-0005-0000-0000-00000F0F0000}"/>
    <cellStyle name="ProgramVariable 2" xfId="4121" xr:uid="{00000000-0005-0000-0000-0000100F0000}"/>
    <cellStyle name="QvB" xfId="759" xr:uid="{00000000-0005-0000-0000-0000110F0000}"/>
    <cellStyle name="RebateValue" xfId="760" xr:uid="{00000000-0005-0000-0000-0000120F0000}"/>
    <cellStyle name="Rec" xfId="4122" xr:uid="{00000000-0005-0000-0000-0000130F0000}"/>
    <cellStyle name="RedStrip" xfId="4123" xr:uid="{00000000-0005-0000-0000-0000140F0000}"/>
    <cellStyle name="Refdb standard" xfId="212" xr:uid="{00000000-0005-0000-0000-0000150F0000}"/>
    <cellStyle name="Refdb standard 2" xfId="761" xr:uid="{00000000-0005-0000-0000-0000160F0000}"/>
    <cellStyle name="Report" xfId="4124" xr:uid="{00000000-0005-0000-0000-0000170F0000}"/>
    <cellStyle name="Report 2" xfId="4125" xr:uid="{00000000-0005-0000-0000-0000180F0000}"/>
    <cellStyle name="ReportData" xfId="213" xr:uid="{00000000-0005-0000-0000-0000190F0000}"/>
    <cellStyle name="ReportElements" xfId="214" xr:uid="{00000000-0005-0000-0000-00001A0F0000}"/>
    <cellStyle name="ReportHeader" xfId="215" xr:uid="{00000000-0005-0000-0000-00001B0F0000}"/>
    <cellStyle name="Reports-0" xfId="762" xr:uid="{00000000-0005-0000-0000-00001C0F0000}"/>
    <cellStyle name="Reports-2" xfId="763" xr:uid="{00000000-0005-0000-0000-00001D0F0000}"/>
    <cellStyle name="ResellerType" xfId="764" xr:uid="{00000000-0005-0000-0000-00001E0F0000}"/>
    <cellStyle name="reset" xfId="4126" xr:uid="{00000000-0005-0000-0000-00001F0F0000}"/>
    <cellStyle name="results" xfId="4127" xr:uid="{00000000-0005-0000-0000-0000200F0000}"/>
    <cellStyle name="Row_CategoryHeadings" xfId="765" xr:uid="{00000000-0005-0000-0000-0000210F0000}"/>
    <cellStyle name="RptBack" xfId="4128" xr:uid="{00000000-0005-0000-0000-0000220F0000}"/>
    <cellStyle name="RptBack 2" xfId="4129" xr:uid="{00000000-0005-0000-0000-0000230F0000}"/>
    <cellStyle name="RptBack 2 2" xfId="4130" xr:uid="{00000000-0005-0000-0000-0000240F0000}"/>
    <cellStyle name="RptBack 3" xfId="4131" xr:uid="{00000000-0005-0000-0000-0000250F0000}"/>
    <cellStyle name="Sales Pricing" xfId="4132" xr:uid="{00000000-0005-0000-0000-0000260F0000}"/>
    <cellStyle name="Sample" xfId="766" xr:uid="{00000000-0005-0000-0000-0000270F0000}"/>
    <cellStyle name="SAPBEXaggData" xfId="216" xr:uid="{00000000-0005-0000-0000-0000280F0000}"/>
    <cellStyle name="SAPBEXaggData 2" xfId="4133" xr:uid="{00000000-0005-0000-0000-0000290F0000}"/>
    <cellStyle name="SAPBEXaggData 2 2" xfId="4134" xr:uid="{00000000-0005-0000-0000-00002A0F0000}"/>
    <cellStyle name="SAPBEXaggData 2_a.Data" xfId="4135" xr:uid="{00000000-0005-0000-0000-00002B0F0000}"/>
    <cellStyle name="SAPBEXaggData 3" xfId="4136" xr:uid="{00000000-0005-0000-0000-00002C0F0000}"/>
    <cellStyle name="SAPBEXaggData_a.Data" xfId="4137" xr:uid="{00000000-0005-0000-0000-00002D0F0000}"/>
    <cellStyle name="SAPBEXaggDataEmph" xfId="217" xr:uid="{00000000-0005-0000-0000-00002E0F0000}"/>
    <cellStyle name="SAPBEXaggDataEmph 2" xfId="4138" xr:uid="{00000000-0005-0000-0000-00002F0F0000}"/>
    <cellStyle name="SAPBEXaggDataEmph 2 2" xfId="4139" xr:uid="{00000000-0005-0000-0000-0000300F0000}"/>
    <cellStyle name="SAPBEXaggDataEmph 2_a.Data" xfId="4140" xr:uid="{00000000-0005-0000-0000-0000310F0000}"/>
    <cellStyle name="SAPBEXaggDataEmph 3" xfId="4141" xr:uid="{00000000-0005-0000-0000-0000320F0000}"/>
    <cellStyle name="SAPBEXaggDataEmph_a.Data" xfId="4142" xr:uid="{00000000-0005-0000-0000-0000330F0000}"/>
    <cellStyle name="SAPBEXaggItem" xfId="218" xr:uid="{00000000-0005-0000-0000-0000340F0000}"/>
    <cellStyle name="SAPBEXaggItem 2" xfId="4143" xr:uid="{00000000-0005-0000-0000-0000350F0000}"/>
    <cellStyle name="SAPBEXaggItem 2 2" xfId="4144" xr:uid="{00000000-0005-0000-0000-0000360F0000}"/>
    <cellStyle name="SAPBEXaggItem 2_a.Data" xfId="4145" xr:uid="{00000000-0005-0000-0000-0000370F0000}"/>
    <cellStyle name="SAPBEXaggItem 3" xfId="4146" xr:uid="{00000000-0005-0000-0000-0000380F0000}"/>
    <cellStyle name="SAPBEXaggItem_a.Data" xfId="4147" xr:uid="{00000000-0005-0000-0000-0000390F0000}"/>
    <cellStyle name="SAPBEXaggItemX" xfId="219" xr:uid="{00000000-0005-0000-0000-00003A0F0000}"/>
    <cellStyle name="SAPBEXaggItemX 2" xfId="4148" xr:uid="{00000000-0005-0000-0000-00003B0F0000}"/>
    <cellStyle name="SAPBEXaggItemX 2 2" xfId="4149" xr:uid="{00000000-0005-0000-0000-00003C0F0000}"/>
    <cellStyle name="SAPBEXaggItemX 2_a.Data" xfId="4150" xr:uid="{00000000-0005-0000-0000-00003D0F0000}"/>
    <cellStyle name="SAPBEXaggItemX 3" xfId="4151" xr:uid="{00000000-0005-0000-0000-00003E0F0000}"/>
    <cellStyle name="SAPBEXaggItemX_a.Data" xfId="4152" xr:uid="{00000000-0005-0000-0000-00003F0F0000}"/>
    <cellStyle name="SAPBEXchaText" xfId="220" xr:uid="{00000000-0005-0000-0000-0000400F0000}"/>
    <cellStyle name="SAPBEXchaText 2" xfId="767" xr:uid="{00000000-0005-0000-0000-0000410F0000}"/>
    <cellStyle name="SAPBEXchaText 2 2" xfId="4153" xr:uid="{00000000-0005-0000-0000-0000420F0000}"/>
    <cellStyle name="SAPBEXchaText 2 2 2" xfId="4154" xr:uid="{00000000-0005-0000-0000-0000430F0000}"/>
    <cellStyle name="SAPBEXchaText 2 2 2 2" xfId="4155" xr:uid="{00000000-0005-0000-0000-0000440F0000}"/>
    <cellStyle name="SAPBEXchaText 2 2 2_a.Data" xfId="4156" xr:uid="{00000000-0005-0000-0000-0000450F0000}"/>
    <cellStyle name="SAPBEXchaText 2 2 3" xfId="4157" xr:uid="{00000000-0005-0000-0000-0000460F0000}"/>
    <cellStyle name="SAPBEXchaText 2 2_a.Data" xfId="4158" xr:uid="{00000000-0005-0000-0000-0000470F0000}"/>
    <cellStyle name="SAPBEXchaText 2 3" xfId="4159" xr:uid="{00000000-0005-0000-0000-0000480F0000}"/>
    <cellStyle name="SAPBEXchaText 2 3 2" xfId="4160" xr:uid="{00000000-0005-0000-0000-0000490F0000}"/>
    <cellStyle name="SAPBEXchaText 2 3_a.Data" xfId="4161" xr:uid="{00000000-0005-0000-0000-00004A0F0000}"/>
    <cellStyle name="SAPBEXchaText 2 4" xfId="4162" xr:uid="{00000000-0005-0000-0000-00004B0F0000}"/>
    <cellStyle name="SAPBEXchaText 2_a.Data" xfId="4163" xr:uid="{00000000-0005-0000-0000-00004C0F0000}"/>
    <cellStyle name="SAPBEXchaText 3" xfId="4164" xr:uid="{00000000-0005-0000-0000-00004D0F0000}"/>
    <cellStyle name="SAPBEXchaText 3 2" xfId="4165" xr:uid="{00000000-0005-0000-0000-00004E0F0000}"/>
    <cellStyle name="SAPBEXchaText 3 2 2" xfId="4166" xr:uid="{00000000-0005-0000-0000-00004F0F0000}"/>
    <cellStyle name="SAPBEXchaText 3 2_a.Data" xfId="4167" xr:uid="{00000000-0005-0000-0000-0000500F0000}"/>
    <cellStyle name="SAPBEXchaText 3 3" xfId="4168" xr:uid="{00000000-0005-0000-0000-0000510F0000}"/>
    <cellStyle name="SAPBEXchaText 3_a.Data" xfId="4169" xr:uid="{00000000-0005-0000-0000-0000520F0000}"/>
    <cellStyle name="SAPBEXchaText 4" xfId="4170" xr:uid="{00000000-0005-0000-0000-0000530F0000}"/>
    <cellStyle name="SAPBEXchaText 4 2" xfId="4171" xr:uid="{00000000-0005-0000-0000-0000540F0000}"/>
    <cellStyle name="SAPBEXchaText 4_a.Data" xfId="4172" xr:uid="{00000000-0005-0000-0000-0000550F0000}"/>
    <cellStyle name="SAPBEXchaText 5" xfId="4173" xr:uid="{00000000-0005-0000-0000-0000560F0000}"/>
    <cellStyle name="SAPBEXchaText_a.Data" xfId="4174" xr:uid="{00000000-0005-0000-0000-0000570F0000}"/>
    <cellStyle name="SAPBEXexcBad" xfId="4175" xr:uid="{00000000-0005-0000-0000-0000580F0000}"/>
    <cellStyle name="SAPBEXexcBad7" xfId="221" xr:uid="{00000000-0005-0000-0000-0000590F0000}"/>
    <cellStyle name="SAPBEXexcBad7 2" xfId="4176" xr:uid="{00000000-0005-0000-0000-00005A0F0000}"/>
    <cellStyle name="SAPBEXexcBad7 2 2" xfId="4177" xr:uid="{00000000-0005-0000-0000-00005B0F0000}"/>
    <cellStyle name="SAPBEXexcBad7 2_a.Data" xfId="4178" xr:uid="{00000000-0005-0000-0000-00005C0F0000}"/>
    <cellStyle name="SAPBEXexcBad7 3" xfId="4179" xr:uid="{00000000-0005-0000-0000-00005D0F0000}"/>
    <cellStyle name="SAPBEXexcBad7_a.Data" xfId="4180" xr:uid="{00000000-0005-0000-0000-00005E0F0000}"/>
    <cellStyle name="SAPBEXexcBad8" xfId="222" xr:uid="{00000000-0005-0000-0000-00005F0F0000}"/>
    <cellStyle name="SAPBEXexcBad8 2" xfId="4181" xr:uid="{00000000-0005-0000-0000-0000600F0000}"/>
    <cellStyle name="SAPBEXexcBad8 2 2" xfId="4182" xr:uid="{00000000-0005-0000-0000-0000610F0000}"/>
    <cellStyle name="SAPBEXexcBad8 2_a.Data" xfId="4183" xr:uid="{00000000-0005-0000-0000-0000620F0000}"/>
    <cellStyle name="SAPBEXexcBad8 3" xfId="4184" xr:uid="{00000000-0005-0000-0000-0000630F0000}"/>
    <cellStyle name="SAPBEXexcBad8_a.Data" xfId="4185" xr:uid="{00000000-0005-0000-0000-0000640F0000}"/>
    <cellStyle name="SAPBEXexcBad9" xfId="223" xr:uid="{00000000-0005-0000-0000-0000650F0000}"/>
    <cellStyle name="SAPBEXexcBad9 2" xfId="4186" xr:uid="{00000000-0005-0000-0000-0000660F0000}"/>
    <cellStyle name="SAPBEXexcBad9 2 2" xfId="4187" xr:uid="{00000000-0005-0000-0000-0000670F0000}"/>
    <cellStyle name="SAPBEXexcBad9 2_a.Data" xfId="4188" xr:uid="{00000000-0005-0000-0000-0000680F0000}"/>
    <cellStyle name="SAPBEXexcBad9 3" xfId="4189" xr:uid="{00000000-0005-0000-0000-0000690F0000}"/>
    <cellStyle name="SAPBEXexcBad9_a.Data" xfId="4190" xr:uid="{00000000-0005-0000-0000-00006A0F0000}"/>
    <cellStyle name="SAPBEXexcCritical" xfId="4191" xr:uid="{00000000-0005-0000-0000-00006B0F0000}"/>
    <cellStyle name="SAPBEXexcCritical4" xfId="224" xr:uid="{00000000-0005-0000-0000-00006C0F0000}"/>
    <cellStyle name="SAPBEXexcCritical4 2" xfId="4192" xr:uid="{00000000-0005-0000-0000-00006D0F0000}"/>
    <cellStyle name="SAPBEXexcCritical4 2 2" xfId="4193" xr:uid="{00000000-0005-0000-0000-00006E0F0000}"/>
    <cellStyle name="SAPBEXexcCritical4 2_a.Data" xfId="4194" xr:uid="{00000000-0005-0000-0000-00006F0F0000}"/>
    <cellStyle name="SAPBEXexcCritical4 3" xfId="4195" xr:uid="{00000000-0005-0000-0000-0000700F0000}"/>
    <cellStyle name="SAPBEXexcCritical4_a.Data" xfId="4196" xr:uid="{00000000-0005-0000-0000-0000710F0000}"/>
    <cellStyle name="SAPBEXexcCritical5" xfId="225" xr:uid="{00000000-0005-0000-0000-0000720F0000}"/>
    <cellStyle name="SAPBEXexcCritical5 2" xfId="4197" xr:uid="{00000000-0005-0000-0000-0000730F0000}"/>
    <cellStyle name="SAPBEXexcCritical5 2 2" xfId="4198" xr:uid="{00000000-0005-0000-0000-0000740F0000}"/>
    <cellStyle name="SAPBEXexcCritical5 2_a.Data" xfId="4199" xr:uid="{00000000-0005-0000-0000-0000750F0000}"/>
    <cellStyle name="SAPBEXexcCritical5 3" xfId="4200" xr:uid="{00000000-0005-0000-0000-0000760F0000}"/>
    <cellStyle name="SAPBEXexcCritical5_a.Data" xfId="4201" xr:uid="{00000000-0005-0000-0000-0000770F0000}"/>
    <cellStyle name="SAPBEXexcCritical6" xfId="226" xr:uid="{00000000-0005-0000-0000-0000780F0000}"/>
    <cellStyle name="SAPBEXexcCritical6 2" xfId="4202" xr:uid="{00000000-0005-0000-0000-0000790F0000}"/>
    <cellStyle name="SAPBEXexcCritical6 2 2" xfId="4203" xr:uid="{00000000-0005-0000-0000-00007A0F0000}"/>
    <cellStyle name="SAPBEXexcCritical6 2_a.Data" xfId="4204" xr:uid="{00000000-0005-0000-0000-00007B0F0000}"/>
    <cellStyle name="SAPBEXexcCritical6 3" xfId="4205" xr:uid="{00000000-0005-0000-0000-00007C0F0000}"/>
    <cellStyle name="SAPBEXexcCritical6_a.Data" xfId="4206" xr:uid="{00000000-0005-0000-0000-00007D0F0000}"/>
    <cellStyle name="SAPBEXexcGood" xfId="4207" xr:uid="{00000000-0005-0000-0000-00007E0F0000}"/>
    <cellStyle name="SAPBEXexcGood1" xfId="227" xr:uid="{00000000-0005-0000-0000-00007F0F0000}"/>
    <cellStyle name="SAPBEXexcGood1 2" xfId="4208" xr:uid="{00000000-0005-0000-0000-0000800F0000}"/>
    <cellStyle name="SAPBEXexcGood1 2 2" xfId="4209" xr:uid="{00000000-0005-0000-0000-0000810F0000}"/>
    <cellStyle name="SAPBEXexcGood1 2_a.Data" xfId="4210" xr:uid="{00000000-0005-0000-0000-0000820F0000}"/>
    <cellStyle name="SAPBEXexcGood1 3" xfId="4211" xr:uid="{00000000-0005-0000-0000-0000830F0000}"/>
    <cellStyle name="SAPBEXexcGood1_a.Data" xfId="4212" xr:uid="{00000000-0005-0000-0000-0000840F0000}"/>
    <cellStyle name="SAPBEXexcGood2" xfId="228" xr:uid="{00000000-0005-0000-0000-0000850F0000}"/>
    <cellStyle name="SAPBEXexcGood2 2" xfId="4213" xr:uid="{00000000-0005-0000-0000-0000860F0000}"/>
    <cellStyle name="SAPBEXexcGood2 2 2" xfId="4214" xr:uid="{00000000-0005-0000-0000-0000870F0000}"/>
    <cellStyle name="SAPBEXexcGood2 2_a.Data" xfId="4215" xr:uid="{00000000-0005-0000-0000-0000880F0000}"/>
    <cellStyle name="SAPBEXexcGood2 3" xfId="4216" xr:uid="{00000000-0005-0000-0000-0000890F0000}"/>
    <cellStyle name="SAPBEXexcGood2_a.Data" xfId="4217" xr:uid="{00000000-0005-0000-0000-00008A0F0000}"/>
    <cellStyle name="SAPBEXexcGood3" xfId="229" xr:uid="{00000000-0005-0000-0000-00008B0F0000}"/>
    <cellStyle name="SAPBEXexcGood3 2" xfId="4218" xr:uid="{00000000-0005-0000-0000-00008C0F0000}"/>
    <cellStyle name="SAPBEXexcGood3 2 2" xfId="4219" xr:uid="{00000000-0005-0000-0000-00008D0F0000}"/>
    <cellStyle name="SAPBEXexcGood3 2_a.Data" xfId="4220" xr:uid="{00000000-0005-0000-0000-00008E0F0000}"/>
    <cellStyle name="SAPBEXexcGood3 3" xfId="4221" xr:uid="{00000000-0005-0000-0000-00008F0F0000}"/>
    <cellStyle name="SAPBEXexcGood3_a.Data" xfId="4222" xr:uid="{00000000-0005-0000-0000-0000900F0000}"/>
    <cellStyle name="SAPBEXexcVeryBad" xfId="4223" xr:uid="{00000000-0005-0000-0000-0000910F0000}"/>
    <cellStyle name="SAPBEXfilterDrill" xfId="230" xr:uid="{00000000-0005-0000-0000-0000920F0000}"/>
    <cellStyle name="SAPBEXfilterDrill 2" xfId="4224" xr:uid="{00000000-0005-0000-0000-0000930F0000}"/>
    <cellStyle name="SAPBEXfilterDrill 2 2" xfId="4225" xr:uid="{00000000-0005-0000-0000-0000940F0000}"/>
    <cellStyle name="SAPBEXfilterDrill 2_a.Data" xfId="4226" xr:uid="{00000000-0005-0000-0000-0000950F0000}"/>
    <cellStyle name="SAPBEXfilterDrill 3" xfId="4227" xr:uid="{00000000-0005-0000-0000-0000960F0000}"/>
    <cellStyle name="SAPBEXfilterDrill_a.Data" xfId="4228" xr:uid="{00000000-0005-0000-0000-0000970F0000}"/>
    <cellStyle name="SAPBEXfilterItem" xfId="231" xr:uid="{00000000-0005-0000-0000-0000980F0000}"/>
    <cellStyle name="SAPBEXfilterItem 2" xfId="4229" xr:uid="{00000000-0005-0000-0000-0000990F0000}"/>
    <cellStyle name="SAPBEXfilterText" xfId="232" xr:uid="{00000000-0005-0000-0000-00009A0F0000}"/>
    <cellStyle name="SAPBEXformats" xfId="233" xr:uid="{00000000-0005-0000-0000-00009B0F0000}"/>
    <cellStyle name="SAPBEXformats 2" xfId="768" xr:uid="{00000000-0005-0000-0000-00009C0F0000}"/>
    <cellStyle name="SAPBEXformats 2 2" xfId="4230" xr:uid="{00000000-0005-0000-0000-00009D0F0000}"/>
    <cellStyle name="SAPBEXformats 2 2 2" xfId="4231" xr:uid="{00000000-0005-0000-0000-00009E0F0000}"/>
    <cellStyle name="SAPBEXformats 2 2 2 2" xfId="4232" xr:uid="{00000000-0005-0000-0000-00009F0F0000}"/>
    <cellStyle name="SAPBEXformats 2 2 2_a.Data" xfId="4233" xr:uid="{00000000-0005-0000-0000-0000A00F0000}"/>
    <cellStyle name="SAPBEXformats 2 2 3" xfId="4234" xr:uid="{00000000-0005-0000-0000-0000A10F0000}"/>
    <cellStyle name="SAPBEXformats 2 2_a.Data" xfId="4235" xr:uid="{00000000-0005-0000-0000-0000A20F0000}"/>
    <cellStyle name="SAPBEXformats 2 3" xfId="4236" xr:uid="{00000000-0005-0000-0000-0000A30F0000}"/>
    <cellStyle name="SAPBEXformats 2 3 2" xfId="4237" xr:uid="{00000000-0005-0000-0000-0000A40F0000}"/>
    <cellStyle name="SAPBEXformats 2 3_a.Data" xfId="4238" xr:uid="{00000000-0005-0000-0000-0000A50F0000}"/>
    <cellStyle name="SAPBEXformats 2 4" xfId="4239" xr:uid="{00000000-0005-0000-0000-0000A60F0000}"/>
    <cellStyle name="SAPBEXformats 2_a.Data" xfId="4240" xr:uid="{00000000-0005-0000-0000-0000A70F0000}"/>
    <cellStyle name="SAPBEXformats 3" xfId="4241" xr:uid="{00000000-0005-0000-0000-0000A80F0000}"/>
    <cellStyle name="SAPBEXformats 3 2" xfId="4242" xr:uid="{00000000-0005-0000-0000-0000A90F0000}"/>
    <cellStyle name="SAPBEXformats 3 2 2" xfId="4243" xr:uid="{00000000-0005-0000-0000-0000AA0F0000}"/>
    <cellStyle name="SAPBEXformats 3 2_a.Data" xfId="4244" xr:uid="{00000000-0005-0000-0000-0000AB0F0000}"/>
    <cellStyle name="SAPBEXformats 3 3" xfId="4245" xr:uid="{00000000-0005-0000-0000-0000AC0F0000}"/>
    <cellStyle name="SAPBEXformats 3_a.Data" xfId="4246" xr:uid="{00000000-0005-0000-0000-0000AD0F0000}"/>
    <cellStyle name="SAPBEXformats 4" xfId="4247" xr:uid="{00000000-0005-0000-0000-0000AE0F0000}"/>
    <cellStyle name="SAPBEXformats 4 2" xfId="4248" xr:uid="{00000000-0005-0000-0000-0000AF0F0000}"/>
    <cellStyle name="SAPBEXformats 4_a.Data" xfId="4249" xr:uid="{00000000-0005-0000-0000-0000B00F0000}"/>
    <cellStyle name="SAPBEXformats 5" xfId="4250" xr:uid="{00000000-0005-0000-0000-0000B10F0000}"/>
    <cellStyle name="SAPBEXformats_a.Data" xfId="4251" xr:uid="{00000000-0005-0000-0000-0000B20F0000}"/>
    <cellStyle name="SAPBEXheaderData" xfId="4252" xr:uid="{00000000-0005-0000-0000-0000B30F0000}"/>
    <cellStyle name="SAPBEXheaderItem" xfId="234" xr:uid="{00000000-0005-0000-0000-0000B40F0000}"/>
    <cellStyle name="SAPBEXheaderItem 2" xfId="4253" xr:uid="{00000000-0005-0000-0000-0000B50F0000}"/>
    <cellStyle name="SAPBEXheaderItem 2 2" xfId="4254" xr:uid="{00000000-0005-0000-0000-0000B60F0000}"/>
    <cellStyle name="SAPBEXheaderItem 2_a.Data" xfId="4255" xr:uid="{00000000-0005-0000-0000-0000B70F0000}"/>
    <cellStyle name="SAPBEXheaderItem 3" xfId="4256" xr:uid="{00000000-0005-0000-0000-0000B80F0000}"/>
    <cellStyle name="SAPBEXheaderItem_a.Data" xfId="4257" xr:uid="{00000000-0005-0000-0000-0000B90F0000}"/>
    <cellStyle name="SAPBEXheaderText" xfId="235" xr:uid="{00000000-0005-0000-0000-0000BA0F0000}"/>
    <cellStyle name="SAPBEXheaderText 2" xfId="4258" xr:uid="{00000000-0005-0000-0000-0000BB0F0000}"/>
    <cellStyle name="SAPBEXheaderText 2 2" xfId="4259" xr:uid="{00000000-0005-0000-0000-0000BC0F0000}"/>
    <cellStyle name="SAPBEXheaderText 2_a.Data" xfId="4260" xr:uid="{00000000-0005-0000-0000-0000BD0F0000}"/>
    <cellStyle name="SAPBEXheaderText 3" xfId="4261" xr:uid="{00000000-0005-0000-0000-0000BE0F0000}"/>
    <cellStyle name="SAPBEXheaderText_a.Data" xfId="4262" xr:uid="{00000000-0005-0000-0000-0000BF0F0000}"/>
    <cellStyle name="SAPBEXHLevel0" xfId="236" xr:uid="{00000000-0005-0000-0000-0000C00F0000}"/>
    <cellStyle name="SAPBEXHLevel0 2" xfId="769" xr:uid="{00000000-0005-0000-0000-0000C10F0000}"/>
    <cellStyle name="SAPBEXHLevel0 2 2" xfId="4263" xr:uid="{00000000-0005-0000-0000-0000C20F0000}"/>
    <cellStyle name="SAPBEXHLevel0 2 2 2" xfId="4264" xr:uid="{00000000-0005-0000-0000-0000C30F0000}"/>
    <cellStyle name="SAPBEXHLevel0 2 2 2 2" xfId="4265" xr:uid="{00000000-0005-0000-0000-0000C40F0000}"/>
    <cellStyle name="SAPBEXHLevel0 2 2 2_a.Data" xfId="4266" xr:uid="{00000000-0005-0000-0000-0000C50F0000}"/>
    <cellStyle name="SAPBEXHLevel0 2 2 3" xfId="4267" xr:uid="{00000000-0005-0000-0000-0000C60F0000}"/>
    <cellStyle name="SAPBEXHLevel0 2 2_a.Data" xfId="4268" xr:uid="{00000000-0005-0000-0000-0000C70F0000}"/>
    <cellStyle name="SAPBEXHLevel0 2 3" xfId="4269" xr:uid="{00000000-0005-0000-0000-0000C80F0000}"/>
    <cellStyle name="SAPBEXHLevel0 2 3 2" xfId="4270" xr:uid="{00000000-0005-0000-0000-0000C90F0000}"/>
    <cellStyle name="SAPBEXHLevel0 2 3_a.Data" xfId="4271" xr:uid="{00000000-0005-0000-0000-0000CA0F0000}"/>
    <cellStyle name="SAPBEXHLevel0 2 4" xfId="4272" xr:uid="{00000000-0005-0000-0000-0000CB0F0000}"/>
    <cellStyle name="SAPBEXHLevel0 2_a.Data" xfId="4273" xr:uid="{00000000-0005-0000-0000-0000CC0F0000}"/>
    <cellStyle name="SAPBEXHLevel0 3" xfId="4274" xr:uid="{00000000-0005-0000-0000-0000CD0F0000}"/>
    <cellStyle name="SAPBEXHLevel0 3 2" xfId="4275" xr:uid="{00000000-0005-0000-0000-0000CE0F0000}"/>
    <cellStyle name="SAPBEXHLevel0 3 2 2" xfId="4276" xr:uid="{00000000-0005-0000-0000-0000CF0F0000}"/>
    <cellStyle name="SAPBEXHLevel0 3 2_a.Data" xfId="4277" xr:uid="{00000000-0005-0000-0000-0000D00F0000}"/>
    <cellStyle name="SAPBEXHLevel0 3 3" xfId="4278" xr:uid="{00000000-0005-0000-0000-0000D10F0000}"/>
    <cellStyle name="SAPBEXHLevel0 3_a.Data" xfId="4279" xr:uid="{00000000-0005-0000-0000-0000D20F0000}"/>
    <cellStyle name="SAPBEXHLevel0 4" xfId="4280" xr:uid="{00000000-0005-0000-0000-0000D30F0000}"/>
    <cellStyle name="SAPBEXHLevel0 4 2" xfId="4281" xr:uid="{00000000-0005-0000-0000-0000D40F0000}"/>
    <cellStyle name="SAPBEXHLevel0 4_a.Data" xfId="4282" xr:uid="{00000000-0005-0000-0000-0000D50F0000}"/>
    <cellStyle name="SAPBEXHLevel0 5" xfId="4283" xr:uid="{00000000-0005-0000-0000-0000D60F0000}"/>
    <cellStyle name="SAPBEXHLevel0_a.Data" xfId="4284" xr:uid="{00000000-0005-0000-0000-0000D70F0000}"/>
    <cellStyle name="SAPBEXHLevel0X" xfId="237" xr:uid="{00000000-0005-0000-0000-0000D80F0000}"/>
    <cellStyle name="SAPBEXHLevel0X 2" xfId="770" xr:uid="{00000000-0005-0000-0000-0000D90F0000}"/>
    <cellStyle name="SAPBEXHLevel0X 2 2" xfId="4285" xr:uid="{00000000-0005-0000-0000-0000DA0F0000}"/>
    <cellStyle name="SAPBEXHLevel0X 2 2 2" xfId="4286" xr:uid="{00000000-0005-0000-0000-0000DB0F0000}"/>
    <cellStyle name="SAPBEXHLevel0X 2 2 2 2" xfId="4287" xr:uid="{00000000-0005-0000-0000-0000DC0F0000}"/>
    <cellStyle name="SAPBEXHLevel0X 2 2 2_a.Data" xfId="4288" xr:uid="{00000000-0005-0000-0000-0000DD0F0000}"/>
    <cellStyle name="SAPBEXHLevel0X 2 2 3" xfId="4289" xr:uid="{00000000-0005-0000-0000-0000DE0F0000}"/>
    <cellStyle name="SAPBEXHLevel0X 2 2_a.Data" xfId="4290" xr:uid="{00000000-0005-0000-0000-0000DF0F0000}"/>
    <cellStyle name="SAPBEXHLevel0X 2 3" xfId="4291" xr:uid="{00000000-0005-0000-0000-0000E00F0000}"/>
    <cellStyle name="SAPBEXHLevel0X 2 3 2" xfId="4292" xr:uid="{00000000-0005-0000-0000-0000E10F0000}"/>
    <cellStyle name="SAPBEXHLevel0X 2 3_a.Data" xfId="4293" xr:uid="{00000000-0005-0000-0000-0000E20F0000}"/>
    <cellStyle name="SAPBEXHLevel0X 2 4" xfId="4294" xr:uid="{00000000-0005-0000-0000-0000E30F0000}"/>
    <cellStyle name="SAPBEXHLevel0X 2_a.Data" xfId="4295" xr:uid="{00000000-0005-0000-0000-0000E40F0000}"/>
    <cellStyle name="SAPBEXHLevel0X 3" xfId="4296" xr:uid="{00000000-0005-0000-0000-0000E50F0000}"/>
    <cellStyle name="SAPBEXHLevel0X 3 2" xfId="4297" xr:uid="{00000000-0005-0000-0000-0000E60F0000}"/>
    <cellStyle name="SAPBEXHLevel0X 3 2 2" xfId="4298" xr:uid="{00000000-0005-0000-0000-0000E70F0000}"/>
    <cellStyle name="SAPBEXHLevel0X 3 2_a.Data" xfId="4299" xr:uid="{00000000-0005-0000-0000-0000E80F0000}"/>
    <cellStyle name="SAPBEXHLevel0X 3 3" xfId="4300" xr:uid="{00000000-0005-0000-0000-0000E90F0000}"/>
    <cellStyle name="SAPBEXHLevel0X 3_a.Data" xfId="4301" xr:uid="{00000000-0005-0000-0000-0000EA0F0000}"/>
    <cellStyle name="SAPBEXHLevel0X 4" xfId="4302" xr:uid="{00000000-0005-0000-0000-0000EB0F0000}"/>
    <cellStyle name="SAPBEXHLevel0X 4 2" xfId="4303" xr:uid="{00000000-0005-0000-0000-0000EC0F0000}"/>
    <cellStyle name="SAPBEXHLevel0X 4_a.Data" xfId="4304" xr:uid="{00000000-0005-0000-0000-0000ED0F0000}"/>
    <cellStyle name="SAPBEXHLevel0X 5" xfId="4305" xr:uid="{00000000-0005-0000-0000-0000EE0F0000}"/>
    <cellStyle name="SAPBEXHLevel0X_a.Data" xfId="4306" xr:uid="{00000000-0005-0000-0000-0000EF0F0000}"/>
    <cellStyle name="SAPBEXHLevel1" xfId="238" xr:uid="{00000000-0005-0000-0000-0000F00F0000}"/>
    <cellStyle name="SAPBEXHLevel1 2" xfId="771" xr:uid="{00000000-0005-0000-0000-0000F10F0000}"/>
    <cellStyle name="SAPBEXHLevel1 2 2" xfId="4307" xr:uid="{00000000-0005-0000-0000-0000F20F0000}"/>
    <cellStyle name="SAPBEXHLevel1 2 2 2" xfId="4308" xr:uid="{00000000-0005-0000-0000-0000F30F0000}"/>
    <cellStyle name="SAPBEXHLevel1 2 2 2 2" xfId="4309" xr:uid="{00000000-0005-0000-0000-0000F40F0000}"/>
    <cellStyle name="SAPBEXHLevel1 2 2 2_a.Data" xfId="4310" xr:uid="{00000000-0005-0000-0000-0000F50F0000}"/>
    <cellStyle name="SAPBEXHLevel1 2 2 3" xfId="4311" xr:uid="{00000000-0005-0000-0000-0000F60F0000}"/>
    <cellStyle name="SAPBEXHLevel1 2 2_a.Data" xfId="4312" xr:uid="{00000000-0005-0000-0000-0000F70F0000}"/>
    <cellStyle name="SAPBEXHLevel1 2 3" xfId="4313" xr:uid="{00000000-0005-0000-0000-0000F80F0000}"/>
    <cellStyle name="SAPBEXHLevel1 2 3 2" xfId="4314" xr:uid="{00000000-0005-0000-0000-0000F90F0000}"/>
    <cellStyle name="SAPBEXHLevel1 2 3_a.Data" xfId="4315" xr:uid="{00000000-0005-0000-0000-0000FA0F0000}"/>
    <cellStyle name="SAPBEXHLevel1 2 4" xfId="4316" xr:uid="{00000000-0005-0000-0000-0000FB0F0000}"/>
    <cellStyle name="SAPBEXHLevel1 2_a.Data" xfId="4317" xr:uid="{00000000-0005-0000-0000-0000FC0F0000}"/>
    <cellStyle name="SAPBEXHLevel1 3" xfId="4318" xr:uid="{00000000-0005-0000-0000-0000FD0F0000}"/>
    <cellStyle name="SAPBEXHLevel1 3 2" xfId="4319" xr:uid="{00000000-0005-0000-0000-0000FE0F0000}"/>
    <cellStyle name="SAPBEXHLevel1 3 2 2" xfId="4320" xr:uid="{00000000-0005-0000-0000-0000FF0F0000}"/>
    <cellStyle name="SAPBEXHLevel1 3 2_a.Data" xfId="4321" xr:uid="{00000000-0005-0000-0000-000000100000}"/>
    <cellStyle name="SAPBEXHLevel1 3 3" xfId="4322" xr:uid="{00000000-0005-0000-0000-000001100000}"/>
    <cellStyle name="SAPBEXHLevel1 3_a.Data" xfId="4323" xr:uid="{00000000-0005-0000-0000-000002100000}"/>
    <cellStyle name="SAPBEXHLevel1 4" xfId="4324" xr:uid="{00000000-0005-0000-0000-000003100000}"/>
    <cellStyle name="SAPBEXHLevel1 4 2" xfId="4325" xr:uid="{00000000-0005-0000-0000-000004100000}"/>
    <cellStyle name="SAPBEXHLevel1 4_a.Data" xfId="4326" xr:uid="{00000000-0005-0000-0000-000005100000}"/>
    <cellStyle name="SAPBEXHLevel1 5" xfId="4327" xr:uid="{00000000-0005-0000-0000-000006100000}"/>
    <cellStyle name="SAPBEXHLevel1_a.Data" xfId="4328" xr:uid="{00000000-0005-0000-0000-000007100000}"/>
    <cellStyle name="SAPBEXHLevel1X" xfId="239" xr:uid="{00000000-0005-0000-0000-000008100000}"/>
    <cellStyle name="SAPBEXHLevel1X 2" xfId="772" xr:uid="{00000000-0005-0000-0000-000009100000}"/>
    <cellStyle name="SAPBEXHLevel1X 2 2" xfId="4329" xr:uid="{00000000-0005-0000-0000-00000A100000}"/>
    <cellStyle name="SAPBEXHLevel1X 2 2 2" xfId="4330" xr:uid="{00000000-0005-0000-0000-00000B100000}"/>
    <cellStyle name="SAPBEXHLevel1X 2 2 2 2" xfId="4331" xr:uid="{00000000-0005-0000-0000-00000C100000}"/>
    <cellStyle name="SAPBEXHLevel1X 2 2 2_a.Data" xfId="4332" xr:uid="{00000000-0005-0000-0000-00000D100000}"/>
    <cellStyle name="SAPBEXHLevel1X 2 2 3" xfId="4333" xr:uid="{00000000-0005-0000-0000-00000E100000}"/>
    <cellStyle name="SAPBEXHLevel1X 2 2_a.Data" xfId="4334" xr:uid="{00000000-0005-0000-0000-00000F100000}"/>
    <cellStyle name="SAPBEXHLevel1X 2 3" xfId="4335" xr:uid="{00000000-0005-0000-0000-000010100000}"/>
    <cellStyle name="SAPBEXHLevel1X 2 3 2" xfId="4336" xr:uid="{00000000-0005-0000-0000-000011100000}"/>
    <cellStyle name="SAPBEXHLevel1X 2 3_a.Data" xfId="4337" xr:uid="{00000000-0005-0000-0000-000012100000}"/>
    <cellStyle name="SAPBEXHLevel1X 2 4" xfId="4338" xr:uid="{00000000-0005-0000-0000-000013100000}"/>
    <cellStyle name="SAPBEXHLevel1X 2_a.Data" xfId="4339" xr:uid="{00000000-0005-0000-0000-000014100000}"/>
    <cellStyle name="SAPBEXHLevel1X 3" xfId="4340" xr:uid="{00000000-0005-0000-0000-000015100000}"/>
    <cellStyle name="SAPBEXHLevel1X 3 2" xfId="4341" xr:uid="{00000000-0005-0000-0000-000016100000}"/>
    <cellStyle name="SAPBEXHLevel1X 3 2 2" xfId="4342" xr:uid="{00000000-0005-0000-0000-000017100000}"/>
    <cellStyle name="SAPBEXHLevel1X 3 2_a.Data" xfId="4343" xr:uid="{00000000-0005-0000-0000-000018100000}"/>
    <cellStyle name="SAPBEXHLevel1X 3 3" xfId="4344" xr:uid="{00000000-0005-0000-0000-000019100000}"/>
    <cellStyle name="SAPBEXHLevel1X 3_a.Data" xfId="4345" xr:uid="{00000000-0005-0000-0000-00001A100000}"/>
    <cellStyle name="SAPBEXHLevel1X 4" xfId="4346" xr:uid="{00000000-0005-0000-0000-00001B100000}"/>
    <cellStyle name="SAPBEXHLevel1X 4 2" xfId="4347" xr:uid="{00000000-0005-0000-0000-00001C100000}"/>
    <cellStyle name="SAPBEXHLevel1X 4_a.Data" xfId="4348" xr:uid="{00000000-0005-0000-0000-00001D100000}"/>
    <cellStyle name="SAPBEXHLevel1X 5" xfId="4349" xr:uid="{00000000-0005-0000-0000-00001E100000}"/>
    <cellStyle name="SAPBEXHLevel1X_a.Data" xfId="4350" xr:uid="{00000000-0005-0000-0000-00001F100000}"/>
    <cellStyle name="SAPBEXHLevel2" xfId="240" xr:uid="{00000000-0005-0000-0000-000020100000}"/>
    <cellStyle name="SAPBEXHLevel2 2" xfId="773" xr:uid="{00000000-0005-0000-0000-000021100000}"/>
    <cellStyle name="SAPBEXHLevel2 2 2" xfId="4351" xr:uid="{00000000-0005-0000-0000-000022100000}"/>
    <cellStyle name="SAPBEXHLevel2 2 2 2" xfId="4352" xr:uid="{00000000-0005-0000-0000-000023100000}"/>
    <cellStyle name="SAPBEXHLevel2 2 2 2 2" xfId="4353" xr:uid="{00000000-0005-0000-0000-000024100000}"/>
    <cellStyle name="SAPBEXHLevel2 2 2 2_a.Data" xfId="4354" xr:uid="{00000000-0005-0000-0000-000025100000}"/>
    <cellStyle name="SAPBEXHLevel2 2 2 3" xfId="4355" xr:uid="{00000000-0005-0000-0000-000026100000}"/>
    <cellStyle name="SAPBEXHLevel2 2 2_a.Data" xfId="4356" xr:uid="{00000000-0005-0000-0000-000027100000}"/>
    <cellStyle name="SAPBEXHLevel2 2 3" xfId="4357" xr:uid="{00000000-0005-0000-0000-000028100000}"/>
    <cellStyle name="SAPBEXHLevel2 2 3 2" xfId="4358" xr:uid="{00000000-0005-0000-0000-000029100000}"/>
    <cellStyle name="SAPBEXHLevel2 2 3_a.Data" xfId="4359" xr:uid="{00000000-0005-0000-0000-00002A100000}"/>
    <cellStyle name="SAPBEXHLevel2 2 4" xfId="4360" xr:uid="{00000000-0005-0000-0000-00002B100000}"/>
    <cellStyle name="SAPBEXHLevel2 2_a.Data" xfId="4361" xr:uid="{00000000-0005-0000-0000-00002C100000}"/>
    <cellStyle name="SAPBEXHLevel2 3" xfId="4362" xr:uid="{00000000-0005-0000-0000-00002D100000}"/>
    <cellStyle name="SAPBEXHLevel2 3 2" xfId="4363" xr:uid="{00000000-0005-0000-0000-00002E100000}"/>
    <cellStyle name="SAPBEXHLevel2 3 2 2" xfId="4364" xr:uid="{00000000-0005-0000-0000-00002F100000}"/>
    <cellStyle name="SAPBEXHLevel2 3 2_a.Data" xfId="4365" xr:uid="{00000000-0005-0000-0000-000030100000}"/>
    <cellStyle name="SAPBEXHLevel2 3 3" xfId="4366" xr:uid="{00000000-0005-0000-0000-000031100000}"/>
    <cellStyle name="SAPBEXHLevel2 3_a.Data" xfId="4367" xr:uid="{00000000-0005-0000-0000-000032100000}"/>
    <cellStyle name="SAPBEXHLevel2 4" xfId="4368" xr:uid="{00000000-0005-0000-0000-000033100000}"/>
    <cellStyle name="SAPBEXHLevel2 4 2" xfId="4369" xr:uid="{00000000-0005-0000-0000-000034100000}"/>
    <cellStyle name="SAPBEXHLevel2 4_a.Data" xfId="4370" xr:uid="{00000000-0005-0000-0000-000035100000}"/>
    <cellStyle name="SAPBEXHLevel2 5" xfId="4371" xr:uid="{00000000-0005-0000-0000-000036100000}"/>
    <cellStyle name="SAPBEXHLevel2_a.Data" xfId="4372" xr:uid="{00000000-0005-0000-0000-000037100000}"/>
    <cellStyle name="SAPBEXHLevel2X" xfId="241" xr:uid="{00000000-0005-0000-0000-000038100000}"/>
    <cellStyle name="SAPBEXHLevel2X 2" xfId="774" xr:uid="{00000000-0005-0000-0000-000039100000}"/>
    <cellStyle name="SAPBEXHLevel2X 2 2" xfId="4373" xr:uid="{00000000-0005-0000-0000-00003A100000}"/>
    <cellStyle name="SAPBEXHLevel2X 2 2 2" xfId="4374" xr:uid="{00000000-0005-0000-0000-00003B100000}"/>
    <cellStyle name="SAPBEXHLevel2X 2 2 2 2" xfId="4375" xr:uid="{00000000-0005-0000-0000-00003C100000}"/>
    <cellStyle name="SAPBEXHLevel2X 2 2 2_a.Data" xfId="4376" xr:uid="{00000000-0005-0000-0000-00003D100000}"/>
    <cellStyle name="SAPBEXHLevel2X 2 2 3" xfId="4377" xr:uid="{00000000-0005-0000-0000-00003E100000}"/>
    <cellStyle name="SAPBEXHLevel2X 2 2_a.Data" xfId="4378" xr:uid="{00000000-0005-0000-0000-00003F100000}"/>
    <cellStyle name="SAPBEXHLevel2X 2 3" xfId="4379" xr:uid="{00000000-0005-0000-0000-000040100000}"/>
    <cellStyle name="SAPBEXHLevel2X 2 3 2" xfId="4380" xr:uid="{00000000-0005-0000-0000-000041100000}"/>
    <cellStyle name="SAPBEXHLevel2X 2 3_a.Data" xfId="4381" xr:uid="{00000000-0005-0000-0000-000042100000}"/>
    <cellStyle name="SAPBEXHLevel2X 2 4" xfId="4382" xr:uid="{00000000-0005-0000-0000-000043100000}"/>
    <cellStyle name="SAPBEXHLevel2X 2_a.Data" xfId="4383" xr:uid="{00000000-0005-0000-0000-000044100000}"/>
    <cellStyle name="SAPBEXHLevel2X 3" xfId="4384" xr:uid="{00000000-0005-0000-0000-000045100000}"/>
    <cellStyle name="SAPBEXHLevel2X 3 2" xfId="4385" xr:uid="{00000000-0005-0000-0000-000046100000}"/>
    <cellStyle name="SAPBEXHLevel2X 3 2 2" xfId="4386" xr:uid="{00000000-0005-0000-0000-000047100000}"/>
    <cellStyle name="SAPBEXHLevel2X 3 2_a.Data" xfId="4387" xr:uid="{00000000-0005-0000-0000-000048100000}"/>
    <cellStyle name="SAPBEXHLevel2X 3 3" xfId="4388" xr:uid="{00000000-0005-0000-0000-000049100000}"/>
    <cellStyle name="SAPBEXHLevel2X 3_a.Data" xfId="4389" xr:uid="{00000000-0005-0000-0000-00004A100000}"/>
    <cellStyle name="SAPBEXHLevel2X 4" xfId="4390" xr:uid="{00000000-0005-0000-0000-00004B100000}"/>
    <cellStyle name="SAPBEXHLevel2X 4 2" xfId="4391" xr:uid="{00000000-0005-0000-0000-00004C100000}"/>
    <cellStyle name="SAPBEXHLevel2X 4_a.Data" xfId="4392" xr:uid="{00000000-0005-0000-0000-00004D100000}"/>
    <cellStyle name="SAPBEXHLevel2X 5" xfId="4393" xr:uid="{00000000-0005-0000-0000-00004E100000}"/>
    <cellStyle name="SAPBEXHLevel2X_a.Data" xfId="4394" xr:uid="{00000000-0005-0000-0000-00004F100000}"/>
    <cellStyle name="SAPBEXHLevel3" xfId="242" xr:uid="{00000000-0005-0000-0000-000050100000}"/>
    <cellStyle name="SAPBEXHLevel3 2" xfId="775" xr:uid="{00000000-0005-0000-0000-000051100000}"/>
    <cellStyle name="SAPBEXHLevel3 2 2" xfId="4395" xr:uid="{00000000-0005-0000-0000-000052100000}"/>
    <cellStyle name="SAPBEXHLevel3 2 2 2" xfId="4396" xr:uid="{00000000-0005-0000-0000-000053100000}"/>
    <cellStyle name="SAPBEXHLevel3 2 2 2 2" xfId="4397" xr:uid="{00000000-0005-0000-0000-000054100000}"/>
    <cellStyle name="SAPBEXHLevel3 2 2 2_a.Data" xfId="4398" xr:uid="{00000000-0005-0000-0000-000055100000}"/>
    <cellStyle name="SAPBEXHLevel3 2 2 3" xfId="4399" xr:uid="{00000000-0005-0000-0000-000056100000}"/>
    <cellStyle name="SAPBEXHLevel3 2 2_a.Data" xfId="4400" xr:uid="{00000000-0005-0000-0000-000057100000}"/>
    <cellStyle name="SAPBEXHLevel3 2 3" xfId="4401" xr:uid="{00000000-0005-0000-0000-000058100000}"/>
    <cellStyle name="SAPBEXHLevel3 2 3 2" xfId="4402" xr:uid="{00000000-0005-0000-0000-000059100000}"/>
    <cellStyle name="SAPBEXHLevel3 2 3_a.Data" xfId="4403" xr:uid="{00000000-0005-0000-0000-00005A100000}"/>
    <cellStyle name="SAPBEXHLevel3 2 4" xfId="4404" xr:uid="{00000000-0005-0000-0000-00005B100000}"/>
    <cellStyle name="SAPBEXHLevel3 2_a.Data" xfId="4405" xr:uid="{00000000-0005-0000-0000-00005C100000}"/>
    <cellStyle name="SAPBEXHLevel3 3" xfId="4406" xr:uid="{00000000-0005-0000-0000-00005D100000}"/>
    <cellStyle name="SAPBEXHLevel3 3 2" xfId="4407" xr:uid="{00000000-0005-0000-0000-00005E100000}"/>
    <cellStyle name="SAPBEXHLevel3 3 2 2" xfId="4408" xr:uid="{00000000-0005-0000-0000-00005F100000}"/>
    <cellStyle name="SAPBEXHLevel3 3 2_a.Data" xfId="4409" xr:uid="{00000000-0005-0000-0000-000060100000}"/>
    <cellStyle name="SAPBEXHLevel3 3 3" xfId="4410" xr:uid="{00000000-0005-0000-0000-000061100000}"/>
    <cellStyle name="SAPBEXHLevel3 3_a.Data" xfId="4411" xr:uid="{00000000-0005-0000-0000-000062100000}"/>
    <cellStyle name="SAPBEXHLevel3 4" xfId="4412" xr:uid="{00000000-0005-0000-0000-000063100000}"/>
    <cellStyle name="SAPBEXHLevel3 4 2" xfId="4413" xr:uid="{00000000-0005-0000-0000-000064100000}"/>
    <cellStyle name="SAPBEXHLevel3 4_a.Data" xfId="4414" xr:uid="{00000000-0005-0000-0000-000065100000}"/>
    <cellStyle name="SAPBEXHLevel3 5" xfId="4415" xr:uid="{00000000-0005-0000-0000-000066100000}"/>
    <cellStyle name="SAPBEXHLevel3_a.Data" xfId="4416" xr:uid="{00000000-0005-0000-0000-000067100000}"/>
    <cellStyle name="SAPBEXHLevel3X" xfId="243" xr:uid="{00000000-0005-0000-0000-000068100000}"/>
    <cellStyle name="SAPBEXHLevel3X 2" xfId="776" xr:uid="{00000000-0005-0000-0000-000069100000}"/>
    <cellStyle name="SAPBEXHLevel3X 2 2" xfId="4417" xr:uid="{00000000-0005-0000-0000-00006A100000}"/>
    <cellStyle name="SAPBEXHLevel3X 2 2 2" xfId="4418" xr:uid="{00000000-0005-0000-0000-00006B100000}"/>
    <cellStyle name="SAPBEXHLevel3X 2 2 2 2" xfId="4419" xr:uid="{00000000-0005-0000-0000-00006C100000}"/>
    <cellStyle name="SAPBEXHLevel3X 2 2 2_a.Data" xfId="4420" xr:uid="{00000000-0005-0000-0000-00006D100000}"/>
    <cellStyle name="SAPBEXHLevel3X 2 2 3" xfId="4421" xr:uid="{00000000-0005-0000-0000-00006E100000}"/>
    <cellStyle name="SAPBEXHLevel3X 2 2_a.Data" xfId="4422" xr:uid="{00000000-0005-0000-0000-00006F100000}"/>
    <cellStyle name="SAPBEXHLevel3X 2 3" xfId="4423" xr:uid="{00000000-0005-0000-0000-000070100000}"/>
    <cellStyle name="SAPBEXHLevel3X 2 3 2" xfId="4424" xr:uid="{00000000-0005-0000-0000-000071100000}"/>
    <cellStyle name="SAPBEXHLevel3X 2 3_a.Data" xfId="4425" xr:uid="{00000000-0005-0000-0000-000072100000}"/>
    <cellStyle name="SAPBEXHLevel3X 2 4" xfId="4426" xr:uid="{00000000-0005-0000-0000-000073100000}"/>
    <cellStyle name="SAPBEXHLevel3X 2_a.Data" xfId="4427" xr:uid="{00000000-0005-0000-0000-000074100000}"/>
    <cellStyle name="SAPBEXHLevel3X 3" xfId="4428" xr:uid="{00000000-0005-0000-0000-000075100000}"/>
    <cellStyle name="SAPBEXHLevel3X 3 2" xfId="4429" xr:uid="{00000000-0005-0000-0000-000076100000}"/>
    <cellStyle name="SAPBEXHLevel3X 3 2 2" xfId="4430" xr:uid="{00000000-0005-0000-0000-000077100000}"/>
    <cellStyle name="SAPBEXHLevel3X 3 2_a.Data" xfId="4431" xr:uid="{00000000-0005-0000-0000-000078100000}"/>
    <cellStyle name="SAPBEXHLevel3X 3 3" xfId="4432" xr:uid="{00000000-0005-0000-0000-000079100000}"/>
    <cellStyle name="SAPBEXHLevel3X 3_a.Data" xfId="4433" xr:uid="{00000000-0005-0000-0000-00007A100000}"/>
    <cellStyle name="SAPBEXHLevel3X 4" xfId="4434" xr:uid="{00000000-0005-0000-0000-00007B100000}"/>
    <cellStyle name="SAPBEXHLevel3X 4 2" xfId="4435" xr:uid="{00000000-0005-0000-0000-00007C100000}"/>
    <cellStyle name="SAPBEXHLevel3X 4_a.Data" xfId="4436" xr:uid="{00000000-0005-0000-0000-00007D100000}"/>
    <cellStyle name="SAPBEXHLevel3X 5" xfId="4437" xr:uid="{00000000-0005-0000-0000-00007E100000}"/>
    <cellStyle name="SAPBEXHLevel3X_a.Data" xfId="4438" xr:uid="{00000000-0005-0000-0000-00007F100000}"/>
    <cellStyle name="SAPBEXresData" xfId="244" xr:uid="{00000000-0005-0000-0000-000080100000}"/>
    <cellStyle name="SAPBEXresData 2" xfId="4439" xr:uid="{00000000-0005-0000-0000-000081100000}"/>
    <cellStyle name="SAPBEXresData 2 2" xfId="4440" xr:uid="{00000000-0005-0000-0000-000082100000}"/>
    <cellStyle name="SAPBEXresData 2_a.Data" xfId="4441" xr:uid="{00000000-0005-0000-0000-000083100000}"/>
    <cellStyle name="SAPBEXresData 3" xfId="4442" xr:uid="{00000000-0005-0000-0000-000084100000}"/>
    <cellStyle name="SAPBEXresData_a.Data" xfId="4443" xr:uid="{00000000-0005-0000-0000-000085100000}"/>
    <cellStyle name="SAPBEXresDataEmph" xfId="245" xr:uid="{00000000-0005-0000-0000-000086100000}"/>
    <cellStyle name="SAPBEXresDataEmph 2" xfId="4444" xr:uid="{00000000-0005-0000-0000-000087100000}"/>
    <cellStyle name="SAPBEXresDataEmph 2 2" xfId="4445" xr:uid="{00000000-0005-0000-0000-000088100000}"/>
    <cellStyle name="SAPBEXresDataEmph 2_a.Data" xfId="4446" xr:uid="{00000000-0005-0000-0000-000089100000}"/>
    <cellStyle name="SAPBEXresDataEmph 3" xfId="4447" xr:uid="{00000000-0005-0000-0000-00008A100000}"/>
    <cellStyle name="SAPBEXresDataEmph_a.Data" xfId="4448" xr:uid="{00000000-0005-0000-0000-00008B100000}"/>
    <cellStyle name="SAPBEXresItem" xfId="246" xr:uid="{00000000-0005-0000-0000-00008C100000}"/>
    <cellStyle name="SAPBEXresItem 2" xfId="4449" xr:uid="{00000000-0005-0000-0000-00008D100000}"/>
    <cellStyle name="SAPBEXresItem 2 2" xfId="4450" xr:uid="{00000000-0005-0000-0000-00008E100000}"/>
    <cellStyle name="SAPBEXresItem 2_a.Data" xfId="4451" xr:uid="{00000000-0005-0000-0000-00008F100000}"/>
    <cellStyle name="SAPBEXresItem 3" xfId="4452" xr:uid="{00000000-0005-0000-0000-000090100000}"/>
    <cellStyle name="SAPBEXresItem_a.Data" xfId="4453" xr:uid="{00000000-0005-0000-0000-000091100000}"/>
    <cellStyle name="SAPBEXresItemX" xfId="247" xr:uid="{00000000-0005-0000-0000-000092100000}"/>
    <cellStyle name="SAPBEXresItemX 2" xfId="4454" xr:uid="{00000000-0005-0000-0000-000093100000}"/>
    <cellStyle name="SAPBEXresItemX 2 2" xfId="4455" xr:uid="{00000000-0005-0000-0000-000094100000}"/>
    <cellStyle name="SAPBEXresItemX 2_a.Data" xfId="4456" xr:uid="{00000000-0005-0000-0000-000095100000}"/>
    <cellStyle name="SAPBEXresItemX 3" xfId="4457" xr:uid="{00000000-0005-0000-0000-000096100000}"/>
    <cellStyle name="SAPBEXresItemX_a.Data" xfId="4458" xr:uid="{00000000-0005-0000-0000-000097100000}"/>
    <cellStyle name="SAPBEXstdData" xfId="248" xr:uid="{00000000-0005-0000-0000-000098100000}"/>
    <cellStyle name="SAPBEXstdData 2" xfId="4459" xr:uid="{00000000-0005-0000-0000-000099100000}"/>
    <cellStyle name="SAPBEXstdData 2 2" xfId="4460" xr:uid="{00000000-0005-0000-0000-00009A100000}"/>
    <cellStyle name="SAPBEXstdData 2_a.Data" xfId="4461" xr:uid="{00000000-0005-0000-0000-00009B100000}"/>
    <cellStyle name="SAPBEXstdData 3" xfId="4462" xr:uid="{00000000-0005-0000-0000-00009C100000}"/>
    <cellStyle name="SAPBEXstdData_a.Data" xfId="4463" xr:uid="{00000000-0005-0000-0000-00009D100000}"/>
    <cellStyle name="SAPBEXstdDataEmph" xfId="249" xr:uid="{00000000-0005-0000-0000-00009E100000}"/>
    <cellStyle name="SAPBEXstdDataEmph 2" xfId="4464" xr:uid="{00000000-0005-0000-0000-00009F100000}"/>
    <cellStyle name="SAPBEXstdDataEmph 2 2" xfId="4465" xr:uid="{00000000-0005-0000-0000-0000A0100000}"/>
    <cellStyle name="SAPBEXstdDataEmph 2_a.Data" xfId="4466" xr:uid="{00000000-0005-0000-0000-0000A1100000}"/>
    <cellStyle name="SAPBEXstdDataEmph 3" xfId="4467" xr:uid="{00000000-0005-0000-0000-0000A2100000}"/>
    <cellStyle name="SAPBEXstdDataEmph_a.Data" xfId="4468" xr:uid="{00000000-0005-0000-0000-0000A3100000}"/>
    <cellStyle name="SAPBEXstdItem" xfId="250" xr:uid="{00000000-0005-0000-0000-0000A4100000}"/>
    <cellStyle name="SAPBEXstdItem 2" xfId="777" xr:uid="{00000000-0005-0000-0000-0000A5100000}"/>
    <cellStyle name="SAPBEXstdItem 2 2" xfId="4469" xr:uid="{00000000-0005-0000-0000-0000A6100000}"/>
    <cellStyle name="SAPBEXstdItem 2 2 2" xfId="4470" xr:uid="{00000000-0005-0000-0000-0000A7100000}"/>
    <cellStyle name="SAPBEXstdItem 2 2 2 2" xfId="4471" xr:uid="{00000000-0005-0000-0000-0000A8100000}"/>
    <cellStyle name="SAPBEXstdItem 2 2 2_a.Data" xfId="4472" xr:uid="{00000000-0005-0000-0000-0000A9100000}"/>
    <cellStyle name="SAPBEXstdItem 2 2 3" xfId="4473" xr:uid="{00000000-0005-0000-0000-0000AA100000}"/>
    <cellStyle name="SAPBEXstdItem 2 2_a.Data" xfId="4474" xr:uid="{00000000-0005-0000-0000-0000AB100000}"/>
    <cellStyle name="SAPBEXstdItem 2 3" xfId="4475" xr:uid="{00000000-0005-0000-0000-0000AC100000}"/>
    <cellStyle name="SAPBEXstdItem 2 3 2" xfId="4476" xr:uid="{00000000-0005-0000-0000-0000AD100000}"/>
    <cellStyle name="SAPBEXstdItem 2 3_a.Data" xfId="4477" xr:uid="{00000000-0005-0000-0000-0000AE100000}"/>
    <cellStyle name="SAPBEXstdItem 2 4" xfId="4478" xr:uid="{00000000-0005-0000-0000-0000AF100000}"/>
    <cellStyle name="SAPBEXstdItem 2_a.Data" xfId="4479" xr:uid="{00000000-0005-0000-0000-0000B0100000}"/>
    <cellStyle name="SAPBEXstdItem 3" xfId="4480" xr:uid="{00000000-0005-0000-0000-0000B1100000}"/>
    <cellStyle name="SAPBEXstdItem 3 2" xfId="4481" xr:uid="{00000000-0005-0000-0000-0000B2100000}"/>
    <cellStyle name="SAPBEXstdItem 3 2 2" xfId="4482" xr:uid="{00000000-0005-0000-0000-0000B3100000}"/>
    <cellStyle name="SAPBEXstdItem 3 2_a.Data" xfId="4483" xr:uid="{00000000-0005-0000-0000-0000B4100000}"/>
    <cellStyle name="SAPBEXstdItem 3 3" xfId="4484" xr:uid="{00000000-0005-0000-0000-0000B5100000}"/>
    <cellStyle name="SAPBEXstdItem 3_a.Data" xfId="4485" xr:uid="{00000000-0005-0000-0000-0000B6100000}"/>
    <cellStyle name="SAPBEXstdItem 4" xfId="4486" xr:uid="{00000000-0005-0000-0000-0000B7100000}"/>
    <cellStyle name="SAPBEXstdItem 4 2" xfId="4487" xr:uid="{00000000-0005-0000-0000-0000B8100000}"/>
    <cellStyle name="SAPBEXstdItem 4_a.Data" xfId="4488" xr:uid="{00000000-0005-0000-0000-0000B9100000}"/>
    <cellStyle name="SAPBEXstdItem 5" xfId="4489" xr:uid="{00000000-0005-0000-0000-0000BA100000}"/>
    <cellStyle name="SAPBEXstdItem_a.Data" xfId="4490" xr:uid="{00000000-0005-0000-0000-0000BB100000}"/>
    <cellStyle name="SAPBEXstdItemX" xfId="251" xr:uid="{00000000-0005-0000-0000-0000BC100000}"/>
    <cellStyle name="SAPBEXstdItemX 2" xfId="778" xr:uid="{00000000-0005-0000-0000-0000BD100000}"/>
    <cellStyle name="SAPBEXstdItemX 2 2" xfId="4491" xr:uid="{00000000-0005-0000-0000-0000BE100000}"/>
    <cellStyle name="SAPBEXstdItemX 2 2 2" xfId="4492" xr:uid="{00000000-0005-0000-0000-0000BF100000}"/>
    <cellStyle name="SAPBEXstdItemX 2 2 2 2" xfId="4493" xr:uid="{00000000-0005-0000-0000-0000C0100000}"/>
    <cellStyle name="SAPBEXstdItemX 2 2 2_a.Data" xfId="4494" xr:uid="{00000000-0005-0000-0000-0000C1100000}"/>
    <cellStyle name="SAPBEXstdItemX 2 2 3" xfId="4495" xr:uid="{00000000-0005-0000-0000-0000C2100000}"/>
    <cellStyle name="SAPBEXstdItemX 2 2_a.Data" xfId="4496" xr:uid="{00000000-0005-0000-0000-0000C3100000}"/>
    <cellStyle name="SAPBEXstdItemX 2 3" xfId="4497" xr:uid="{00000000-0005-0000-0000-0000C4100000}"/>
    <cellStyle name="SAPBEXstdItemX 2 3 2" xfId="4498" xr:uid="{00000000-0005-0000-0000-0000C5100000}"/>
    <cellStyle name="SAPBEXstdItemX 2 3_a.Data" xfId="4499" xr:uid="{00000000-0005-0000-0000-0000C6100000}"/>
    <cellStyle name="SAPBEXstdItemX 2 4" xfId="4500" xr:uid="{00000000-0005-0000-0000-0000C7100000}"/>
    <cellStyle name="SAPBEXstdItemX 2_a.Data" xfId="4501" xr:uid="{00000000-0005-0000-0000-0000C8100000}"/>
    <cellStyle name="SAPBEXstdItemX 3" xfId="4502" xr:uid="{00000000-0005-0000-0000-0000C9100000}"/>
    <cellStyle name="SAPBEXstdItemX 3 2" xfId="4503" xr:uid="{00000000-0005-0000-0000-0000CA100000}"/>
    <cellStyle name="SAPBEXstdItemX 3 2 2" xfId="4504" xr:uid="{00000000-0005-0000-0000-0000CB100000}"/>
    <cellStyle name="SAPBEXstdItemX 3 2_a.Data" xfId="4505" xr:uid="{00000000-0005-0000-0000-0000CC100000}"/>
    <cellStyle name="SAPBEXstdItemX 3 3" xfId="4506" xr:uid="{00000000-0005-0000-0000-0000CD100000}"/>
    <cellStyle name="SAPBEXstdItemX 3_a.Data" xfId="4507" xr:uid="{00000000-0005-0000-0000-0000CE100000}"/>
    <cellStyle name="SAPBEXstdItemX 4" xfId="4508" xr:uid="{00000000-0005-0000-0000-0000CF100000}"/>
    <cellStyle name="SAPBEXstdItemX 4 2" xfId="4509" xr:uid="{00000000-0005-0000-0000-0000D0100000}"/>
    <cellStyle name="SAPBEXstdItemX 4_a.Data" xfId="4510" xr:uid="{00000000-0005-0000-0000-0000D1100000}"/>
    <cellStyle name="SAPBEXstdItemX 5" xfId="4511" xr:uid="{00000000-0005-0000-0000-0000D2100000}"/>
    <cellStyle name="SAPBEXstdItemX_a.Data" xfId="4512" xr:uid="{00000000-0005-0000-0000-0000D3100000}"/>
    <cellStyle name="SAPBEXsubData" xfId="4513" xr:uid="{00000000-0005-0000-0000-0000D4100000}"/>
    <cellStyle name="SAPBEXsubDataEmph" xfId="4514" xr:uid="{00000000-0005-0000-0000-0000D5100000}"/>
    <cellStyle name="SAPBEXsubItem" xfId="4515" xr:uid="{00000000-0005-0000-0000-0000D6100000}"/>
    <cellStyle name="SAPBEXtitle" xfId="252" xr:uid="{00000000-0005-0000-0000-0000D7100000}"/>
    <cellStyle name="SAPBEXundefined" xfId="253" xr:uid="{00000000-0005-0000-0000-0000D8100000}"/>
    <cellStyle name="SAPBEXundefined 2" xfId="4516" xr:uid="{00000000-0005-0000-0000-0000D9100000}"/>
    <cellStyle name="SAPBEXundefined 2 2" xfId="4517" xr:uid="{00000000-0005-0000-0000-0000DA100000}"/>
    <cellStyle name="SAPBEXundefined 2_a.Data" xfId="4518" xr:uid="{00000000-0005-0000-0000-0000DB100000}"/>
    <cellStyle name="SAPBEXundefined 3" xfId="4519" xr:uid="{00000000-0005-0000-0000-0000DC100000}"/>
    <cellStyle name="SAPBEXundefined_a.Data" xfId="4520" xr:uid="{00000000-0005-0000-0000-0000DD100000}"/>
    <cellStyle name="Scenario" xfId="4521" xr:uid="{00000000-0005-0000-0000-0000DE100000}"/>
    <cellStyle name="ScotchRule" xfId="4522" xr:uid="{00000000-0005-0000-0000-0000DF100000}"/>
    <cellStyle name="SdapsDate" xfId="4523" xr:uid="{00000000-0005-0000-0000-0000E0100000}"/>
    <cellStyle name="Sheet Title" xfId="4524" xr:uid="{00000000-0005-0000-0000-0000E1100000}"/>
    <cellStyle name="Size" xfId="779" xr:uid="{00000000-0005-0000-0000-0000E2100000}"/>
    <cellStyle name="Source" xfId="780" xr:uid="{00000000-0005-0000-0000-0000E3100000}"/>
    <cellStyle name="ss1" xfId="254" xr:uid="{00000000-0005-0000-0000-0000E4100000}"/>
    <cellStyle name="ss10" xfId="255" xr:uid="{00000000-0005-0000-0000-0000E5100000}"/>
    <cellStyle name="ss10 2" xfId="781" xr:uid="{00000000-0005-0000-0000-0000E6100000}"/>
    <cellStyle name="ss11" xfId="256" xr:uid="{00000000-0005-0000-0000-0000E7100000}"/>
    <cellStyle name="ss11 2" xfId="782" xr:uid="{00000000-0005-0000-0000-0000E8100000}"/>
    <cellStyle name="ss12" xfId="257" xr:uid="{00000000-0005-0000-0000-0000E9100000}"/>
    <cellStyle name="ss12 2" xfId="783" xr:uid="{00000000-0005-0000-0000-0000EA100000}"/>
    <cellStyle name="ss13" xfId="258" xr:uid="{00000000-0005-0000-0000-0000EB100000}"/>
    <cellStyle name="ss13 2" xfId="784" xr:uid="{00000000-0005-0000-0000-0000EC100000}"/>
    <cellStyle name="ss14" xfId="259" xr:uid="{00000000-0005-0000-0000-0000ED100000}"/>
    <cellStyle name="ss14 2" xfId="785" xr:uid="{00000000-0005-0000-0000-0000EE100000}"/>
    <cellStyle name="ss15" xfId="260" xr:uid="{00000000-0005-0000-0000-0000EF100000}"/>
    <cellStyle name="ss15 2" xfId="786" xr:uid="{00000000-0005-0000-0000-0000F0100000}"/>
    <cellStyle name="ss16" xfId="261" xr:uid="{00000000-0005-0000-0000-0000F1100000}"/>
    <cellStyle name="ss16 2" xfId="787" xr:uid="{00000000-0005-0000-0000-0000F2100000}"/>
    <cellStyle name="ss17" xfId="262" xr:uid="{00000000-0005-0000-0000-0000F3100000}"/>
    <cellStyle name="ss17 2" xfId="788" xr:uid="{00000000-0005-0000-0000-0000F4100000}"/>
    <cellStyle name="ss18" xfId="263" xr:uid="{00000000-0005-0000-0000-0000F5100000}"/>
    <cellStyle name="ss18 2" xfId="789" xr:uid="{00000000-0005-0000-0000-0000F6100000}"/>
    <cellStyle name="ss19" xfId="264" xr:uid="{00000000-0005-0000-0000-0000F7100000}"/>
    <cellStyle name="ss19 2" xfId="790" xr:uid="{00000000-0005-0000-0000-0000F8100000}"/>
    <cellStyle name="ss2" xfId="265" xr:uid="{00000000-0005-0000-0000-0000F9100000}"/>
    <cellStyle name="ss2 2" xfId="791" xr:uid="{00000000-0005-0000-0000-0000FA100000}"/>
    <cellStyle name="ss20" xfId="266" xr:uid="{00000000-0005-0000-0000-0000FB100000}"/>
    <cellStyle name="ss20 2" xfId="792" xr:uid="{00000000-0005-0000-0000-0000FC100000}"/>
    <cellStyle name="ss21" xfId="267" xr:uid="{00000000-0005-0000-0000-0000FD100000}"/>
    <cellStyle name="ss21 2" xfId="793" xr:uid="{00000000-0005-0000-0000-0000FE100000}"/>
    <cellStyle name="ss22" xfId="268" xr:uid="{00000000-0005-0000-0000-0000FF100000}"/>
    <cellStyle name="ss23" xfId="269" xr:uid="{00000000-0005-0000-0000-000000110000}"/>
    <cellStyle name="ss23 2" xfId="794" xr:uid="{00000000-0005-0000-0000-000001110000}"/>
    <cellStyle name="ss24" xfId="270" xr:uid="{00000000-0005-0000-0000-000002110000}"/>
    <cellStyle name="ss24 2" xfId="795" xr:uid="{00000000-0005-0000-0000-000003110000}"/>
    <cellStyle name="ss25" xfId="271" xr:uid="{00000000-0005-0000-0000-000004110000}"/>
    <cellStyle name="ss3" xfId="272" xr:uid="{00000000-0005-0000-0000-000005110000}"/>
    <cellStyle name="ss4" xfId="273" xr:uid="{00000000-0005-0000-0000-000006110000}"/>
    <cellStyle name="ss5" xfId="274" xr:uid="{00000000-0005-0000-0000-000007110000}"/>
    <cellStyle name="ss6" xfId="275" xr:uid="{00000000-0005-0000-0000-000008110000}"/>
    <cellStyle name="ss7" xfId="276" xr:uid="{00000000-0005-0000-0000-000009110000}"/>
    <cellStyle name="ss7 2" xfId="796" xr:uid="{00000000-0005-0000-0000-00000A110000}"/>
    <cellStyle name="ss8" xfId="277" xr:uid="{00000000-0005-0000-0000-00000B110000}"/>
    <cellStyle name="ss8 2" xfId="797" xr:uid="{00000000-0005-0000-0000-00000C110000}"/>
    <cellStyle name="ss9" xfId="278" xr:uid="{00000000-0005-0000-0000-00000D110000}"/>
    <cellStyle name="ss9 2" xfId="798" xr:uid="{00000000-0005-0000-0000-00000E110000}"/>
    <cellStyle name="Standard_Country" xfId="4525" xr:uid="{00000000-0005-0000-0000-00000F110000}"/>
    <cellStyle name="Status" xfId="4526" xr:uid="{00000000-0005-0000-0000-000010110000}"/>
    <cellStyle name="String" xfId="4527" xr:uid="{00000000-0005-0000-0000-000011110000}"/>
    <cellStyle name="Style 1" xfId="279" xr:uid="{00000000-0005-0000-0000-000012110000}"/>
    <cellStyle name="Style 1 2" xfId="800" xr:uid="{00000000-0005-0000-0000-000013110000}"/>
    <cellStyle name="Style 1 2 2" xfId="4530" xr:uid="{00000000-0005-0000-0000-000014110000}"/>
    <cellStyle name="Style 1 2_Data for charts" xfId="4529" xr:uid="{00000000-0005-0000-0000-000015110000}"/>
    <cellStyle name="Style 1 3" xfId="801" xr:uid="{00000000-0005-0000-0000-000016110000}"/>
    <cellStyle name="Style 1 4" xfId="799" xr:uid="{00000000-0005-0000-0000-000017110000}"/>
    <cellStyle name="Style 1_Data for charts" xfId="4528" xr:uid="{00000000-0005-0000-0000-000018110000}"/>
    <cellStyle name="Style 2" xfId="802" xr:uid="{00000000-0005-0000-0000-000019110000}"/>
    <cellStyle name="Style 2 2" xfId="4532" xr:uid="{00000000-0005-0000-0000-00001A110000}"/>
    <cellStyle name="Style 2 2 2" xfId="4533" xr:uid="{00000000-0005-0000-0000-00001B110000}"/>
    <cellStyle name="Style 2 3" xfId="4534" xr:uid="{00000000-0005-0000-0000-00001C110000}"/>
    <cellStyle name="Style 2_Data for charts" xfId="4531" xr:uid="{00000000-0005-0000-0000-00001D110000}"/>
    <cellStyle name="Style 21" xfId="803" xr:uid="{00000000-0005-0000-0000-00001E110000}"/>
    <cellStyle name="Style 21 2" xfId="804" xr:uid="{00000000-0005-0000-0000-00001F110000}"/>
    <cellStyle name="Style 21 3" xfId="805" xr:uid="{00000000-0005-0000-0000-000020110000}"/>
    <cellStyle name="Style 21 4" xfId="806" xr:uid="{00000000-0005-0000-0000-000021110000}"/>
    <cellStyle name="Style 22" xfId="807" xr:uid="{00000000-0005-0000-0000-000022110000}"/>
    <cellStyle name="Style 22 2" xfId="808" xr:uid="{00000000-0005-0000-0000-000023110000}"/>
    <cellStyle name="Style 22 3" xfId="809" xr:uid="{00000000-0005-0000-0000-000024110000}"/>
    <cellStyle name="Style 22 4" xfId="810" xr:uid="{00000000-0005-0000-0000-000025110000}"/>
    <cellStyle name="Style 23" xfId="811" xr:uid="{00000000-0005-0000-0000-000026110000}"/>
    <cellStyle name="Style 24" xfId="812" xr:uid="{00000000-0005-0000-0000-000027110000}"/>
    <cellStyle name="Style 25" xfId="813" xr:uid="{00000000-0005-0000-0000-000028110000}"/>
    <cellStyle name="Style 26" xfId="814" xr:uid="{00000000-0005-0000-0000-000029110000}"/>
    <cellStyle name="Style 27" xfId="815" xr:uid="{00000000-0005-0000-0000-00002A110000}"/>
    <cellStyle name="Style 28" xfId="816" xr:uid="{00000000-0005-0000-0000-00002B110000}"/>
    <cellStyle name="Style 29" xfId="817" xr:uid="{00000000-0005-0000-0000-00002C110000}"/>
    <cellStyle name="Style 3" xfId="4535" xr:uid="{00000000-0005-0000-0000-00002D110000}"/>
    <cellStyle name="Style 3 2" xfId="4536" xr:uid="{00000000-0005-0000-0000-00002E110000}"/>
    <cellStyle name="Style 3 2 2" xfId="4537" xr:uid="{00000000-0005-0000-0000-00002F110000}"/>
    <cellStyle name="Style 3 3" xfId="4538" xr:uid="{00000000-0005-0000-0000-000030110000}"/>
    <cellStyle name="Style 30" xfId="818" xr:uid="{00000000-0005-0000-0000-000031110000}"/>
    <cellStyle name="Style 31" xfId="819" xr:uid="{00000000-0005-0000-0000-000032110000}"/>
    <cellStyle name="Style 32" xfId="820" xr:uid="{00000000-0005-0000-0000-000033110000}"/>
    <cellStyle name="Style 33" xfId="821" xr:uid="{00000000-0005-0000-0000-000034110000}"/>
    <cellStyle name="Style 34" xfId="822" xr:uid="{00000000-0005-0000-0000-000035110000}"/>
    <cellStyle name="Style 34 2" xfId="823" xr:uid="{00000000-0005-0000-0000-000036110000}"/>
    <cellStyle name="Style 34 3" xfId="824" xr:uid="{00000000-0005-0000-0000-000037110000}"/>
    <cellStyle name="Style 34 4" xfId="825" xr:uid="{00000000-0005-0000-0000-000038110000}"/>
    <cellStyle name="Style 35" xfId="826" xr:uid="{00000000-0005-0000-0000-000039110000}"/>
    <cellStyle name="Style 35 2" xfId="827" xr:uid="{00000000-0005-0000-0000-00003A110000}"/>
    <cellStyle name="Style 35 3" xfId="828" xr:uid="{00000000-0005-0000-0000-00003B110000}"/>
    <cellStyle name="Style 35 4" xfId="829" xr:uid="{00000000-0005-0000-0000-00003C110000}"/>
    <cellStyle name="Style 36" xfId="830" xr:uid="{00000000-0005-0000-0000-00003D110000}"/>
    <cellStyle name="Style 36 2" xfId="831" xr:uid="{00000000-0005-0000-0000-00003E110000}"/>
    <cellStyle name="Style 4" xfId="4539" xr:uid="{00000000-0005-0000-0000-00003F110000}"/>
    <cellStyle name="Style 4 2" xfId="4540" xr:uid="{00000000-0005-0000-0000-000040110000}"/>
    <cellStyle name="Style 4 2 2" xfId="4541" xr:uid="{00000000-0005-0000-0000-000041110000}"/>
    <cellStyle name="Style 4 3" xfId="4542" xr:uid="{00000000-0005-0000-0000-000042110000}"/>
    <cellStyle name="Style 5" xfId="4543" xr:uid="{00000000-0005-0000-0000-000043110000}"/>
    <cellStyle name="Style 5 2" xfId="4544" xr:uid="{00000000-0005-0000-0000-000044110000}"/>
    <cellStyle name="Style 5 2 2" xfId="4545" xr:uid="{00000000-0005-0000-0000-000045110000}"/>
    <cellStyle name="Style 5 3" xfId="4546" xr:uid="{00000000-0005-0000-0000-000046110000}"/>
    <cellStyle name="Style 6" xfId="4547" xr:uid="{00000000-0005-0000-0000-000047110000}"/>
    <cellStyle name="Style 6 2" xfId="4548" xr:uid="{00000000-0005-0000-0000-000048110000}"/>
    <cellStyle name="Style 6 2 2" xfId="4549" xr:uid="{00000000-0005-0000-0000-000049110000}"/>
    <cellStyle name="Style 6 3" xfId="4550" xr:uid="{00000000-0005-0000-0000-00004A110000}"/>
    <cellStyle name="Style 7" xfId="4551" xr:uid="{00000000-0005-0000-0000-00004B110000}"/>
    <cellStyle name="Style 7 2" xfId="4552" xr:uid="{00000000-0005-0000-0000-00004C110000}"/>
    <cellStyle name="Style 7 2 2" xfId="4553" xr:uid="{00000000-0005-0000-0000-00004D110000}"/>
    <cellStyle name="Style 7 3" xfId="4554" xr:uid="{00000000-0005-0000-0000-00004E110000}"/>
    <cellStyle name="Style1" xfId="280" xr:uid="{00000000-0005-0000-0000-00004F110000}"/>
    <cellStyle name="Style2" xfId="281" xr:uid="{00000000-0005-0000-0000-000050110000}"/>
    <cellStyle name="Style3" xfId="282" xr:uid="{00000000-0005-0000-0000-000051110000}"/>
    <cellStyle name="Style4" xfId="283" xr:uid="{00000000-0005-0000-0000-000052110000}"/>
    <cellStyle name="Style5" xfId="284" xr:uid="{00000000-0005-0000-0000-000053110000}"/>
    <cellStyle name="Style6" xfId="285" xr:uid="{00000000-0005-0000-0000-000054110000}"/>
    <cellStyle name="styleColumnTitles" xfId="832" xr:uid="{00000000-0005-0000-0000-000055110000}"/>
    <cellStyle name="styleDateRange" xfId="833" xr:uid="{00000000-0005-0000-0000-000056110000}"/>
    <cellStyle name="styleNormal" xfId="834" xr:uid="{00000000-0005-0000-0000-000057110000}"/>
    <cellStyle name="Styles" xfId="835" xr:uid="{00000000-0005-0000-0000-000058110000}"/>
    <cellStyle name="styleSeriesAttributes" xfId="836" xr:uid="{00000000-0005-0000-0000-000059110000}"/>
    <cellStyle name="styleSeriesData" xfId="837" xr:uid="{00000000-0005-0000-0000-00005A110000}"/>
    <cellStyle name="styleSeriesDataForecast" xfId="838" xr:uid="{00000000-0005-0000-0000-00005B110000}"/>
    <cellStyle name="styleSeriesDataNA" xfId="839" xr:uid="{00000000-0005-0000-0000-00005C110000}"/>
    <cellStyle name="Subtitle" xfId="4555" xr:uid="{00000000-0005-0000-0000-00005D110000}"/>
    <cellStyle name="SXDateStyle" xfId="4556" xr:uid="{00000000-0005-0000-0000-00005E110000}"/>
    <cellStyle name="SXDateStyle 2" xfId="4557" xr:uid="{00000000-0005-0000-0000-00005F110000}"/>
    <cellStyle name="SXDateStyle 2 2" xfId="4558" xr:uid="{00000000-0005-0000-0000-000060110000}"/>
    <cellStyle name="SXDateStyle 2 2 2" xfId="4559" xr:uid="{00000000-0005-0000-0000-000061110000}"/>
    <cellStyle name="Table Footnote" xfId="286" xr:uid="{00000000-0005-0000-0000-000062110000}"/>
    <cellStyle name="Table Footnote 2" xfId="287" xr:uid="{00000000-0005-0000-0000-000063110000}"/>
    <cellStyle name="Table Footnote 2 2" xfId="288" xr:uid="{00000000-0005-0000-0000-000064110000}"/>
    <cellStyle name="Table Footnote_Additional charts" xfId="289" xr:uid="{00000000-0005-0000-0000-000065110000}"/>
    <cellStyle name="Table Head" xfId="840" xr:uid="{00000000-0005-0000-0000-000066110000}"/>
    <cellStyle name="Table Head Aligned" xfId="841" xr:uid="{00000000-0005-0000-0000-000067110000}"/>
    <cellStyle name="Table Head Blue" xfId="842" xr:uid="{00000000-0005-0000-0000-000068110000}"/>
    <cellStyle name="Table Head Green" xfId="843" xr:uid="{00000000-0005-0000-0000-000069110000}"/>
    <cellStyle name="Table Head_% Change" xfId="844" xr:uid="{00000000-0005-0000-0000-00006A110000}"/>
    <cellStyle name="Table Header" xfId="290" xr:uid="{00000000-0005-0000-0000-00006B110000}"/>
    <cellStyle name="Table Header 2" xfId="291" xr:uid="{00000000-0005-0000-0000-00006C110000}"/>
    <cellStyle name="Table Header 2 2" xfId="292" xr:uid="{00000000-0005-0000-0000-00006D110000}"/>
    <cellStyle name="Table Header_Additional charts" xfId="293" xr:uid="{00000000-0005-0000-0000-00006E110000}"/>
    <cellStyle name="Table Heading" xfId="845" xr:uid="{00000000-0005-0000-0000-00006F110000}"/>
    <cellStyle name="Table Heading 1" xfId="294" xr:uid="{00000000-0005-0000-0000-000070110000}"/>
    <cellStyle name="Table Heading 1 2" xfId="295" xr:uid="{00000000-0005-0000-0000-000071110000}"/>
    <cellStyle name="Table Heading 1 2 2" xfId="296" xr:uid="{00000000-0005-0000-0000-000072110000}"/>
    <cellStyle name="Table Heading 1_Additional charts" xfId="297" xr:uid="{00000000-0005-0000-0000-000073110000}"/>
    <cellStyle name="Table Heading 2" xfId="298" xr:uid="{00000000-0005-0000-0000-000074110000}"/>
    <cellStyle name="Table Heading 2 2" xfId="299" xr:uid="{00000000-0005-0000-0000-000075110000}"/>
    <cellStyle name="Table Heading 2_Additional charts" xfId="300" xr:uid="{00000000-0005-0000-0000-000076110000}"/>
    <cellStyle name="Table Of Which" xfId="301" xr:uid="{00000000-0005-0000-0000-000077110000}"/>
    <cellStyle name="Table Of Which 2" xfId="302" xr:uid="{00000000-0005-0000-0000-000078110000}"/>
    <cellStyle name="Table Of Which_Additional charts" xfId="303" xr:uid="{00000000-0005-0000-0000-000079110000}"/>
    <cellStyle name="Table Row Billions" xfId="304" xr:uid="{00000000-0005-0000-0000-00007A110000}"/>
    <cellStyle name="Table Row Billions 2" xfId="305" xr:uid="{00000000-0005-0000-0000-00007B110000}"/>
    <cellStyle name="Table Row Billions 2 2" xfId="847" xr:uid="{00000000-0005-0000-0000-00007C110000}"/>
    <cellStyle name="Table Row Billions 3" xfId="846" xr:uid="{00000000-0005-0000-0000-00007D110000}"/>
    <cellStyle name="Table Row Billions Check" xfId="306" xr:uid="{00000000-0005-0000-0000-00007E110000}"/>
    <cellStyle name="Table Row Billions Check 2" xfId="307" xr:uid="{00000000-0005-0000-0000-00007F110000}"/>
    <cellStyle name="Table Row Billions Check 3" xfId="308" xr:uid="{00000000-0005-0000-0000-000080110000}"/>
    <cellStyle name="Table Row Billions Check_asset sales" xfId="309" xr:uid="{00000000-0005-0000-0000-000081110000}"/>
    <cellStyle name="Table Row Billions_Additional charts" xfId="310" xr:uid="{00000000-0005-0000-0000-000082110000}"/>
    <cellStyle name="Table Row Millions" xfId="311" xr:uid="{00000000-0005-0000-0000-000083110000}"/>
    <cellStyle name="Table Row Millions 2" xfId="312" xr:uid="{00000000-0005-0000-0000-000084110000}"/>
    <cellStyle name="Table Row Millions 2 2" xfId="313" xr:uid="{00000000-0005-0000-0000-000085110000}"/>
    <cellStyle name="Table Row Millions 2 2 2" xfId="850" xr:uid="{00000000-0005-0000-0000-000086110000}"/>
    <cellStyle name="Table Row Millions 2 3" xfId="849" xr:uid="{00000000-0005-0000-0000-000087110000}"/>
    <cellStyle name="Table Row Millions 3" xfId="848" xr:uid="{00000000-0005-0000-0000-000088110000}"/>
    <cellStyle name="Table Row Millions Check" xfId="314" xr:uid="{00000000-0005-0000-0000-000089110000}"/>
    <cellStyle name="Table Row Millions Check 2" xfId="315" xr:uid="{00000000-0005-0000-0000-00008A110000}"/>
    <cellStyle name="Table Row Millions Check 3" xfId="316" xr:uid="{00000000-0005-0000-0000-00008B110000}"/>
    <cellStyle name="Table Row Millions Check 4" xfId="317" xr:uid="{00000000-0005-0000-0000-00008C110000}"/>
    <cellStyle name="Table Row Millions Check_asset sales" xfId="318" xr:uid="{00000000-0005-0000-0000-00008D110000}"/>
    <cellStyle name="Table Row Millions_Additional charts" xfId="319" xr:uid="{00000000-0005-0000-0000-00008E110000}"/>
    <cellStyle name="Table Row Percentage" xfId="320" xr:uid="{00000000-0005-0000-0000-00008F110000}"/>
    <cellStyle name="Table Row Percentage 2" xfId="321" xr:uid="{00000000-0005-0000-0000-000090110000}"/>
    <cellStyle name="Table Row Percentage 2 2" xfId="852" xr:uid="{00000000-0005-0000-0000-000091110000}"/>
    <cellStyle name="Table Row Percentage 3" xfId="851" xr:uid="{00000000-0005-0000-0000-000092110000}"/>
    <cellStyle name="Table Row Percentage Check" xfId="322" xr:uid="{00000000-0005-0000-0000-000093110000}"/>
    <cellStyle name="Table Row Percentage Check 2" xfId="323" xr:uid="{00000000-0005-0000-0000-000094110000}"/>
    <cellStyle name="Table Row Percentage Check 3" xfId="324" xr:uid="{00000000-0005-0000-0000-000095110000}"/>
    <cellStyle name="Table Row Percentage Check_asset sales" xfId="325" xr:uid="{00000000-0005-0000-0000-000096110000}"/>
    <cellStyle name="Table Row Percentage_Additional charts" xfId="326" xr:uid="{00000000-0005-0000-0000-000097110000}"/>
    <cellStyle name="Table Row Thousands Small" xfId="4560" xr:uid="{00000000-0005-0000-0000-000098110000}"/>
    <cellStyle name="Table Source" xfId="853" xr:uid="{00000000-0005-0000-0000-000099110000}"/>
    <cellStyle name="Table Text" xfId="854" xr:uid="{00000000-0005-0000-0000-00009A110000}"/>
    <cellStyle name="Table Title" xfId="855" xr:uid="{00000000-0005-0000-0000-00009B110000}"/>
    <cellStyle name="Table Total Billions" xfId="327" xr:uid="{00000000-0005-0000-0000-00009C110000}"/>
    <cellStyle name="Table Total Billions 2" xfId="328" xr:uid="{00000000-0005-0000-0000-00009D110000}"/>
    <cellStyle name="Table Total Billions_Additional charts" xfId="329" xr:uid="{00000000-0005-0000-0000-00009E110000}"/>
    <cellStyle name="Table Total Millions" xfId="330" xr:uid="{00000000-0005-0000-0000-00009F110000}"/>
    <cellStyle name="Table Total Millions 2" xfId="331" xr:uid="{00000000-0005-0000-0000-0000A0110000}"/>
    <cellStyle name="Table Total Millions 2 2" xfId="332" xr:uid="{00000000-0005-0000-0000-0000A1110000}"/>
    <cellStyle name="Table Total Millions_Additional charts" xfId="333" xr:uid="{00000000-0005-0000-0000-0000A2110000}"/>
    <cellStyle name="Table Total Percentage" xfId="334" xr:uid="{00000000-0005-0000-0000-0000A3110000}"/>
    <cellStyle name="Table Total Percentage 2" xfId="335" xr:uid="{00000000-0005-0000-0000-0000A4110000}"/>
    <cellStyle name="Table Total Percentage_Additional charts" xfId="336" xr:uid="{00000000-0005-0000-0000-0000A5110000}"/>
    <cellStyle name="Table Units" xfId="337" xr:uid="{00000000-0005-0000-0000-0000A6110000}"/>
    <cellStyle name="Table Units 2" xfId="338" xr:uid="{00000000-0005-0000-0000-0000A7110000}"/>
    <cellStyle name="Table Units 2 2" xfId="339" xr:uid="{00000000-0005-0000-0000-0000A8110000}"/>
    <cellStyle name="Table Units 3" xfId="856" xr:uid="{00000000-0005-0000-0000-0000A9110000}"/>
    <cellStyle name="Table Units_Additional charts" xfId="340" xr:uid="{00000000-0005-0000-0000-0000AA110000}"/>
    <cellStyle name="Table_center" xfId="857" xr:uid="{00000000-0005-0000-0000-0000AB110000}"/>
    <cellStyle name="TableBody" xfId="858" xr:uid="{00000000-0005-0000-0000-0000AC110000}"/>
    <cellStyle name="TableColHeads" xfId="859" xr:uid="{00000000-0005-0000-0000-0000AD110000}"/>
    <cellStyle name="Term" xfId="860" xr:uid="{00000000-0005-0000-0000-0000AE110000}"/>
    <cellStyle name="Text 1" xfId="861" xr:uid="{00000000-0005-0000-0000-0000AF110000}"/>
    <cellStyle name="Text 2" xfId="862" xr:uid="{00000000-0005-0000-0000-0000B0110000}"/>
    <cellStyle name="Text Head 1" xfId="863" xr:uid="{00000000-0005-0000-0000-0000B1110000}"/>
    <cellStyle name="Text Head 2" xfId="864" xr:uid="{00000000-0005-0000-0000-0000B2110000}"/>
    <cellStyle name="Text Indent 1" xfId="865" xr:uid="{00000000-0005-0000-0000-0000B3110000}"/>
    <cellStyle name="Text Indent 2" xfId="866" xr:uid="{00000000-0005-0000-0000-0000B4110000}"/>
    <cellStyle name="Times New Roman" xfId="341" xr:uid="{00000000-0005-0000-0000-0000B5110000}"/>
    <cellStyle name="Titels" xfId="4561" xr:uid="{00000000-0005-0000-0000-0000B6110000}"/>
    <cellStyle name="Titels 2" xfId="4562" xr:uid="{00000000-0005-0000-0000-0000B7110000}"/>
    <cellStyle name="Titels 2 2" xfId="4563" xr:uid="{00000000-0005-0000-0000-0000B8110000}"/>
    <cellStyle name="Titels 2_e.Cash flow i" xfId="4564" xr:uid="{00000000-0005-0000-0000-0000B9110000}"/>
    <cellStyle name="Titels 3" xfId="4565" xr:uid="{00000000-0005-0000-0000-0000BA110000}"/>
    <cellStyle name="Titels_e.Cash flow i" xfId="4566" xr:uid="{00000000-0005-0000-0000-0000BB110000}"/>
    <cellStyle name="Title 1" xfId="4567" xr:uid="{00000000-0005-0000-0000-0000BC110000}"/>
    <cellStyle name="Title 10" xfId="4568" xr:uid="{00000000-0005-0000-0000-0000BD110000}"/>
    <cellStyle name="Title 11" xfId="4569" xr:uid="{00000000-0005-0000-0000-0000BE110000}"/>
    <cellStyle name="Title 12" xfId="4570" xr:uid="{00000000-0005-0000-0000-0000BF110000}"/>
    <cellStyle name="Title 13" xfId="4571" xr:uid="{00000000-0005-0000-0000-0000C0110000}"/>
    <cellStyle name="Title 14" xfId="4572" xr:uid="{00000000-0005-0000-0000-0000C1110000}"/>
    <cellStyle name="Title 15" xfId="4573" xr:uid="{00000000-0005-0000-0000-0000C2110000}"/>
    <cellStyle name="Title 2" xfId="343" xr:uid="{00000000-0005-0000-0000-0000C3110000}"/>
    <cellStyle name="Title 2 2" xfId="4574" xr:uid="{00000000-0005-0000-0000-0000C4110000}"/>
    <cellStyle name="Title 2_BASE Current Year" xfId="4575" xr:uid="{00000000-0005-0000-0000-0000C5110000}"/>
    <cellStyle name="Title 3" xfId="344" xr:uid="{00000000-0005-0000-0000-0000C6110000}"/>
    <cellStyle name="Title 4" xfId="345" xr:uid="{00000000-0005-0000-0000-0000C7110000}"/>
    <cellStyle name="Title 5" xfId="342" xr:uid="{00000000-0005-0000-0000-0000C8110000}"/>
    <cellStyle name="Title 6" xfId="4576" xr:uid="{00000000-0005-0000-0000-0000C9110000}"/>
    <cellStyle name="Title 7" xfId="4577" xr:uid="{00000000-0005-0000-0000-0000CA110000}"/>
    <cellStyle name="Title 8" xfId="4578" xr:uid="{00000000-0005-0000-0000-0000CB110000}"/>
    <cellStyle name="Title 9" xfId="4579" xr:uid="{00000000-0005-0000-0000-0000CC110000}"/>
    <cellStyle name="TitleBar" xfId="4580" xr:uid="{00000000-0005-0000-0000-0000CD110000}"/>
    <cellStyle name="Titles" xfId="4581" xr:uid="{00000000-0005-0000-0000-0000CE110000}"/>
    <cellStyle name="TOC 1" xfId="867" xr:uid="{00000000-0005-0000-0000-0000CF110000}"/>
    <cellStyle name="TOC 2" xfId="868" xr:uid="{00000000-0005-0000-0000-0000D0110000}"/>
    <cellStyle name="Tolerance_External" xfId="4582" xr:uid="{00000000-0005-0000-0000-0000D1110000}"/>
    <cellStyle name="Total 2" xfId="347" xr:uid="{00000000-0005-0000-0000-0000D2110000}"/>
    <cellStyle name="Total 2 2" xfId="4583" xr:uid="{00000000-0005-0000-0000-0000D3110000}"/>
    <cellStyle name="Total 2 2 2" xfId="4584" xr:uid="{00000000-0005-0000-0000-0000D4110000}"/>
    <cellStyle name="Total 2 2_a.Data" xfId="4585" xr:uid="{00000000-0005-0000-0000-0000D5110000}"/>
    <cellStyle name="Total 2 3" xfId="4586" xr:uid="{00000000-0005-0000-0000-0000D6110000}"/>
    <cellStyle name="Total 2_a.Data" xfId="4587" xr:uid="{00000000-0005-0000-0000-0000D7110000}"/>
    <cellStyle name="Total 3" xfId="346" xr:uid="{00000000-0005-0000-0000-0000D8110000}"/>
    <cellStyle name="Total 4" xfId="4588" xr:uid="{00000000-0005-0000-0000-0000D9110000}"/>
    <cellStyle name="Total Currency" xfId="869" xr:uid="{00000000-0005-0000-0000-0000DA110000}"/>
    <cellStyle name="Total Normal" xfId="870" xr:uid="{00000000-0005-0000-0000-0000DB110000}"/>
    <cellStyle name="TradeScheduleColHdrStyle" xfId="4589" xr:uid="{00000000-0005-0000-0000-0000DC110000}"/>
    <cellStyle name="TradeScheduleDataStyle" xfId="4590" xr:uid="{00000000-0005-0000-0000-0000DD110000}"/>
    <cellStyle name="TradeScheduleHdrStyle" xfId="4591" xr:uid="{00000000-0005-0000-0000-0000DE110000}"/>
    <cellStyle name="TradeSchedulePercentStyle" xfId="4592" xr:uid="{00000000-0005-0000-0000-0000DF110000}"/>
    <cellStyle name="TranIDStyle" xfId="4593" xr:uid="{00000000-0005-0000-0000-0000E0110000}"/>
    <cellStyle name="TypeNote" xfId="871" xr:uid="{00000000-0005-0000-0000-0000E1110000}"/>
    <cellStyle name="u" xfId="4594" xr:uid="{00000000-0005-0000-0000-0000E2110000}"/>
    <cellStyle name="u_e.Cash flow i" xfId="4595" xr:uid="{00000000-0005-0000-0000-0000E3110000}"/>
    <cellStyle name="u_g.Note5-othrev" xfId="4596" xr:uid="{00000000-0005-0000-0000-0000E4110000}"/>
    <cellStyle name="u_ii Note 3 Segmental rep" xfId="4597" xr:uid="{00000000-0005-0000-0000-0000E5110000}"/>
    <cellStyle name="Unit" xfId="872" xr:uid="{00000000-0005-0000-0000-0000E6110000}"/>
    <cellStyle name="UnitOfMeasure" xfId="873" xr:uid="{00000000-0005-0000-0000-0000E7110000}"/>
    <cellStyle name="Unprot" xfId="874" xr:uid="{00000000-0005-0000-0000-0000E8110000}"/>
    <cellStyle name="Unprot 2" xfId="875" xr:uid="{00000000-0005-0000-0000-0000E9110000}"/>
    <cellStyle name="Unprot$" xfId="876" xr:uid="{00000000-0005-0000-0000-0000EA110000}"/>
    <cellStyle name="Unprot$ 2" xfId="877" xr:uid="{00000000-0005-0000-0000-0000EB110000}"/>
    <cellStyle name="Unprot$ 3" xfId="878" xr:uid="{00000000-0005-0000-0000-0000EC110000}"/>
    <cellStyle name="Unprot_OP" xfId="879" xr:uid="{00000000-0005-0000-0000-0000ED110000}"/>
    <cellStyle name="Unprotect" xfId="880" xr:uid="{00000000-0005-0000-0000-0000EE110000}"/>
    <cellStyle name="unprotected" xfId="4598" xr:uid="{00000000-0005-0000-0000-0000EF110000}"/>
    <cellStyle name="Value" xfId="881" xr:uid="{00000000-0005-0000-0000-0000F0110000}"/>
    <cellStyle name="Vertical" xfId="882" xr:uid="{00000000-0005-0000-0000-0000F1110000}"/>
    <cellStyle name="Währung [0]_Country" xfId="4599" xr:uid="{00000000-0005-0000-0000-0000F2110000}"/>
    <cellStyle name="Währung_Country" xfId="4600" xr:uid="{00000000-0005-0000-0000-0000F3110000}"/>
    <cellStyle name="Warning Text 2" xfId="349" xr:uid="{00000000-0005-0000-0000-0000F4110000}"/>
    <cellStyle name="Warning Text 3" xfId="348" xr:uid="{00000000-0005-0000-0000-0000F5110000}"/>
    <cellStyle name="Warning Text 4" xfId="4601" xr:uid="{00000000-0005-0000-0000-0000F6110000}"/>
    <cellStyle name="Warnings" xfId="883" xr:uid="{00000000-0005-0000-0000-0000F7110000}"/>
    <cellStyle name="whole number" xfId="350" xr:uid="{00000000-0005-0000-0000-0000F8110000}"/>
    <cellStyle name="whole number 2" xfId="884" xr:uid="{00000000-0005-0000-0000-0000F9110000}"/>
    <cellStyle name="Wrap" xfId="4602" xr:uid="{00000000-0005-0000-0000-0000FA110000}"/>
    <cellStyle name="Y2K Compliant Date Fmt" xfId="4603" xr:uid="{00000000-0005-0000-0000-0000FB110000}"/>
    <cellStyle name="Y2K Compliant Date Fmt 2" xfId="4604" xr:uid="{00000000-0005-0000-0000-0000FC110000}"/>
    <cellStyle name="Y2K Compliant Date Fmt 2 2" xfId="4605" xr:uid="{00000000-0005-0000-0000-0000FD110000}"/>
    <cellStyle name="Y2K Compliant Date Fmt 2 2 2" xfId="4606" xr:uid="{00000000-0005-0000-0000-0000FE110000}"/>
    <cellStyle name="Y2K Compliant Date Fmt 2 2_e.Cash flow i" xfId="4607" xr:uid="{00000000-0005-0000-0000-0000FF110000}"/>
    <cellStyle name="Y2K Compliant Date Fmt 2_e.Cash flow i" xfId="4608" xr:uid="{00000000-0005-0000-0000-000000120000}"/>
    <cellStyle name="Y2K Compliant Date Fmt_e.Cash flow i" xfId="4609" xr:uid="{00000000-0005-0000-0000-000001120000}"/>
    <cellStyle name="Year" xfId="4610" xr:uid="{00000000-0005-0000-0000-000002120000}"/>
    <cellStyle name="Year 2" xfId="4611" xr:uid="{00000000-0005-0000-0000-000003120000}"/>
    <cellStyle name="Year 2 2" xfId="4612" xr:uid="{00000000-0005-0000-0000-000004120000}"/>
    <cellStyle name="Year 2_e.Cash flow i" xfId="4613" xr:uid="{00000000-0005-0000-0000-000005120000}"/>
    <cellStyle name="Year 3" xfId="4614" xr:uid="{00000000-0005-0000-0000-000006120000}"/>
    <cellStyle name="Year_e.Cash flow i" xfId="4615" xr:uid="{00000000-0005-0000-0000-000007120000}"/>
    <cellStyle name="표준_Varone int 2003 - new" xfId="4616" xr:uid="{00000000-0005-0000-0000-000008120000}"/>
    <cellStyle name="常规_November Issue Standard" xfId="885" xr:uid="{00000000-0005-0000-0000-000009120000}"/>
    <cellStyle name="桁区切り [0.00]_INTALL200110" xfId="4617" xr:uid="{00000000-0005-0000-0000-00000A120000}"/>
    <cellStyle name="桁区切り_INTALL200110" xfId="4618" xr:uid="{00000000-0005-0000-0000-00000B120000}"/>
    <cellStyle name="標準_INTALL200110" xfId="4619" xr:uid="{00000000-0005-0000-0000-00000C120000}"/>
    <cellStyle name="通貨 [0.00]_INTALL200110" xfId="4620" xr:uid="{00000000-0005-0000-0000-00000D120000}"/>
    <cellStyle name="通貨_INTALL200110" xfId="4621" xr:uid="{00000000-0005-0000-0000-00000E120000}"/>
  </cellStyles>
  <dxfs count="0"/>
  <tableStyles count="0" defaultTableStyle="TableStyleMedium9" defaultPivotStyle="PivotStyleLight16"/>
  <colors>
    <mruColors>
      <color rgb="FFB2292E"/>
      <color rgb="FF808080"/>
      <color rgb="FFEFC2B3"/>
      <color rgb="FFB4B4B4"/>
      <color rgb="FFFF00FF"/>
      <color rgb="FFBEBEBE"/>
      <color rgb="FFB8B8B8"/>
      <color rgb="FFD45244"/>
      <color rgb="FFD04334"/>
      <color rgb="FFCB3E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microsoft.com/office/2017/10/relationships/person" Target="persons/person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'A.7 Entities'!$A$4</c:f>
              <c:strCache>
                <c:ptCount val="1"/>
                <c:pt idx="0">
                  <c:v>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2-475F-84C4-0688C3A9E4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2-475F-84C4-0688C3A9E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'A.7 Entities'!$B$3:$E$3</c:f>
              <c:strCache>
                <c:ptCount val="4"/>
                <c:pt idx="0">
                  <c:v>2009-10</c:v>
                </c:pt>
                <c:pt idx="1">
                  <c:v>Increase</c:v>
                </c:pt>
                <c:pt idx="2">
                  <c:v>Decrease</c:v>
                </c:pt>
                <c:pt idx="3">
                  <c:v>2023-24</c:v>
                </c:pt>
              </c:strCache>
            </c:strRef>
          </c:cat>
          <c:val>
            <c:numRef>
              <c:f>'A.7 Entities'!$B$4:$E$4</c:f>
              <c:numCache>
                <c:formatCode>_-* #,##0_-;\-* #,##0_-;_-* "-"??_-;_-@_-</c:formatCode>
                <c:ptCount val="4"/>
                <c:pt idx="1">
                  <c:v>1133</c:v>
                </c:pt>
                <c:pt idx="2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2-43E9-B873-04F5E5C71554}"/>
            </c:ext>
          </c:extLst>
        </c:ser>
        <c:ser>
          <c:idx val="1"/>
          <c:order val="1"/>
          <c:tx>
            <c:strRef>
              <c:f>'A.7 Entities'!$A$5</c:f>
              <c:strCache>
                <c:ptCount val="1"/>
                <c:pt idx="0">
                  <c:v>Central Government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'A.7 Entities'!$B$3:$E$3</c:f>
              <c:strCache>
                <c:ptCount val="4"/>
                <c:pt idx="0">
                  <c:v>2009-10</c:v>
                </c:pt>
                <c:pt idx="1">
                  <c:v>Increase</c:v>
                </c:pt>
                <c:pt idx="2">
                  <c:v>Decrease</c:v>
                </c:pt>
                <c:pt idx="3">
                  <c:v>2023-24</c:v>
                </c:pt>
              </c:strCache>
            </c:strRef>
          </c:cat>
          <c:val>
            <c:numRef>
              <c:f>'A.7 Entities'!$B$5:$E$5</c:f>
              <c:numCache>
                <c:formatCode>_-* #,##0_-;\-* #,##0_-;_-* "-"??_-;_-@_-</c:formatCode>
                <c:ptCount val="4"/>
                <c:pt idx="0">
                  <c:v>553</c:v>
                </c:pt>
                <c:pt idx="1">
                  <c:v>381</c:v>
                </c:pt>
                <c:pt idx="3">
                  <c:v>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2-43E9-B873-04F5E5C71554}"/>
            </c:ext>
          </c:extLst>
        </c:ser>
        <c:ser>
          <c:idx val="2"/>
          <c:order val="2"/>
          <c:tx>
            <c:strRef>
              <c:f>'A.7 Entities'!$A$6</c:f>
              <c:strCache>
                <c:ptCount val="1"/>
                <c:pt idx="0">
                  <c:v>Local Government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'A.7 Entities'!$B$3:$E$3</c:f>
              <c:strCache>
                <c:ptCount val="4"/>
                <c:pt idx="0">
                  <c:v>2009-10</c:v>
                </c:pt>
                <c:pt idx="1">
                  <c:v>Increase</c:v>
                </c:pt>
                <c:pt idx="2">
                  <c:v>Decrease</c:v>
                </c:pt>
                <c:pt idx="3">
                  <c:v>2023-24</c:v>
                </c:pt>
              </c:strCache>
            </c:strRef>
          </c:cat>
          <c:val>
            <c:numRef>
              <c:f>'A.7 Entities'!$B$6:$E$6</c:f>
              <c:numCache>
                <c:formatCode>_-* #,##0_-;\-* #,##0_-;_-* "-"??_-;_-@_-</c:formatCode>
                <c:ptCount val="4"/>
                <c:pt idx="0">
                  <c:v>531</c:v>
                </c:pt>
                <c:pt idx="2">
                  <c:v>230</c:v>
                </c:pt>
                <c:pt idx="3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C2-43E9-B873-04F5E5C71554}"/>
            </c:ext>
          </c:extLst>
        </c:ser>
        <c:ser>
          <c:idx val="3"/>
          <c:order val="3"/>
          <c:tx>
            <c:strRef>
              <c:f>'A.7 Entities'!$A$7</c:f>
              <c:strCache>
                <c:ptCount val="1"/>
                <c:pt idx="0">
                  <c:v>Public Corporations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'A.7 Entities'!$B$3:$E$3</c:f>
              <c:strCache>
                <c:ptCount val="4"/>
                <c:pt idx="0">
                  <c:v>2009-10</c:v>
                </c:pt>
                <c:pt idx="1">
                  <c:v>Increase</c:v>
                </c:pt>
                <c:pt idx="2">
                  <c:v>Decrease</c:v>
                </c:pt>
                <c:pt idx="3">
                  <c:v>2023-24</c:v>
                </c:pt>
              </c:strCache>
            </c:strRef>
          </c:cat>
          <c:val>
            <c:numRef>
              <c:f>'A.7 Entities'!$B$7:$E$7</c:f>
              <c:numCache>
                <c:formatCode>_-* #,##0_-;\-* #,##0_-;_-* "-"??_-;_-@_-</c:formatCode>
                <c:ptCount val="4"/>
                <c:pt idx="0">
                  <c:v>49</c:v>
                </c:pt>
                <c:pt idx="2">
                  <c:v>3</c:v>
                </c:pt>
                <c:pt idx="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C2-43E9-B873-04F5E5C71554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36222648"/>
        <c:axId val="636225888"/>
      </c:barChart>
      <c:catAx>
        <c:axId val="63622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25888"/>
        <c:crosses val="autoZero"/>
        <c:auto val="1"/>
        <c:lblAlgn val="ctr"/>
        <c:lblOffset val="100"/>
        <c:noMultiLvlLbl val="0"/>
      </c:catAx>
      <c:valAx>
        <c:axId val="63622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entities (excluding academies)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22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US"/>
              <a:t>15 Year Trend of Infrastructure assets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'A.15 Yr - Infrastructure Assets'!$A$30</c:f>
              <c:strCache>
                <c:ptCount val="1"/>
                <c:pt idx="0">
                  <c:v>Water infrastructure assets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'A.15 Yr - Infrastructure Assets'!$B$29:$P$29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'A.15 Yr - Infrastructure Assets'!$B$30:$P$30</c:f>
              <c:numCache>
                <c:formatCode>_-* #,##0_-;\-* #,##0_-;_-* "-"??_-;_-@_-</c:formatCode>
                <c:ptCount val="15"/>
                <c:pt idx="5">
                  <c:v>41.8</c:v>
                </c:pt>
                <c:pt idx="6">
                  <c:v>52.2</c:v>
                </c:pt>
                <c:pt idx="7">
                  <c:v>56.3</c:v>
                </c:pt>
                <c:pt idx="8">
                  <c:v>59.2</c:v>
                </c:pt>
                <c:pt idx="9">
                  <c:v>61.2</c:v>
                </c:pt>
                <c:pt idx="10">
                  <c:v>63.1</c:v>
                </c:pt>
                <c:pt idx="11">
                  <c:v>64.8</c:v>
                </c:pt>
                <c:pt idx="12">
                  <c:v>68.7</c:v>
                </c:pt>
                <c:pt idx="13">
                  <c:v>78</c:v>
                </c:pt>
                <c:pt idx="14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7-44E9-9A27-F2F0791892C3}"/>
            </c:ext>
          </c:extLst>
        </c:ser>
        <c:ser>
          <c:idx val="1"/>
          <c:order val="1"/>
          <c:tx>
            <c:strRef>
              <c:f>'A.15 Yr - Infrastructure Assets'!$A$31</c:f>
              <c:strCache>
                <c:ptCount val="1"/>
                <c:pt idx="0">
                  <c:v>Pre 2015 total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'A.15 Yr - Infrastructure Assets'!$B$29:$P$29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'A.15 Yr - Infrastructure Assets'!$B$31:$P$31</c:f>
              <c:numCache>
                <c:formatCode>_-* #,##0_-;\-* #,##0_-;_-* "-"??_-;_-@_-</c:formatCode>
                <c:ptCount val="15"/>
                <c:pt idx="0">
                  <c:v>234.3</c:v>
                </c:pt>
                <c:pt idx="1">
                  <c:v>254.1</c:v>
                </c:pt>
                <c:pt idx="2">
                  <c:v>269.10000000000002</c:v>
                </c:pt>
                <c:pt idx="3">
                  <c:v>273.39999999999998</c:v>
                </c:pt>
                <c:pt idx="4">
                  <c:v>327.9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7-44E9-9A27-F2F0791892C3}"/>
            </c:ext>
          </c:extLst>
        </c:ser>
        <c:ser>
          <c:idx val="2"/>
          <c:order val="2"/>
          <c:tx>
            <c:strRef>
              <c:f>'A.15 Yr - Infrastructure Assets'!$A$32</c:f>
              <c:strCache>
                <c:ptCount val="1"/>
                <c:pt idx="0">
                  <c:v>Road infrastructure assets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'A.15 Yr - Infrastructure Assets'!$B$29:$P$29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'A.15 Yr - Infrastructure Assets'!$B$32:$P$32</c:f>
              <c:numCache>
                <c:formatCode>_-* #,##0_-;\-* #,##0_-;_-* "-"??_-;_-@_-</c:formatCode>
                <c:ptCount val="15"/>
                <c:pt idx="5">
                  <c:v>241.30000000000007</c:v>
                </c:pt>
                <c:pt idx="6">
                  <c:v>231.5</c:v>
                </c:pt>
                <c:pt idx="7">
                  <c:v>250.40000000000009</c:v>
                </c:pt>
                <c:pt idx="8">
                  <c:v>256.79999999999995</c:v>
                </c:pt>
                <c:pt idx="9">
                  <c:v>266.7</c:v>
                </c:pt>
                <c:pt idx="10">
                  <c:v>280.49999999999994</c:v>
                </c:pt>
                <c:pt idx="11">
                  <c:v>275.10000000000008</c:v>
                </c:pt>
                <c:pt idx="12">
                  <c:v>254.29999999999995</c:v>
                </c:pt>
                <c:pt idx="13">
                  <c:v>341.6</c:v>
                </c:pt>
                <c:pt idx="14">
                  <c:v>340.70000000000005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7-44E9-9A27-F2F0791892C3}"/>
            </c:ext>
          </c:extLst>
        </c:ser>
        <c:ser>
          <c:idx val="3"/>
          <c:order val="3"/>
          <c:tx>
            <c:strRef>
              <c:f>'A.15 Yr - Infrastructure Assets'!$A$33</c:f>
              <c:strCache>
                <c:ptCount val="1"/>
                <c:pt idx="0">
                  <c:v>Rail infrastructure assets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'A.15 Yr - Infrastructure Assets'!$B$29:$P$29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'A.15 Yr - Infrastructure Assets'!$B$33:$P$33</c:f>
              <c:numCache>
                <c:formatCode>_-* #,##0_-;\-* #,##0_-;_-* "-"??_-;_-@_-</c:formatCode>
                <c:ptCount val="15"/>
                <c:pt idx="5">
                  <c:v>278.10000000000002</c:v>
                </c:pt>
                <c:pt idx="6">
                  <c:v>288.89999999999998</c:v>
                </c:pt>
                <c:pt idx="7">
                  <c:v>288.89999999999998</c:v>
                </c:pt>
                <c:pt idx="8">
                  <c:v>300.60000000000002</c:v>
                </c:pt>
                <c:pt idx="9">
                  <c:v>328.8</c:v>
                </c:pt>
                <c:pt idx="10">
                  <c:v>332.3</c:v>
                </c:pt>
                <c:pt idx="11">
                  <c:v>336.8</c:v>
                </c:pt>
                <c:pt idx="12">
                  <c:v>411.4</c:v>
                </c:pt>
                <c:pt idx="13">
                  <c:v>411.4</c:v>
                </c:pt>
                <c:pt idx="14">
                  <c:v>471.9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D-40DF-9DBA-18667A6B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overlap val="100"/>
        <c:axId val="1275083360"/>
        <c:axId val="1275085160"/>
      </c:barChart>
      <c:catAx>
        <c:axId val="12750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75085160"/>
        <c:crosses val="autoZero"/>
        <c:auto val="1"/>
        <c:lblAlgn val="ctr"/>
        <c:lblOffset val="100"/>
        <c:noMultiLvlLbl val="0"/>
      </c:catAx>
      <c:valAx>
        <c:axId val="1275085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7508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15 Year Trend of Land and buildings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'A.17 - L&amp;B'!$A$29</c:f>
              <c:strCache>
                <c:ptCount val="1"/>
                <c:pt idx="0">
                  <c:v>Land and buildings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'A.17 - L&amp;B'!$B$28:$P$28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'A.17 - L&amp;B'!$B$29:$P$29</c:f>
              <c:numCache>
                <c:formatCode>General</c:formatCode>
                <c:ptCount val="15"/>
                <c:pt idx="0">
                  <c:v>357.2</c:v>
                </c:pt>
                <c:pt idx="1">
                  <c:v>335.1</c:v>
                </c:pt>
                <c:pt idx="2">
                  <c:v>347.8</c:v>
                </c:pt>
                <c:pt idx="3">
                  <c:v>348</c:v>
                </c:pt>
                <c:pt idx="4">
                  <c:v>357.8</c:v>
                </c:pt>
                <c:pt idx="5">
                  <c:v>379.9</c:v>
                </c:pt>
                <c:pt idx="6">
                  <c:v>405.9</c:v>
                </c:pt>
                <c:pt idx="7">
                  <c:v>419.6</c:v>
                </c:pt>
                <c:pt idx="8">
                  <c:v>431.2</c:v>
                </c:pt>
                <c:pt idx="9">
                  <c:v>442.7</c:v>
                </c:pt>
                <c:pt idx="10">
                  <c:v>459.2</c:v>
                </c:pt>
                <c:pt idx="11">
                  <c:v>409.3</c:v>
                </c:pt>
                <c:pt idx="12">
                  <c:v>411.1</c:v>
                </c:pt>
                <c:pt idx="13">
                  <c:v>403.5</c:v>
                </c:pt>
                <c:pt idx="14">
                  <c:v>403.5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A-4907-AAC5-D3349FD28B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378999768"/>
        <c:axId val="379002648"/>
      </c:barChart>
      <c:catAx>
        <c:axId val="37899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002648"/>
        <c:crosses val="autoZero"/>
        <c:auto val="1"/>
        <c:lblAlgn val="ctr"/>
        <c:lblOffset val="100"/>
        <c:noMultiLvlLbl val="0"/>
      </c:catAx>
      <c:valAx>
        <c:axId val="37900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 £</a:t>
                </a:r>
                <a:r>
                  <a:rPr lang="en-GB" baseline="0"/>
                  <a:t> Billion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9976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</a:rPr>
              <a:t>15 year trend of financial assets (£bn)</a:t>
            </a:r>
          </a:p>
        </c:rich>
      </c:tx>
      <c:layout>
        <c:manualLayout>
          <c:xMode val="edge"/>
          <c:yMode val="edge"/>
          <c:x val="0.23979690614666965"/>
          <c:y val="2.12201566186002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'A.19 Other financial assets'!$A$49</c:f>
              <c:strCache>
                <c:ptCount val="1"/>
                <c:pt idx="0">
                  <c:v>Loans and deposits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assets'!$B$49:$P$49</c:f>
              <c:numCache>
                <c:formatCode>0</c:formatCode>
                <c:ptCount val="15"/>
                <c:pt idx="0">
                  <c:v>144.9</c:v>
                </c:pt>
                <c:pt idx="1">
                  <c:v>110</c:v>
                </c:pt>
                <c:pt idx="2">
                  <c:v>121.7</c:v>
                </c:pt>
                <c:pt idx="3">
                  <c:v>135.69999999999999</c:v>
                </c:pt>
                <c:pt idx="4">
                  <c:v>142.1</c:v>
                </c:pt>
                <c:pt idx="5">
                  <c:v>121.1</c:v>
                </c:pt>
                <c:pt idx="6">
                  <c:v>109.8</c:v>
                </c:pt>
                <c:pt idx="7">
                  <c:v>152</c:v>
                </c:pt>
                <c:pt idx="8">
                  <c:v>206.39999999999998</c:v>
                </c:pt>
                <c:pt idx="9">
                  <c:v>205.40320500000001</c:v>
                </c:pt>
                <c:pt idx="10">
                  <c:v>197.8</c:v>
                </c:pt>
                <c:pt idx="11">
                  <c:v>253</c:v>
                </c:pt>
                <c:pt idx="12">
                  <c:v>342.20000000000005</c:v>
                </c:pt>
                <c:pt idx="13">
                  <c:v>299.89999999999998</c:v>
                </c:pt>
                <c:pt idx="14">
                  <c:v>274.10000000000002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5-45CC-9E6E-1E2965F5CC56}"/>
            </c:ext>
          </c:extLst>
        </c:ser>
        <c:ser>
          <c:idx val="1"/>
          <c:order val="1"/>
          <c:tx>
            <c:strRef>
              <c:f>'A.19 Other financial assets'!$A$50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assets'!$B$50:$P$50</c:f>
              <c:numCache>
                <c:formatCode>0</c:formatCode>
                <c:ptCount val="15"/>
                <c:pt idx="0">
                  <c:v>23.9</c:v>
                </c:pt>
                <c:pt idx="1">
                  <c:v>29.2</c:v>
                </c:pt>
                <c:pt idx="2">
                  <c:v>38.200000000000003</c:v>
                </c:pt>
                <c:pt idx="3">
                  <c:v>40.299999999999997</c:v>
                </c:pt>
                <c:pt idx="4">
                  <c:v>64.8</c:v>
                </c:pt>
                <c:pt idx="5">
                  <c:v>66.099999999999994</c:v>
                </c:pt>
                <c:pt idx="6">
                  <c:v>83.2</c:v>
                </c:pt>
                <c:pt idx="7">
                  <c:v>104.2</c:v>
                </c:pt>
                <c:pt idx="8">
                  <c:v>101.9</c:v>
                </c:pt>
                <c:pt idx="9">
                  <c:v>105.019701</c:v>
                </c:pt>
                <c:pt idx="10">
                  <c:v>118.1</c:v>
                </c:pt>
                <c:pt idx="11">
                  <c:v>129</c:v>
                </c:pt>
                <c:pt idx="12">
                  <c:v>112.9</c:v>
                </c:pt>
                <c:pt idx="13">
                  <c:v>97.6</c:v>
                </c:pt>
                <c:pt idx="14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5-45CC-9E6E-1E2965F5CC56}"/>
            </c:ext>
          </c:extLst>
        </c:ser>
        <c:ser>
          <c:idx val="2"/>
          <c:order val="2"/>
          <c:tx>
            <c:strRef>
              <c:f>'A.19 Other financial assets'!$A$51</c:f>
              <c:strCache>
                <c:ptCount val="1"/>
                <c:pt idx="0">
                  <c:v>Student loans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assets'!$B$51:$P$51</c:f>
              <c:numCache>
                <c:formatCode>0</c:formatCode>
                <c:ptCount val="15"/>
                <c:pt idx="0">
                  <c:v>27.6</c:v>
                </c:pt>
                <c:pt idx="1">
                  <c:v>29.6</c:v>
                </c:pt>
                <c:pt idx="2">
                  <c:v>33.1</c:v>
                </c:pt>
                <c:pt idx="3">
                  <c:v>36</c:v>
                </c:pt>
                <c:pt idx="4">
                  <c:v>39</c:v>
                </c:pt>
                <c:pt idx="5">
                  <c:v>48.5</c:v>
                </c:pt>
                <c:pt idx="6">
                  <c:v>64.400000000000006</c:v>
                </c:pt>
                <c:pt idx="7">
                  <c:v>69.400000000000006</c:v>
                </c:pt>
                <c:pt idx="8">
                  <c:v>70</c:v>
                </c:pt>
                <c:pt idx="9">
                  <c:v>76.968166999999994</c:v>
                </c:pt>
                <c:pt idx="10">
                  <c:v>79.099999999999994</c:v>
                </c:pt>
                <c:pt idx="11">
                  <c:v>87.8</c:v>
                </c:pt>
                <c:pt idx="12">
                  <c:v>111.60000000000001</c:v>
                </c:pt>
                <c:pt idx="13">
                  <c:v>154.5</c:v>
                </c:pt>
                <c:pt idx="14">
                  <c:v>169.1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65-45CC-9E6E-1E2965F5CC56}"/>
            </c:ext>
          </c:extLst>
        </c:ser>
        <c:ser>
          <c:idx val="3"/>
          <c:order val="3"/>
          <c:tx>
            <c:strRef>
              <c:f>'A.19 Other financial assets'!$A$52</c:f>
              <c:strCache>
                <c:ptCount val="1"/>
                <c:pt idx="0">
                  <c:v>Equity investments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assets'!$B$52:$P$52</c:f>
              <c:numCache>
                <c:formatCode>0</c:formatCode>
                <c:ptCount val="15"/>
                <c:pt idx="0">
                  <c:v>15</c:v>
                </c:pt>
                <c:pt idx="1">
                  <c:v>16.600000000000001</c:v>
                </c:pt>
                <c:pt idx="2">
                  <c:v>17.5</c:v>
                </c:pt>
                <c:pt idx="3">
                  <c:v>65.099999999999994</c:v>
                </c:pt>
                <c:pt idx="4">
                  <c:v>71.099999999999994</c:v>
                </c:pt>
                <c:pt idx="5">
                  <c:v>74.3</c:v>
                </c:pt>
                <c:pt idx="6">
                  <c:v>54.4</c:v>
                </c:pt>
                <c:pt idx="7">
                  <c:v>53.800000000000004</c:v>
                </c:pt>
                <c:pt idx="8">
                  <c:v>54.8</c:v>
                </c:pt>
                <c:pt idx="9">
                  <c:v>56.230196999999997</c:v>
                </c:pt>
                <c:pt idx="10">
                  <c:v>37.1</c:v>
                </c:pt>
                <c:pt idx="11">
                  <c:v>44.8</c:v>
                </c:pt>
                <c:pt idx="12">
                  <c:v>46.4</c:v>
                </c:pt>
                <c:pt idx="13">
                  <c:v>47.4</c:v>
                </c:pt>
                <c:pt idx="14">
                  <c:v>53.300000000000004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65-45CC-9E6E-1E2965F5CC56}"/>
            </c:ext>
          </c:extLst>
        </c:ser>
        <c:ser>
          <c:idx val="4"/>
          <c:order val="4"/>
          <c:tx>
            <c:strRef>
              <c:f>'A.19 Other financial assets'!$A$53</c:f>
              <c:strCache>
                <c:ptCount val="1"/>
                <c:pt idx="0">
                  <c:v>Derivatives and other financial assets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assets'!$B$53:$P$53</c:f>
              <c:numCache>
                <c:formatCode>0</c:formatCode>
                <c:ptCount val="15"/>
                <c:pt idx="0">
                  <c:v>15.8</c:v>
                </c:pt>
                <c:pt idx="1">
                  <c:v>17.899999999999999</c:v>
                </c:pt>
                <c:pt idx="2">
                  <c:v>20.3</c:v>
                </c:pt>
                <c:pt idx="3">
                  <c:v>19</c:v>
                </c:pt>
                <c:pt idx="4">
                  <c:v>23.1</c:v>
                </c:pt>
                <c:pt idx="5">
                  <c:v>36.6</c:v>
                </c:pt>
                <c:pt idx="6">
                  <c:v>34.299999999999997</c:v>
                </c:pt>
                <c:pt idx="7">
                  <c:v>48.5</c:v>
                </c:pt>
                <c:pt idx="8">
                  <c:v>43.8</c:v>
                </c:pt>
                <c:pt idx="9">
                  <c:v>38.121814999999998</c:v>
                </c:pt>
                <c:pt idx="10">
                  <c:v>48.9</c:v>
                </c:pt>
                <c:pt idx="11">
                  <c:v>57.9</c:v>
                </c:pt>
                <c:pt idx="12">
                  <c:v>56.7</c:v>
                </c:pt>
                <c:pt idx="13">
                  <c:v>63.4</c:v>
                </c:pt>
                <c:pt idx="14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65-45CC-9E6E-1E2965F5CC56}"/>
            </c:ext>
          </c:extLst>
        </c:ser>
        <c:ser>
          <c:idx val="5"/>
          <c:order val="5"/>
          <c:tx>
            <c:strRef>
              <c:f>'A.19 Other financial assets'!$A$54</c:f>
              <c:strCache>
                <c:ptCount val="1"/>
                <c:pt idx="0">
                  <c:v>IMF quota subscription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assets'!$B$54:$P$54</c:f>
              <c:numCache>
                <c:formatCode>0</c:formatCode>
                <c:ptCount val="15"/>
                <c:pt idx="0">
                  <c:v>10.8</c:v>
                </c:pt>
                <c:pt idx="1">
                  <c:v>10.6</c:v>
                </c:pt>
                <c:pt idx="2">
                  <c:v>10.4</c:v>
                </c:pt>
                <c:pt idx="3">
                  <c:v>10.6</c:v>
                </c:pt>
                <c:pt idx="4">
                  <c:v>10</c:v>
                </c:pt>
                <c:pt idx="5">
                  <c:v>10</c:v>
                </c:pt>
                <c:pt idx="6">
                  <c:v>19.7</c:v>
                </c:pt>
                <c:pt idx="7">
                  <c:v>22</c:v>
                </c:pt>
                <c:pt idx="8">
                  <c:v>20.8</c:v>
                </c:pt>
                <c:pt idx="9">
                  <c:v>21.350062999999999</c:v>
                </c:pt>
                <c:pt idx="10">
                  <c:v>22.3</c:v>
                </c:pt>
                <c:pt idx="11">
                  <c:v>20.8</c:v>
                </c:pt>
                <c:pt idx="12">
                  <c:v>21.2</c:v>
                </c:pt>
                <c:pt idx="13">
                  <c:v>21.9</c:v>
                </c:pt>
                <c:pt idx="14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65-45CC-9E6E-1E2965F5CC56}"/>
            </c:ext>
          </c:extLst>
        </c:ser>
        <c:ser>
          <c:idx val="7"/>
          <c:order val="7"/>
          <c:tx>
            <c:strRef>
              <c:f>'A.19 Other financial assets'!$A$55</c:f>
              <c:strCache>
                <c:ptCount val="1"/>
                <c:pt idx="0">
                  <c:v>IMF Special Drawing Rights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0C4D9ED-B5E3-4615-88CC-C56144749EE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565-45CC-9E6E-1E2965F5CC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ED98D6-A6B6-412F-810E-10FBFE232C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565-45CC-9E6E-1E2965F5CC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FAC2CFE-700E-489F-9658-EAE7764E75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565-45CC-9E6E-1E2965F5CC5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93B9779-3A78-4010-9B2C-9E861135CA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565-45CC-9E6E-1E2965F5CC5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79ADFCF-E8DB-4B44-A387-6EB7ADC2A7C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565-45CC-9E6E-1E2965F5CC5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D67918-ADBF-4C9E-A047-52C57C5296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565-45CC-9E6E-1E2965F5CC5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72BBC3E-C2D4-4BE0-AC11-DDAF77FFFB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565-45CC-9E6E-1E2965F5CC5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DF0F478-0EDC-4514-9F7C-55DD40CF5B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565-45CC-9E6E-1E2965F5CC5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152C6C4-733C-46D6-ABFA-B4010D8A31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565-45CC-9E6E-1E2965F5CC5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9DF84F5-37BD-4E36-8A97-275E4481B6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565-45CC-9E6E-1E2965F5CC5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2E1A2A4-0A9D-4665-9AB5-18B8FF7298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565-45CC-9E6E-1E2965F5CC5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0D644C7-37A6-4758-9A25-7F6A5187E9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565-45CC-9E6E-1E2965F5CC56}"/>
                </c:ext>
              </c:extLst>
            </c:dLbl>
            <c:dLbl>
              <c:idx val="12"/>
              <c:layout>
                <c:manualLayout>
                  <c:x val="0"/>
                  <c:y val="-4.0787098335733428E-2"/>
                </c:manualLayout>
              </c:layout>
              <c:tx>
                <c:rich>
                  <a:bodyPr/>
                  <a:lstStyle/>
                  <a:p>
                    <a:fld id="{05E93E2B-A947-4D38-B693-EA03F66D9AE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565-45CC-9E6E-1E2965F5CC56}"/>
                </c:ext>
              </c:extLst>
            </c:dLbl>
            <c:dLbl>
              <c:idx val="13"/>
              <c:layout>
                <c:manualLayout>
                  <c:x val="0"/>
                  <c:y val="-3.3667962552271641E-2"/>
                </c:manualLayout>
              </c:layout>
              <c:tx>
                <c:rich>
                  <a:bodyPr/>
                  <a:lstStyle/>
                  <a:p>
                    <a:fld id="{EA1AD4CF-D89E-4380-8315-2765CC4DA9E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C565-45CC-9E6E-1E2965F5CC56}"/>
                </c:ext>
              </c:extLst>
            </c:dLbl>
            <c:dLbl>
              <c:idx val="14"/>
              <c:layout>
                <c:manualLayout>
                  <c:x val="0"/>
                  <c:y val="-3.6943123058051329E-2"/>
                </c:manualLayout>
              </c:layout>
              <c:tx>
                <c:rich>
                  <a:bodyPr/>
                  <a:lstStyle/>
                  <a:p>
                    <a:fld id="{0214FD1A-6032-4B90-8060-9E430EA76D3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C565-45CC-9E6E-1E2965F5C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'A.19 Other financial assets'!$B$48:$P$48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'A.19 Other financial assets'!$B$55:$P$55</c:f>
              <c:numCache>
                <c:formatCode>0</c:formatCode>
                <c:ptCount val="15"/>
                <c:pt idx="0">
                  <c:v>9.1999999999999993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9.5</c:v>
                </c:pt>
                <c:pt idx="4">
                  <c:v>9</c:v>
                </c:pt>
                <c:pt idx="5">
                  <c:v>8.9</c:v>
                </c:pt>
                <c:pt idx="6">
                  <c:v>7.2</c:v>
                </c:pt>
                <c:pt idx="7">
                  <c:v>9</c:v>
                </c:pt>
                <c:pt idx="8">
                  <c:v>9.9</c:v>
                </c:pt>
                <c:pt idx="9">
                  <c:v>11.800738000000001</c:v>
                </c:pt>
                <c:pt idx="10">
                  <c:v>12.9</c:v>
                </c:pt>
                <c:pt idx="11">
                  <c:v>12.4</c:v>
                </c:pt>
                <c:pt idx="12">
                  <c:v>33.799999999999997</c:v>
                </c:pt>
                <c:pt idx="13">
                  <c:v>36.4</c:v>
                </c:pt>
                <c:pt idx="14">
                  <c:v>35.799999999999997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'A.19 Other financial assets'!$B$57:$P$57</c15:f>
                <c15:dlblRangeCache>
                  <c:ptCount val="15"/>
                  <c:pt idx="0">
                    <c:v>247</c:v>
                  </c:pt>
                  <c:pt idx="1">
                    <c:v>223</c:v>
                  </c:pt>
                  <c:pt idx="2">
                    <c:v>251</c:v>
                  </c:pt>
                  <c:pt idx="3">
                    <c:v>316</c:v>
                  </c:pt>
                  <c:pt idx="4">
                    <c:v>359</c:v>
                  </c:pt>
                  <c:pt idx="5">
                    <c:v>366</c:v>
                  </c:pt>
                  <c:pt idx="6">
                    <c:v>373</c:v>
                  </c:pt>
                  <c:pt idx="7">
                    <c:v>459</c:v>
                  </c:pt>
                  <c:pt idx="8">
                    <c:v>508</c:v>
                  </c:pt>
                  <c:pt idx="9">
                    <c:v>515</c:v>
                  </c:pt>
                  <c:pt idx="10">
                    <c:v>516</c:v>
                  </c:pt>
                  <c:pt idx="11">
                    <c:v>606</c:v>
                  </c:pt>
                  <c:pt idx="12">
                    <c:v>725</c:v>
                  </c:pt>
                  <c:pt idx="13">
                    <c:v>721</c:v>
                  </c:pt>
                  <c:pt idx="14">
                    <c:v>708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C565-45CC-9E6E-1E2965F5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6752504"/>
        <c:axId val="1106763664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v>#REF!</c:v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'A.19 Other financial assets'!$B$48:$P$48</c15:sqref>
                        </c15:formulaRef>
                      </c:ext>
                    </c:extLst>
                    <c:strCache>
                      <c:ptCount val="15"/>
                      <c:pt idx="0">
                        <c:v>2009-10</c:v>
                      </c:pt>
                      <c:pt idx="1">
                        <c:v>2010-11</c:v>
                      </c:pt>
                      <c:pt idx="2">
                        <c:v>2011-12</c:v>
                      </c:pt>
                      <c:pt idx="3">
                        <c:v>2012-13</c:v>
                      </c:pt>
                      <c:pt idx="4">
                        <c:v>2013-14</c:v>
                      </c:pt>
                      <c:pt idx="5">
                        <c:v>2014-15</c:v>
                      </c:pt>
                      <c:pt idx="6">
                        <c:v>2015-16</c:v>
                      </c:pt>
                      <c:pt idx="7">
                        <c:v>2016-17</c:v>
                      </c:pt>
                      <c:pt idx="8">
                        <c:v>2017-18</c:v>
                      </c:pt>
                      <c:pt idx="9">
                        <c:v>2018-19</c:v>
                      </c:pt>
                      <c:pt idx="10">
                        <c:v>2019-20</c:v>
                      </c:pt>
                      <c:pt idx="11">
                        <c:v>2020-21</c:v>
                      </c:pt>
                      <c:pt idx="12">
                        <c:v>2021-22</c:v>
                      </c:pt>
                      <c:pt idx="13">
                        <c:v>2022-23</c:v>
                      </c:pt>
                      <c:pt idx="14">
                        <c:v>2023-24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6-C565-45CC-9E6E-1E2965F5CC56}"/>
                  </c:ext>
                </c:extLst>
              </c15:ser>
            </c15:filteredBarSeries>
          </c:ext>
        </c:extLst>
      </c:barChart>
      <c:catAx>
        <c:axId val="110675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106763664"/>
        <c:crosses val="autoZero"/>
        <c:auto val="1"/>
        <c:lblAlgn val="ctr"/>
        <c:lblOffset val="100"/>
        <c:noMultiLvlLbl val="0"/>
      </c:catAx>
      <c:valAx>
        <c:axId val="110676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106752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15 Year</a:t>
            </a:r>
            <a:r>
              <a:rPr lang="en-US" baseline="0"/>
              <a:t> Trend of </a:t>
            </a:r>
            <a:r>
              <a:rPr lang="en-US"/>
              <a:t>Student Loans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'A.20 Student Loan'!$A$31</c:f>
              <c:strCache>
                <c:ptCount val="1"/>
                <c:pt idx="0">
                  <c:v>Student Loans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'A.20 Student Loan'!$B$28:$P$28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'A.20 Student Loan'!$B$31:$P$31</c:f>
              <c:numCache>
                <c:formatCode>0</c:formatCode>
                <c:ptCount val="15"/>
                <c:pt idx="0">
                  <c:v>27.6</c:v>
                </c:pt>
                <c:pt idx="1">
                  <c:v>29.6</c:v>
                </c:pt>
                <c:pt idx="2">
                  <c:v>33.1</c:v>
                </c:pt>
                <c:pt idx="3">
                  <c:v>36</c:v>
                </c:pt>
                <c:pt idx="4">
                  <c:v>39</c:v>
                </c:pt>
                <c:pt idx="5">
                  <c:v>48.5</c:v>
                </c:pt>
                <c:pt idx="6">
                  <c:v>64.400000000000006</c:v>
                </c:pt>
                <c:pt idx="7">
                  <c:v>69.400000000000006</c:v>
                </c:pt>
                <c:pt idx="8">
                  <c:v>70</c:v>
                </c:pt>
                <c:pt idx="9">
                  <c:v>76.899999999999991</c:v>
                </c:pt>
                <c:pt idx="10">
                  <c:v>79.099999999999994</c:v>
                </c:pt>
                <c:pt idx="11">
                  <c:v>87.8</c:v>
                </c:pt>
                <c:pt idx="12">
                  <c:v>111.60000000000001</c:v>
                </c:pt>
                <c:pt idx="13">
                  <c:v>154.5</c:v>
                </c:pt>
                <c:pt idx="14">
                  <c:v>169.1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7-4115-9438-B1763C0743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38123096"/>
        <c:axId val="838119496"/>
      </c:barChart>
      <c:catAx>
        <c:axId val="83812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19496"/>
        <c:crosses val="autoZero"/>
        <c:auto val="1"/>
        <c:lblAlgn val="ctr"/>
        <c:lblOffset val="100"/>
        <c:noMultiLvlLbl val="0"/>
      </c:catAx>
      <c:valAx>
        <c:axId val="83811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£ Billion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123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'A.22 Equity Invest'!$A$29</c:f>
              <c:strCache>
                <c:ptCount val="1"/>
                <c:pt idx="0">
                  <c:v>Equity investments (including investment in backs)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'A.22 Equity Invest'!$C$28:$P$28</c:f>
              <c:strCache>
                <c:ptCount val="14"/>
                <c:pt idx="0">
                  <c:v>2022-23</c:v>
                </c:pt>
                <c:pt idx="1">
                  <c:v>2021-22</c:v>
                </c:pt>
                <c:pt idx="2">
                  <c:v>2020-21</c:v>
                </c:pt>
                <c:pt idx="3">
                  <c:v>2019-20</c:v>
                </c:pt>
                <c:pt idx="4">
                  <c:v>2018-19</c:v>
                </c:pt>
                <c:pt idx="5">
                  <c:v>2017-18</c:v>
                </c:pt>
                <c:pt idx="6">
                  <c:v>2016-17</c:v>
                </c:pt>
                <c:pt idx="7">
                  <c:v>2015-16</c:v>
                </c:pt>
                <c:pt idx="8">
                  <c:v>2014-15</c:v>
                </c:pt>
                <c:pt idx="9">
                  <c:v>2013-14</c:v>
                </c:pt>
                <c:pt idx="10">
                  <c:v>2012-13</c:v>
                </c:pt>
                <c:pt idx="11">
                  <c:v>2011-12</c:v>
                </c:pt>
                <c:pt idx="12">
                  <c:v>2010-11</c:v>
                </c:pt>
                <c:pt idx="13">
                  <c:v>2009-10</c:v>
                </c:pt>
              </c:strCache>
            </c:strRef>
          </c:cat>
          <c:val>
            <c:numRef>
              <c:f>'A.22 Equity Invest'!$C$29:$P$29</c:f>
              <c:numCache>
                <c:formatCode>0</c:formatCode>
                <c:ptCount val="14"/>
                <c:pt idx="0">
                  <c:v>47.4</c:v>
                </c:pt>
                <c:pt idx="1">
                  <c:v>46.4</c:v>
                </c:pt>
                <c:pt idx="2">
                  <c:v>44.8</c:v>
                </c:pt>
                <c:pt idx="3">
                  <c:v>37.1</c:v>
                </c:pt>
                <c:pt idx="4">
                  <c:v>56.230196999999997</c:v>
                </c:pt>
                <c:pt idx="5">
                  <c:v>54.8</c:v>
                </c:pt>
                <c:pt idx="6">
                  <c:v>53.800000000000004</c:v>
                </c:pt>
                <c:pt idx="7">
                  <c:v>54.4</c:v>
                </c:pt>
                <c:pt idx="8">
                  <c:v>74.3</c:v>
                </c:pt>
                <c:pt idx="9">
                  <c:v>71.099999999999994</c:v>
                </c:pt>
                <c:pt idx="10">
                  <c:v>67.8</c:v>
                </c:pt>
                <c:pt idx="11">
                  <c:v>58.3</c:v>
                </c:pt>
                <c:pt idx="12">
                  <c:v>76.099999999999994</c:v>
                </c:pt>
                <c:pt idx="13">
                  <c:v>76.099999999999994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B-485F-BB92-AA6AAA6A0B9A}"/>
            </c:ext>
          </c:extLst>
        </c:ser>
        <c:ser>
          <c:idx val="0"/>
          <c:order val="1"/>
          <c:tx>
            <c:strRef>
              <c:f>'A.22 Equity Invest'!$A$30</c:f>
              <c:strCache>
                <c:ptCount val="1"/>
                <c:pt idx="0">
                  <c:v>of which - Natwest (formerly RBS)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'A.22 Equity Invest'!$C$28:$P$28</c:f>
              <c:strCache>
                <c:ptCount val="14"/>
                <c:pt idx="0">
                  <c:v>2022-23</c:v>
                </c:pt>
                <c:pt idx="1">
                  <c:v>2021-22</c:v>
                </c:pt>
                <c:pt idx="2">
                  <c:v>2020-21</c:v>
                </c:pt>
                <c:pt idx="3">
                  <c:v>2019-20</c:v>
                </c:pt>
                <c:pt idx="4">
                  <c:v>2018-19</c:v>
                </c:pt>
                <c:pt idx="5">
                  <c:v>2017-18</c:v>
                </c:pt>
                <c:pt idx="6">
                  <c:v>2016-17</c:v>
                </c:pt>
                <c:pt idx="7">
                  <c:v>2015-16</c:v>
                </c:pt>
                <c:pt idx="8">
                  <c:v>2014-15</c:v>
                </c:pt>
                <c:pt idx="9">
                  <c:v>2013-14</c:v>
                </c:pt>
                <c:pt idx="10">
                  <c:v>2012-13</c:v>
                </c:pt>
                <c:pt idx="11">
                  <c:v>2011-12</c:v>
                </c:pt>
                <c:pt idx="12">
                  <c:v>2010-11</c:v>
                </c:pt>
                <c:pt idx="13">
                  <c:v>2009-10</c:v>
                </c:pt>
              </c:strCache>
            </c:strRef>
          </c:cat>
          <c:val>
            <c:numRef>
              <c:f>'A.22 Equity Invest'!$C$30:$P$30</c:f>
              <c:numCache>
                <c:formatCode>General</c:formatCode>
                <c:ptCount val="14"/>
                <c:pt idx="0">
                  <c:v>10.5</c:v>
                </c:pt>
                <c:pt idx="1">
                  <c:v>11</c:v>
                </c:pt>
                <c:pt idx="2">
                  <c:v>13.6</c:v>
                </c:pt>
                <c:pt idx="3">
                  <c:v>8.5</c:v>
                </c:pt>
                <c:pt idx="4">
                  <c:v>18.600000000000001</c:v>
                </c:pt>
                <c:pt idx="5">
                  <c:v>21.8</c:v>
                </c:pt>
                <c:pt idx="6">
                  <c:v>20.399999999999999</c:v>
                </c:pt>
                <c:pt idx="7">
                  <c:v>18.8</c:v>
                </c:pt>
                <c:pt idx="8">
                  <c:v>32</c:v>
                </c:pt>
                <c:pt idx="9">
                  <c:v>29.7</c:v>
                </c:pt>
                <c:pt idx="10">
                  <c:v>10.9</c:v>
                </c:pt>
                <c:pt idx="11">
                  <c:v>11</c:v>
                </c:pt>
                <c:pt idx="12">
                  <c:v>16.2</c:v>
                </c:pt>
                <c:pt idx="13">
                  <c:v>17.399999999999999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6-47FD-A5B0-4E45D98EBD63}"/>
            </c:ext>
          </c:extLst>
        </c:ser>
        <c:ser>
          <c:idx val="2"/>
          <c:order val="2"/>
          <c:tx>
            <c:v>#REF!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'A.22 Equity Invest'!$C$28:$P$28</c:f>
              <c:strCache>
                <c:ptCount val="14"/>
                <c:pt idx="0">
                  <c:v>2022-23</c:v>
                </c:pt>
                <c:pt idx="1">
                  <c:v>2021-22</c:v>
                </c:pt>
                <c:pt idx="2">
                  <c:v>2020-21</c:v>
                </c:pt>
                <c:pt idx="3">
                  <c:v>2019-20</c:v>
                </c:pt>
                <c:pt idx="4">
                  <c:v>2018-19</c:v>
                </c:pt>
                <c:pt idx="5">
                  <c:v>2017-18</c:v>
                </c:pt>
                <c:pt idx="6">
                  <c:v>2016-17</c:v>
                </c:pt>
                <c:pt idx="7">
                  <c:v>2015-16</c:v>
                </c:pt>
                <c:pt idx="8">
                  <c:v>2014-15</c:v>
                </c:pt>
                <c:pt idx="9">
                  <c:v>2013-14</c:v>
                </c:pt>
                <c:pt idx="10">
                  <c:v>2012-13</c:v>
                </c:pt>
                <c:pt idx="11">
                  <c:v>2011-12</c:v>
                </c:pt>
                <c:pt idx="12">
                  <c:v>2010-11</c:v>
                </c:pt>
                <c:pt idx="13">
                  <c:v>2009-10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C6-47FD-A5B0-4E45D98E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41864"/>
        <c:axId val="636740784"/>
      </c:lineChart>
      <c:catAx>
        <c:axId val="6367418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636740784"/>
        <c:crosses val="autoZero"/>
        <c:auto val="1"/>
        <c:lblAlgn val="ctr"/>
        <c:lblOffset val="100"/>
        <c:noMultiLvlLbl val="0"/>
      </c:catAx>
      <c:valAx>
        <c:axId val="63674078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63674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15</a:t>
            </a:r>
            <a:r>
              <a:rPr lang="en-GB" baseline="0"/>
              <a:t> Year Trend of Equity Investments in Banks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'A.23 Natwest'!$A$29</c:f>
              <c:strCache>
                <c:ptCount val="1"/>
                <c:pt idx="0">
                  <c:v>Natwest (Formerly RBS)</c:v>
                </c:pt>
              </c:strCache>
            </c:strRef>
          </c:tx>
          <c:spPr>
            <a:solidFill>
              <a:srgbClr val="B2292E"/>
            </a:solidFill>
            <a:ln>
              <a:noFill/>
            </a:ln>
            <a:effectLst/>
          </c:spPr>
          <c:invertIfNegative val="0"/>
          <c:cat>
            <c:strRef>
              <c:f>'A.23 Natwest'!$B$28:$P$28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'A.23 Natwest'!$B$29:$P$29</c:f>
              <c:numCache>
                <c:formatCode>#,##0</c:formatCode>
                <c:ptCount val="15"/>
                <c:pt idx="0">
                  <c:v>17.399999999999999</c:v>
                </c:pt>
                <c:pt idx="1">
                  <c:v>16.2</c:v>
                </c:pt>
                <c:pt idx="2">
                  <c:v>11</c:v>
                </c:pt>
                <c:pt idx="3">
                  <c:v>10.9</c:v>
                </c:pt>
                <c:pt idx="4">
                  <c:v>29.7</c:v>
                </c:pt>
                <c:pt idx="5">
                  <c:v>32</c:v>
                </c:pt>
                <c:pt idx="6">
                  <c:v>18.8</c:v>
                </c:pt>
                <c:pt idx="7">
                  <c:v>20.399999999999999</c:v>
                </c:pt>
                <c:pt idx="8">
                  <c:v>21.8</c:v>
                </c:pt>
                <c:pt idx="9">
                  <c:v>18.600000000000001</c:v>
                </c:pt>
                <c:pt idx="10">
                  <c:v>8.5</c:v>
                </c:pt>
                <c:pt idx="11">
                  <c:v>13.6</c:v>
                </c:pt>
                <c:pt idx="12">
                  <c:v>11</c:v>
                </c:pt>
                <c:pt idx="13">
                  <c:v>10.5</c:v>
                </c:pt>
                <c:pt idx="14" formatCode="General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C-4911-9DD9-C088DD61B825}"/>
            </c:ext>
          </c:extLst>
        </c:ser>
        <c:ser>
          <c:idx val="1"/>
          <c:order val="1"/>
          <c:tx>
            <c:strRef>
              <c:f>'A.23 Natwest'!$A$30</c:f>
              <c:strCache>
                <c:ptCount val="1"/>
                <c:pt idx="0">
                  <c:v>Lloyds Bank</c:v>
                </c:pt>
              </c:strCache>
            </c:strRef>
          </c:tx>
          <c:spPr>
            <a:solidFill>
              <a:srgbClr val="EFC2B3"/>
            </a:solidFill>
            <a:ln>
              <a:noFill/>
            </a:ln>
            <a:effectLst/>
          </c:spPr>
          <c:invertIfNegative val="0"/>
          <c:cat>
            <c:strRef>
              <c:f>'A.23 Natwest'!$B$28:$P$28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'A.23 Natwest'!$B$30:$P$30</c:f>
              <c:numCache>
                <c:formatCode>#,##0</c:formatCode>
                <c:ptCount val="15"/>
                <c:pt idx="0">
                  <c:v>16</c:v>
                </c:pt>
                <c:pt idx="1">
                  <c:v>17.3</c:v>
                </c:pt>
                <c:pt idx="2">
                  <c:v>9.3000000000000007</c:v>
                </c:pt>
                <c:pt idx="3">
                  <c:v>13.4</c:v>
                </c:pt>
                <c:pt idx="4">
                  <c:v>13.3</c:v>
                </c:pt>
                <c:pt idx="5">
                  <c:v>12.2</c:v>
                </c:pt>
                <c:pt idx="6">
                  <c:v>4.4000000000000004</c:v>
                </c:pt>
                <c:pt idx="7">
                  <c:v>0.9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C-4911-9DD9-C088DD61B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7077584"/>
        <c:axId val="697078304"/>
      </c:barChart>
      <c:catAx>
        <c:axId val="69707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078304"/>
        <c:crosses val="autoZero"/>
        <c:auto val="1"/>
        <c:lblAlgn val="ctr"/>
        <c:lblOffset val="100"/>
        <c:noMultiLvlLbl val="0"/>
      </c:catAx>
      <c:valAx>
        <c:axId val="69707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£ Billion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07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15 Year Trend of Intangible assets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'A.24 Intangibles'!$A$29</c:f>
              <c:strCache>
                <c:ptCount val="1"/>
                <c:pt idx="0">
                  <c:v>Intangible assets</c:v>
                </c:pt>
              </c:strCache>
            </c:strRef>
          </c:tx>
          <c:spPr>
            <a:solidFill>
              <a:srgbClr val="B229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'A.24 Intangibles'!$B$28:$P$28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'A.24 Intangibles'!$B$29:$P$29</c:f>
              <c:numCache>
                <c:formatCode>General</c:formatCode>
                <c:ptCount val="15"/>
                <c:pt idx="0">
                  <c:v>36.299999999999997</c:v>
                </c:pt>
                <c:pt idx="1">
                  <c:v>34.799999999999997</c:v>
                </c:pt>
                <c:pt idx="2">
                  <c:v>35.200000000000003</c:v>
                </c:pt>
                <c:pt idx="3">
                  <c:v>34.5</c:v>
                </c:pt>
                <c:pt idx="4">
                  <c:v>31.9</c:v>
                </c:pt>
                <c:pt idx="5">
                  <c:v>32.4</c:v>
                </c:pt>
                <c:pt idx="6">
                  <c:v>33</c:v>
                </c:pt>
                <c:pt idx="7">
                  <c:v>34.5</c:v>
                </c:pt>
                <c:pt idx="8">
                  <c:v>36</c:v>
                </c:pt>
                <c:pt idx="9">
                  <c:v>37.4</c:v>
                </c:pt>
                <c:pt idx="10">
                  <c:v>40.200000000000003</c:v>
                </c:pt>
                <c:pt idx="11">
                  <c:v>41</c:v>
                </c:pt>
                <c:pt idx="12">
                  <c:v>43.7</c:v>
                </c:pt>
                <c:pt idx="13">
                  <c:v>47.9</c:v>
                </c:pt>
                <c:pt idx="14">
                  <c:v>52.1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0-4900-980C-5BC4A9A32D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73122536"/>
        <c:axId val="973119656"/>
      </c:barChart>
      <c:catAx>
        <c:axId val="97312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119656"/>
        <c:crosses val="autoZero"/>
        <c:auto val="1"/>
        <c:lblAlgn val="ctr"/>
        <c:lblOffset val="100"/>
        <c:noMultiLvlLbl val="0"/>
      </c:catAx>
      <c:valAx>
        <c:axId val="97311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£</a:t>
                </a:r>
                <a:r>
                  <a:rPr lang="en-GB" baseline="0"/>
                  <a:t> Billion</a:t>
                </a:r>
                <a:r>
                  <a:rPr lang="en-GB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12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GB"/>
              <a:t>Cash and readily convertible</a:t>
            </a:r>
            <a:r>
              <a:rPr lang="en-GB" baseline="0"/>
              <a:t> investments (£bn)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967898243488796E-2"/>
          <c:y val="0.13702417512043896"/>
          <c:w val="0.87605466384009689"/>
          <c:h val="0.602617782758670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'A.25 Cash'!$A$29</c:f>
              <c:strCache>
                <c:ptCount val="1"/>
                <c:pt idx="0">
                  <c:v>Cash at bank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'A.25 Cash'!$B$28:$P$28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'A.25 Cash'!$B$29:$P$29</c:f>
              <c:numCache>
                <c:formatCode>_-* #,##0_-;\-* #,##0_-;_-* "-"??_-;_-@_-</c:formatCode>
                <c:ptCount val="15"/>
                <c:pt idx="0">
                  <c:v>6.6</c:v>
                </c:pt>
                <c:pt idx="1">
                  <c:v>6.9</c:v>
                </c:pt>
                <c:pt idx="2">
                  <c:v>6.3</c:v>
                </c:pt>
                <c:pt idx="3">
                  <c:v>7.7</c:v>
                </c:pt>
                <c:pt idx="4">
                  <c:v>12.2</c:v>
                </c:pt>
                <c:pt idx="5">
                  <c:v>12.6</c:v>
                </c:pt>
                <c:pt idx="6">
                  <c:v>11.9</c:v>
                </c:pt>
                <c:pt idx="7">
                  <c:v>11.7</c:v>
                </c:pt>
                <c:pt idx="8">
                  <c:v>14.7</c:v>
                </c:pt>
                <c:pt idx="9">
                  <c:v>27</c:v>
                </c:pt>
                <c:pt idx="10">
                  <c:v>15.499999999999998</c:v>
                </c:pt>
                <c:pt idx="11">
                  <c:v>9.8000000000000007</c:v>
                </c:pt>
                <c:pt idx="12">
                  <c:v>17.5</c:v>
                </c:pt>
                <c:pt idx="13">
                  <c:v>17.399999999999999</c:v>
                </c:pt>
                <c:pt idx="14">
                  <c:v>18.299999999999997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C-485D-8476-DC2BFC38D8AD}"/>
            </c:ext>
          </c:extLst>
        </c:ser>
        <c:ser>
          <c:idx val="1"/>
          <c:order val="1"/>
          <c:tx>
            <c:strRef>
              <c:f>'A.25 Cash'!$A$30</c:f>
              <c:strCache>
                <c:ptCount val="1"/>
                <c:pt idx="0">
                  <c:v>Readily convertible investments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'A.25 Cash'!$B$28:$P$28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'A.25 Cash'!$B$30:$P$30</c:f>
              <c:numCache>
                <c:formatCode>_-* #,##0_-;\-* #,##0_-;_-* "-"??_-;_-@_-</c:formatCode>
                <c:ptCount val="15"/>
                <c:pt idx="0">
                  <c:v>13.1</c:v>
                </c:pt>
                <c:pt idx="1">
                  <c:v>15.6</c:v>
                </c:pt>
                <c:pt idx="2">
                  <c:v>15.2</c:v>
                </c:pt>
                <c:pt idx="3">
                  <c:v>12.1</c:v>
                </c:pt>
                <c:pt idx="4">
                  <c:v>13.3</c:v>
                </c:pt>
                <c:pt idx="5">
                  <c:v>14.2</c:v>
                </c:pt>
                <c:pt idx="6">
                  <c:v>13.9</c:v>
                </c:pt>
                <c:pt idx="7">
                  <c:v>16.600000000000001</c:v>
                </c:pt>
                <c:pt idx="8">
                  <c:v>19.600000000000001</c:v>
                </c:pt>
                <c:pt idx="9">
                  <c:v>17.2</c:v>
                </c:pt>
                <c:pt idx="10">
                  <c:v>22.1</c:v>
                </c:pt>
                <c:pt idx="11">
                  <c:v>29.8</c:v>
                </c:pt>
                <c:pt idx="12">
                  <c:v>26.4</c:v>
                </c:pt>
                <c:pt idx="13">
                  <c:v>26.4</c:v>
                </c:pt>
                <c:pt idx="14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C-485D-8476-DC2BFC38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3"/>
        <c:overlap val="100"/>
        <c:axId val="999880224"/>
        <c:axId val="999871584"/>
      </c:barChart>
      <c:lineChart>
        <c:grouping val="standard"/>
        <c:varyColors val="0"/>
        <c:ser>
          <c:idx val="2"/>
          <c:order val="2"/>
          <c:tx>
            <c:strRef>
              <c:f>'A.25 Cash'!$A$33</c:f>
              <c:strCache>
                <c:ptCount val="1"/>
                <c:pt idx="0">
                  <c:v>Cash as % of readily convertible assets and cash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'A.25 Cash'!$B$28:$P$28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'A.25 Cash'!$B$33:$P$33</c:f>
              <c:numCache>
                <c:formatCode>0%</c:formatCode>
                <c:ptCount val="15"/>
                <c:pt idx="0">
                  <c:v>0.3350253807106599</c:v>
                </c:pt>
                <c:pt idx="1">
                  <c:v>0.3066666666666667</c:v>
                </c:pt>
                <c:pt idx="2">
                  <c:v>0.2930232558139535</c:v>
                </c:pt>
                <c:pt idx="3">
                  <c:v>0.3888888888888889</c:v>
                </c:pt>
                <c:pt idx="4">
                  <c:v>0.47843137254901957</c:v>
                </c:pt>
                <c:pt idx="5">
                  <c:v>0.47014925373134331</c:v>
                </c:pt>
                <c:pt idx="6">
                  <c:v>0.46124031007751937</c:v>
                </c:pt>
                <c:pt idx="7">
                  <c:v>0.41342756183745577</c:v>
                </c:pt>
                <c:pt idx="8">
                  <c:v>0.4285714285714286</c:v>
                </c:pt>
                <c:pt idx="9">
                  <c:v>0.61085972850678727</c:v>
                </c:pt>
                <c:pt idx="10">
                  <c:v>0.4122340425531914</c:v>
                </c:pt>
                <c:pt idx="11">
                  <c:v>0.24747474747474749</c:v>
                </c:pt>
                <c:pt idx="12">
                  <c:v>0.39863325740318906</c:v>
                </c:pt>
                <c:pt idx="13">
                  <c:v>0.39726027397260272</c:v>
                </c:pt>
                <c:pt idx="14">
                  <c:v>0.46329113924050624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C-485D-8476-DC2BFC38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069480"/>
        <c:axId val="1007065160"/>
      </c:lineChart>
      <c:catAx>
        <c:axId val="9998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999871584"/>
        <c:crosses val="autoZero"/>
        <c:auto val="1"/>
        <c:lblAlgn val="ctr"/>
        <c:lblOffset val="100"/>
        <c:noMultiLvlLbl val="0"/>
      </c:catAx>
      <c:valAx>
        <c:axId val="9998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999880224"/>
        <c:crosses val="autoZero"/>
        <c:crossBetween val="between"/>
      </c:valAx>
      <c:valAx>
        <c:axId val="10070651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007069480"/>
        <c:crosses val="max"/>
        <c:crossBetween val="between"/>
      </c:valAx>
      <c:catAx>
        <c:axId val="1007069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7065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470623864324655E-2"/>
          <c:y val="0.87031161308163651"/>
          <c:w val="0.95928952150211988"/>
          <c:h val="0.11490095623444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'A.26 Liabilities'!$A$32</c:f>
              <c:strCache>
                <c:ptCount val="1"/>
                <c:pt idx="0">
                  <c:v>   Trade and other payables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'A.26 Liabilities'!$B$31:$P$31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'A.26 Liabilities'!$B$32:$P$32</c:f>
              <c:numCache>
                <c:formatCode>_-* #,##0_-;\-* #,##0_-;_-* "-"??_-;_-@_-</c:formatCode>
                <c:ptCount val="15"/>
                <c:pt idx="0">
                  <c:v>177.1</c:v>
                </c:pt>
                <c:pt idx="1">
                  <c:v>148.39999999999998</c:v>
                </c:pt>
                <c:pt idx="2">
                  <c:v>158.9</c:v>
                </c:pt>
                <c:pt idx="3">
                  <c:v>153.5</c:v>
                </c:pt>
                <c:pt idx="4">
                  <c:v>173</c:v>
                </c:pt>
                <c:pt idx="5">
                  <c:v>172.89999999999998</c:v>
                </c:pt>
                <c:pt idx="6">
                  <c:v>180.2</c:v>
                </c:pt>
                <c:pt idx="7">
                  <c:v>185.6</c:v>
                </c:pt>
                <c:pt idx="8">
                  <c:v>191.2</c:v>
                </c:pt>
                <c:pt idx="9">
                  <c:v>191.9</c:v>
                </c:pt>
                <c:pt idx="10">
                  <c:v>201.1</c:v>
                </c:pt>
                <c:pt idx="11">
                  <c:v>221.3</c:v>
                </c:pt>
                <c:pt idx="12">
                  <c:v>212.60000000000002</c:v>
                </c:pt>
                <c:pt idx="13">
                  <c:v>216.3</c:v>
                </c:pt>
                <c:pt idx="14">
                  <c:v>228.3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7-40C1-85C0-D0A8963C2152}"/>
            </c:ext>
          </c:extLst>
        </c:ser>
        <c:ser>
          <c:idx val="1"/>
          <c:order val="1"/>
          <c:tx>
            <c:strRef>
              <c:f>'A.26 Liabilities'!$A$33</c:f>
              <c:strCache>
                <c:ptCount val="1"/>
                <c:pt idx="0">
                  <c:v>   Government borrowings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'A.26 Liabilities'!$B$31:$P$31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'A.26 Liabilities'!$B$33:$P$33</c:f>
              <c:numCache>
                <c:formatCode>_-* #,##0_-;\-* #,##0_-;_-* "-"??_-;_-@_-</c:formatCode>
                <c:ptCount val="15"/>
                <c:pt idx="0">
                  <c:v>781.8</c:v>
                </c:pt>
                <c:pt idx="1">
                  <c:v>908.2</c:v>
                </c:pt>
                <c:pt idx="2">
                  <c:v>965.5</c:v>
                </c:pt>
                <c:pt idx="3">
                  <c:v>996.2</c:v>
                </c:pt>
                <c:pt idx="4">
                  <c:v>1096.1000000000001</c:v>
                </c:pt>
                <c:pt idx="5">
                  <c:v>1174.5</c:v>
                </c:pt>
                <c:pt idx="6">
                  <c:v>1260.5999999999999</c:v>
                </c:pt>
                <c:pt idx="7">
                  <c:v>1289</c:v>
                </c:pt>
                <c:pt idx="8">
                  <c:v>1347.4</c:v>
                </c:pt>
                <c:pt idx="9">
                  <c:v>1407.2</c:v>
                </c:pt>
                <c:pt idx="10">
                  <c:v>1445.4</c:v>
                </c:pt>
                <c:pt idx="11">
                  <c:v>1520.3</c:v>
                </c:pt>
                <c:pt idx="12">
                  <c:v>1575.7</c:v>
                </c:pt>
                <c:pt idx="13">
                  <c:v>1754</c:v>
                </c:pt>
                <c:pt idx="14">
                  <c:v>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7-40C1-85C0-D0A8963C2152}"/>
            </c:ext>
          </c:extLst>
        </c:ser>
        <c:ser>
          <c:idx val="2"/>
          <c:order val="2"/>
          <c:tx>
            <c:strRef>
              <c:f>'A.26 Liabilities'!$A$34</c:f>
              <c:strCache>
                <c:ptCount val="1"/>
                <c:pt idx="0">
                  <c:v>   Other financial liabilities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'A.26 Liabilities'!$B$31:$P$31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'A.26 Liabilities'!$B$34:$P$34</c:f>
              <c:numCache>
                <c:formatCode>_-* #,##0_-;\-* #,##0_-;_-* "-"??_-;_-@_-</c:formatCode>
                <c:ptCount val="15"/>
                <c:pt idx="0">
                  <c:v>281.60000000000002</c:v>
                </c:pt>
                <c:pt idx="1">
                  <c:v>295.39999999999998</c:v>
                </c:pt>
                <c:pt idx="2">
                  <c:v>374.3</c:v>
                </c:pt>
                <c:pt idx="3">
                  <c:v>472.79999999999995</c:v>
                </c:pt>
                <c:pt idx="4">
                  <c:v>528.70000000000005</c:v>
                </c:pt>
                <c:pt idx="5">
                  <c:v>542.5</c:v>
                </c:pt>
                <c:pt idx="6">
                  <c:v>557.4</c:v>
                </c:pt>
                <c:pt idx="7">
                  <c:v>692.19999999999993</c:v>
                </c:pt>
                <c:pt idx="8">
                  <c:v>752.8</c:v>
                </c:pt>
                <c:pt idx="9">
                  <c:v>750.2</c:v>
                </c:pt>
                <c:pt idx="10">
                  <c:v>761.9</c:v>
                </c:pt>
                <c:pt idx="11">
                  <c:v>1118.8</c:v>
                </c:pt>
                <c:pt idx="12">
                  <c:v>1334</c:v>
                </c:pt>
                <c:pt idx="13">
                  <c:v>1251.2</c:v>
                </c:pt>
                <c:pt idx="14">
                  <c:v>1202.0999999999999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7-40C1-85C0-D0A8963C2152}"/>
            </c:ext>
          </c:extLst>
        </c:ser>
        <c:ser>
          <c:idx val="3"/>
          <c:order val="3"/>
          <c:tx>
            <c:strRef>
              <c:f>'A.26 Liabilities'!$A$35</c:f>
              <c:strCache>
                <c:ptCount val="1"/>
                <c:pt idx="0">
                  <c:v>   Provisions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'A.26 Liabilities'!$B$31:$P$31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'A.26 Liabilities'!$B$35:$P$35</c:f>
              <c:numCache>
                <c:formatCode>_-* #,##0_-;\-* #,##0_-;_-* "-"??_-;_-@_-</c:formatCode>
                <c:ptCount val="15"/>
                <c:pt idx="0">
                  <c:v>102.2</c:v>
                </c:pt>
                <c:pt idx="1">
                  <c:v>107</c:v>
                </c:pt>
                <c:pt idx="2">
                  <c:v>113</c:v>
                </c:pt>
                <c:pt idx="3">
                  <c:v>131</c:v>
                </c:pt>
                <c:pt idx="4">
                  <c:v>154.6</c:v>
                </c:pt>
                <c:pt idx="5">
                  <c:v>175.3</c:v>
                </c:pt>
                <c:pt idx="6">
                  <c:v>305.5</c:v>
                </c:pt>
                <c:pt idx="7">
                  <c:v>322.20000000000005</c:v>
                </c:pt>
                <c:pt idx="8">
                  <c:v>422.5</c:v>
                </c:pt>
                <c:pt idx="9">
                  <c:v>311.39999999999998</c:v>
                </c:pt>
                <c:pt idx="10">
                  <c:v>374.79999999999995</c:v>
                </c:pt>
                <c:pt idx="11">
                  <c:v>366.4</c:v>
                </c:pt>
                <c:pt idx="12">
                  <c:v>527.80000000000007</c:v>
                </c:pt>
                <c:pt idx="13">
                  <c:v>306.90000000000003</c:v>
                </c:pt>
                <c:pt idx="14">
                  <c:v>262.2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7-40C1-85C0-D0A8963C2152}"/>
            </c:ext>
          </c:extLst>
        </c:ser>
        <c:ser>
          <c:idx val="4"/>
          <c:order val="4"/>
          <c:tx>
            <c:strRef>
              <c:f>'A.26 Liabilities'!$A$36</c:f>
              <c:strCache>
                <c:ptCount val="1"/>
                <c:pt idx="0">
                  <c:v>   Net public sector pension liability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'A.26 Liabilities'!$B$31:$P$31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'A.26 Liabilities'!$B$36:$P$36</c:f>
              <c:numCache>
                <c:formatCode>_-* #,##0_-;\-* #,##0_-;_-* "-"??_-;_-@_-</c:formatCode>
                <c:ptCount val="15"/>
                <c:pt idx="0">
                  <c:v>1134.7</c:v>
                </c:pt>
                <c:pt idx="1">
                  <c:v>961</c:v>
                </c:pt>
                <c:pt idx="2">
                  <c:v>1005.8</c:v>
                </c:pt>
                <c:pt idx="3">
                  <c:v>1171.9000000000001</c:v>
                </c:pt>
                <c:pt idx="4">
                  <c:v>1303.0999999999999</c:v>
                </c:pt>
                <c:pt idx="5">
                  <c:v>1493.3</c:v>
                </c:pt>
                <c:pt idx="6">
                  <c:v>1424.7</c:v>
                </c:pt>
                <c:pt idx="7">
                  <c:v>1834.7</c:v>
                </c:pt>
                <c:pt idx="8">
                  <c:v>1865.3</c:v>
                </c:pt>
                <c:pt idx="9">
                  <c:v>1893.8504840000001</c:v>
                </c:pt>
                <c:pt idx="10">
                  <c:v>2189.5</c:v>
                </c:pt>
                <c:pt idx="11">
                  <c:v>2306.1999999999998</c:v>
                </c:pt>
                <c:pt idx="12">
                  <c:v>2639.1</c:v>
                </c:pt>
                <c:pt idx="13">
                  <c:v>1415</c:v>
                </c:pt>
                <c:pt idx="14">
                  <c:v>1311.9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7-40C1-85C0-D0A8963C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6316920"/>
        <c:axId val="596321600"/>
      </c:barChart>
      <c:catAx>
        <c:axId val="59631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96321600"/>
        <c:crosses val="autoZero"/>
        <c:auto val="1"/>
        <c:lblAlgn val="ctr"/>
        <c:lblOffset val="100"/>
        <c:noMultiLvlLbl val="0"/>
      </c:catAx>
      <c:valAx>
        <c:axId val="596321600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96316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457245077794665E-2"/>
          <c:y val="0.81609112300027609"/>
          <c:w val="0.94124305067053937"/>
          <c:h val="0.163875488018087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>
                <a:latin typeface="Montserrat" pitchFamily="2" charset="0"/>
              </a:rPr>
              <a:t>Government borrowings:</a:t>
            </a:r>
            <a:r>
              <a:rPr lang="en-GB" sz="1100" baseline="0">
                <a:latin typeface="Montserrat" pitchFamily="2" charset="0"/>
              </a:rPr>
              <a:t> 15 year trend</a:t>
            </a:r>
            <a:endParaRPr lang="en-GB" sz="1100">
              <a:latin typeface="Montserrat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'A.27 Gov borrow'!$A$4</c:f>
              <c:strCache>
                <c:ptCount val="1"/>
                <c:pt idx="0">
                  <c:v>Non-current gilts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'A.27 Gov borrow'!$B$3:$P$3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'A.27 Gov borrow'!$B$4:$P$4</c:f>
              <c:numCache>
                <c:formatCode>_-* #,##0_-;\-* #,##0_-;_-* "-"??_-;_-@_-</c:formatCode>
                <c:ptCount val="15"/>
                <c:pt idx="0">
                  <c:v>580.9</c:v>
                </c:pt>
                <c:pt idx="1">
                  <c:v>691</c:v>
                </c:pt>
                <c:pt idx="2">
                  <c:v>741.1</c:v>
                </c:pt>
                <c:pt idx="3">
                  <c:v>781.8</c:v>
                </c:pt>
                <c:pt idx="4">
                  <c:v>883.7</c:v>
                </c:pt>
                <c:pt idx="5">
                  <c:v>939.3</c:v>
                </c:pt>
                <c:pt idx="6">
                  <c:v>986.4</c:v>
                </c:pt>
                <c:pt idx="7">
                  <c:v>1013.5</c:v>
                </c:pt>
                <c:pt idx="8">
                  <c:v>1071.8</c:v>
                </c:pt>
                <c:pt idx="9">
                  <c:v>1100</c:v>
                </c:pt>
                <c:pt idx="10">
                  <c:v>1100.7</c:v>
                </c:pt>
                <c:pt idx="11">
                  <c:v>1246.3</c:v>
                </c:pt>
                <c:pt idx="12">
                  <c:v>1235.7</c:v>
                </c:pt>
                <c:pt idx="13">
                  <c:v>1382.1</c:v>
                </c:pt>
                <c:pt idx="14">
                  <c:v>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E-4154-AEB1-B272C1902582}"/>
            </c:ext>
          </c:extLst>
        </c:ser>
        <c:ser>
          <c:idx val="1"/>
          <c:order val="1"/>
          <c:tx>
            <c:strRef>
              <c:f>'A.27 Gov borrow'!$A$5</c:f>
              <c:strCache>
                <c:ptCount val="1"/>
                <c:pt idx="0">
                  <c:v>Current gilts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'A.27 Gov borrow'!$B$3:$P$3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'A.27 Gov borrow'!$B$5:$P$5</c:f>
              <c:numCache>
                <c:formatCode>_-* #,##0_-;\-* #,##0_-;_-* "-"??_-;_-@_-</c:formatCode>
                <c:ptCount val="15"/>
                <c:pt idx="0">
                  <c:v>39.1</c:v>
                </c:pt>
                <c:pt idx="1">
                  <c:v>54.7</c:v>
                </c:pt>
                <c:pt idx="2">
                  <c:v>47.2</c:v>
                </c:pt>
                <c:pt idx="3">
                  <c:v>51.8</c:v>
                </c:pt>
                <c:pt idx="4">
                  <c:v>49.7</c:v>
                </c:pt>
                <c:pt idx="5">
                  <c:v>45.9</c:v>
                </c:pt>
                <c:pt idx="6">
                  <c:v>60.8</c:v>
                </c:pt>
                <c:pt idx="7">
                  <c:v>59</c:v>
                </c:pt>
                <c:pt idx="8">
                  <c:v>50.2</c:v>
                </c:pt>
                <c:pt idx="9">
                  <c:v>59.9</c:v>
                </c:pt>
                <c:pt idx="10">
                  <c:v>81.8</c:v>
                </c:pt>
                <c:pt idx="11">
                  <c:v>18.5</c:v>
                </c:pt>
                <c:pt idx="12">
                  <c:v>96.3</c:v>
                </c:pt>
                <c:pt idx="13">
                  <c:v>90.8</c:v>
                </c:pt>
                <c:pt idx="14">
                  <c:v>90.4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E-4154-AEB1-B272C1902582}"/>
            </c:ext>
          </c:extLst>
        </c:ser>
        <c:ser>
          <c:idx val="2"/>
          <c:order val="2"/>
          <c:tx>
            <c:strRef>
              <c:f>'A.27 Gov borrow'!$A$6</c:f>
              <c:strCache>
                <c:ptCount val="1"/>
                <c:pt idx="0">
                  <c:v>NS&amp;I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'A.27 Gov borrow'!$B$3:$P$3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'A.27 Gov borrow'!$B$6:$P$6</c:f>
              <c:numCache>
                <c:formatCode>_-* #,##0_-;\-* #,##0_-;_-* "-"??_-;_-@_-</c:formatCode>
                <c:ptCount val="15"/>
                <c:pt idx="0">
                  <c:v>98.8</c:v>
                </c:pt>
                <c:pt idx="1">
                  <c:v>98.7</c:v>
                </c:pt>
                <c:pt idx="2">
                  <c:v>102.7</c:v>
                </c:pt>
                <c:pt idx="3">
                  <c:v>102</c:v>
                </c:pt>
                <c:pt idx="4">
                  <c:v>105.7</c:v>
                </c:pt>
                <c:pt idx="5">
                  <c:v>123.9</c:v>
                </c:pt>
                <c:pt idx="6">
                  <c:v>135.1</c:v>
                </c:pt>
                <c:pt idx="7">
                  <c:v>146.9</c:v>
                </c:pt>
                <c:pt idx="8">
                  <c:v>156.69999999999999</c:v>
                </c:pt>
                <c:pt idx="9">
                  <c:v>167.6</c:v>
                </c:pt>
                <c:pt idx="10">
                  <c:v>179.2</c:v>
                </c:pt>
                <c:pt idx="11">
                  <c:v>202.9</c:v>
                </c:pt>
                <c:pt idx="12">
                  <c:v>207.6</c:v>
                </c:pt>
                <c:pt idx="13">
                  <c:v>218</c:v>
                </c:pt>
                <c:pt idx="14">
                  <c:v>230.5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E-4154-AEB1-B272C1902582}"/>
            </c:ext>
          </c:extLst>
        </c:ser>
        <c:ser>
          <c:idx val="3"/>
          <c:order val="3"/>
          <c:tx>
            <c:strRef>
              <c:f>'A.27 Gov borrow'!$A$7</c:f>
              <c:strCache>
                <c:ptCount val="1"/>
                <c:pt idx="0">
                  <c:v>Treasury bills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'A.27 Gov borrow'!$B$3:$P$3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'A.27 Gov borrow'!$B$7:$P$7</c:f>
              <c:numCache>
                <c:formatCode>_-* #,##0_-;\-* #,##0_-;_-* "-"??_-;_-@_-</c:formatCode>
                <c:ptCount val="15"/>
                <c:pt idx="0">
                  <c:v>63</c:v>
                </c:pt>
                <c:pt idx="1">
                  <c:v>63.6</c:v>
                </c:pt>
                <c:pt idx="2">
                  <c:v>74.3</c:v>
                </c:pt>
                <c:pt idx="3">
                  <c:v>60.5</c:v>
                </c:pt>
                <c:pt idx="4">
                  <c:v>57</c:v>
                </c:pt>
                <c:pt idx="5">
                  <c:v>65.400000000000006</c:v>
                </c:pt>
                <c:pt idx="6">
                  <c:v>78.3</c:v>
                </c:pt>
                <c:pt idx="7">
                  <c:v>69.599999999999994</c:v>
                </c:pt>
                <c:pt idx="8">
                  <c:v>68.7</c:v>
                </c:pt>
                <c:pt idx="9">
                  <c:v>79.7</c:v>
                </c:pt>
                <c:pt idx="10">
                  <c:v>83.7</c:v>
                </c:pt>
                <c:pt idx="11">
                  <c:v>52.6</c:v>
                </c:pt>
                <c:pt idx="12">
                  <c:v>36.1</c:v>
                </c:pt>
                <c:pt idx="13">
                  <c:v>63.1</c:v>
                </c:pt>
                <c:pt idx="14">
                  <c:v>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3E-4154-AEB1-B272C190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169448"/>
        <c:axId val="618170888"/>
      </c:barChart>
      <c:lineChart>
        <c:grouping val="standard"/>
        <c:varyColors val="0"/>
        <c:ser>
          <c:idx val="4"/>
          <c:order val="4"/>
          <c:tx>
            <c:strRef>
              <c:f>'A.27 Gov borrow'!$A$8</c:f>
              <c:strCache>
                <c:ptCount val="1"/>
                <c:pt idx="0">
                  <c:v>Interest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'A.27 Gov borrow'!$B$3:$P$3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'A.27 Gov borrow'!$B$8:$P$8</c:f>
              <c:numCache>
                <c:formatCode>_-* #,##0_-;\-* #,##0_-;_-* "-"??_-;_-@_-</c:formatCode>
                <c:ptCount val="15"/>
                <c:pt idx="0">
                  <c:v>30.7</c:v>
                </c:pt>
                <c:pt idx="1">
                  <c:v>35.700000000000003</c:v>
                </c:pt>
                <c:pt idx="2">
                  <c:v>36.799999999999997</c:v>
                </c:pt>
                <c:pt idx="3">
                  <c:v>31</c:v>
                </c:pt>
                <c:pt idx="4">
                  <c:v>31.7</c:v>
                </c:pt>
                <c:pt idx="5">
                  <c:v>27.6</c:v>
                </c:pt>
                <c:pt idx="6">
                  <c:v>28.3</c:v>
                </c:pt>
                <c:pt idx="7">
                  <c:v>31.8</c:v>
                </c:pt>
                <c:pt idx="8">
                  <c:v>36.799999999999997</c:v>
                </c:pt>
                <c:pt idx="9">
                  <c:v>31.6</c:v>
                </c:pt>
                <c:pt idx="10">
                  <c:v>31.8</c:v>
                </c:pt>
                <c:pt idx="11">
                  <c:v>21.2</c:v>
                </c:pt>
                <c:pt idx="12">
                  <c:v>47.1</c:v>
                </c:pt>
                <c:pt idx="13">
                  <c:v>85.1</c:v>
                </c:pt>
                <c:pt idx="14">
                  <c:v>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3E-4154-AEB1-B272C190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76288"/>
        <c:axId val="618175928"/>
      </c:lineChart>
      <c:catAx>
        <c:axId val="61816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170888"/>
        <c:crosses val="autoZero"/>
        <c:auto val="1"/>
        <c:lblAlgn val="ctr"/>
        <c:lblOffset val="100"/>
        <c:noMultiLvlLbl val="0"/>
      </c:catAx>
      <c:valAx>
        <c:axId val="618170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>
                    <a:latin typeface="Montserrat" pitchFamily="2" charset="0"/>
                  </a:rPr>
                  <a:t>Government borrowings (£ billion)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169448"/>
        <c:crosses val="autoZero"/>
        <c:crossBetween val="between"/>
      </c:valAx>
      <c:valAx>
        <c:axId val="6181759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>
                    <a:latin typeface="Montserrat" pitchFamily="2" charset="0"/>
                  </a:rPr>
                  <a:t>Interest (£ billion)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176288"/>
        <c:crosses val="max"/>
        <c:crossBetween val="between"/>
      </c:valAx>
      <c:catAx>
        <c:axId val="61817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8175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'A.9 Inflation 15-y'!$A$30</c:f>
              <c:strCache>
                <c:ptCount val="1"/>
                <c:pt idx="0">
                  <c:v>£100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'A.9 Inflation 15-y'!$B$28:$P$28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'A.9 Inflation 15-y'!$B$30:$P$30</c:f>
              <c:numCache>
                <c:formatCode>0.0</c:formatCode>
                <c:ptCount val="15"/>
                <c:pt idx="0">
                  <c:v>103.3</c:v>
                </c:pt>
                <c:pt idx="1">
                  <c:v>107.91</c:v>
                </c:pt>
                <c:pt idx="2">
                  <c:v>110.96</c:v>
                </c:pt>
                <c:pt idx="3">
                  <c:v>113.81</c:v>
                </c:pt>
                <c:pt idx="4">
                  <c:v>115.47</c:v>
                </c:pt>
                <c:pt idx="5">
                  <c:v>115.52</c:v>
                </c:pt>
                <c:pt idx="6">
                  <c:v>116.28</c:v>
                </c:pt>
                <c:pt idx="7">
                  <c:v>119.4</c:v>
                </c:pt>
                <c:pt idx="8">
                  <c:v>122.36</c:v>
                </c:pt>
                <c:pt idx="9">
                  <c:v>124.55</c:v>
                </c:pt>
                <c:pt idx="10">
                  <c:v>125.61</c:v>
                </c:pt>
                <c:pt idx="11">
                  <c:v>128.86000000000001</c:v>
                </c:pt>
                <c:pt idx="12">
                  <c:v>140.47999999999999</c:v>
                </c:pt>
                <c:pt idx="13">
                  <c:v>150.81</c:v>
                </c:pt>
                <c:pt idx="14">
                  <c:v>154.62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8-432C-94E2-3029B0DAB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187128"/>
        <c:axId val="850183528"/>
      </c:barChart>
      <c:lineChart>
        <c:grouping val="standard"/>
        <c:varyColors val="0"/>
        <c:ser>
          <c:idx val="0"/>
          <c:order val="0"/>
          <c:tx>
            <c:strRef>
              <c:f>'A.9 Inflation 15-y'!$A$29</c:f>
              <c:strCache>
                <c:ptCount val="1"/>
                <c:pt idx="0">
                  <c:v>BoE inflation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'A.9 Inflation 15-y'!$B$28:$P$28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'A.9 Inflation 15-y'!$B$29:$P$29</c:f>
              <c:numCache>
                <c:formatCode>0.0%</c:formatCode>
                <c:ptCount val="15"/>
                <c:pt idx="0">
                  <c:v>3.3000000000000002E-2</c:v>
                </c:pt>
                <c:pt idx="1">
                  <c:v>4.4999999999999998E-2</c:v>
                </c:pt>
                <c:pt idx="2">
                  <c:v>2.8000000000000001E-2</c:v>
                </c:pt>
                <c:pt idx="3">
                  <c:v>2.5999999999999999E-2</c:v>
                </c:pt>
                <c:pt idx="4">
                  <c:v>1.4999999999999999E-2</c:v>
                </c:pt>
                <c:pt idx="5">
                  <c:v>0</c:v>
                </c:pt>
                <c:pt idx="6">
                  <c:v>7.0000000000000001E-3</c:v>
                </c:pt>
                <c:pt idx="7">
                  <c:v>2.7E-2</c:v>
                </c:pt>
                <c:pt idx="8">
                  <c:v>2.5000000000000001E-2</c:v>
                </c:pt>
                <c:pt idx="9">
                  <c:v>1.7999999999999999E-2</c:v>
                </c:pt>
                <c:pt idx="10">
                  <c:v>8.9999999999999993E-3</c:v>
                </c:pt>
                <c:pt idx="11">
                  <c:v>2.5999999999999999E-2</c:v>
                </c:pt>
                <c:pt idx="12">
                  <c:v>9.0999999999999998E-2</c:v>
                </c:pt>
                <c:pt idx="13">
                  <c:v>7.2999999999999995E-2</c:v>
                </c:pt>
                <c:pt idx="14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8-432C-94E2-3029B0DAB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240744"/>
        <c:axId val="864241824"/>
      </c:lineChart>
      <c:catAx>
        <c:axId val="85018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183528"/>
        <c:crosses val="autoZero"/>
        <c:auto val="1"/>
        <c:lblAlgn val="ctr"/>
        <c:lblOffset val="100"/>
        <c:noMultiLvlLbl val="0"/>
      </c:catAx>
      <c:valAx>
        <c:axId val="85018352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187128"/>
        <c:crosses val="autoZero"/>
        <c:crossBetween val="between"/>
        <c:majorUnit val="5"/>
      </c:valAx>
      <c:valAx>
        <c:axId val="8642418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240744"/>
        <c:crosses val="max"/>
        <c:crossBetween val="between"/>
      </c:valAx>
      <c:catAx>
        <c:axId val="864240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4241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GB"/>
              <a:t>15 Year Trend of Net liabilities of public pension schemes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'A.28 Pensions'!$A$38</c:f>
              <c:strCache>
                <c:ptCount val="1"/>
                <c:pt idx="0">
                  <c:v>NHS (UK)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Pensions'!$B$38:$P$38</c:f>
              <c:numCache>
                <c:formatCode>_-* #,##0_-;\-* #,##0_-;_-* "-"??_-;_-@_-</c:formatCode>
                <c:ptCount val="15"/>
                <c:pt idx="0">
                  <c:v>328.7</c:v>
                </c:pt>
                <c:pt idx="1">
                  <c:v>292.3</c:v>
                </c:pt>
                <c:pt idx="2">
                  <c:v>282.60000000000002</c:v>
                </c:pt>
                <c:pt idx="3">
                  <c:v>325.10000000000002</c:v>
                </c:pt>
                <c:pt idx="4">
                  <c:v>391.6</c:v>
                </c:pt>
                <c:pt idx="5">
                  <c:v>452.2</c:v>
                </c:pt>
                <c:pt idx="6">
                  <c:v>443.8</c:v>
                </c:pt>
                <c:pt idx="7">
                  <c:v>591.79999999999995</c:v>
                </c:pt>
                <c:pt idx="8">
                  <c:v>612.6</c:v>
                </c:pt>
                <c:pt idx="9">
                  <c:v>620.1</c:v>
                </c:pt>
                <c:pt idx="10">
                  <c:v>760.1</c:v>
                </c:pt>
                <c:pt idx="11">
                  <c:v>791.9</c:v>
                </c:pt>
                <c:pt idx="12">
                  <c:v>1004.9</c:v>
                </c:pt>
                <c:pt idx="13">
                  <c:v>535</c:v>
                </c:pt>
                <c:pt idx="14">
                  <c:v>500.8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4-4E80-9D28-1191269947F0}"/>
            </c:ext>
          </c:extLst>
        </c:ser>
        <c:ser>
          <c:idx val="1"/>
          <c:order val="1"/>
          <c:tx>
            <c:strRef>
              <c:f>'A.28 Pensions'!$A$39</c:f>
              <c:strCache>
                <c:ptCount val="1"/>
                <c:pt idx="0">
                  <c:v>Teachers (UK)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Pensions'!$B$39:$P$39</c:f>
              <c:numCache>
                <c:formatCode>_-* #,##0_-;\-* #,##0_-;_-* "-"??_-;_-@_-</c:formatCode>
                <c:ptCount val="15"/>
                <c:pt idx="0">
                  <c:v>258.2</c:v>
                </c:pt>
                <c:pt idx="1">
                  <c:v>222.8</c:v>
                </c:pt>
                <c:pt idx="2">
                  <c:v>233.3</c:v>
                </c:pt>
                <c:pt idx="3">
                  <c:v>258.5</c:v>
                </c:pt>
                <c:pt idx="4">
                  <c:v>288.10000000000002</c:v>
                </c:pt>
                <c:pt idx="5">
                  <c:v>316.89999999999998</c:v>
                </c:pt>
                <c:pt idx="6">
                  <c:v>311.89999999999998</c:v>
                </c:pt>
                <c:pt idx="7">
                  <c:v>398.3</c:v>
                </c:pt>
                <c:pt idx="8">
                  <c:v>412.9</c:v>
                </c:pt>
                <c:pt idx="9">
                  <c:v>411</c:v>
                </c:pt>
                <c:pt idx="10">
                  <c:v>490.4</c:v>
                </c:pt>
                <c:pt idx="11">
                  <c:v>501</c:v>
                </c:pt>
                <c:pt idx="12">
                  <c:v>608</c:v>
                </c:pt>
                <c:pt idx="13">
                  <c:v>334.7</c:v>
                </c:pt>
                <c:pt idx="14">
                  <c:v>307.8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4-4E80-9D28-1191269947F0}"/>
            </c:ext>
          </c:extLst>
        </c:ser>
        <c:ser>
          <c:idx val="2"/>
          <c:order val="2"/>
          <c:tx>
            <c:strRef>
              <c:f>'A.28 Pensions'!$A$40</c:f>
              <c:strCache>
                <c:ptCount val="1"/>
                <c:pt idx="0">
                  <c:v>Civil Service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Pensions'!$B$40:$P$40</c:f>
              <c:numCache>
                <c:formatCode>_-* #,##0_-;\-* #,##0_-;_-* "-"??_-;_-@_-</c:formatCode>
                <c:ptCount val="15"/>
                <c:pt idx="0">
                  <c:v>163.5</c:v>
                </c:pt>
                <c:pt idx="1">
                  <c:v>145</c:v>
                </c:pt>
                <c:pt idx="2">
                  <c:v>155.1</c:v>
                </c:pt>
                <c:pt idx="3">
                  <c:v>176.5</c:v>
                </c:pt>
                <c:pt idx="4">
                  <c:v>193.2</c:v>
                </c:pt>
                <c:pt idx="5">
                  <c:v>214.8</c:v>
                </c:pt>
                <c:pt idx="6">
                  <c:v>205.8</c:v>
                </c:pt>
                <c:pt idx="7">
                  <c:v>257</c:v>
                </c:pt>
                <c:pt idx="8">
                  <c:v>260.89999999999998</c:v>
                </c:pt>
                <c:pt idx="9">
                  <c:v>261.10000000000002</c:v>
                </c:pt>
                <c:pt idx="10">
                  <c:v>308.60000000000002</c:v>
                </c:pt>
                <c:pt idx="11">
                  <c:v>339.4</c:v>
                </c:pt>
                <c:pt idx="12">
                  <c:v>377.1</c:v>
                </c:pt>
                <c:pt idx="13">
                  <c:v>221.5</c:v>
                </c:pt>
                <c:pt idx="14">
                  <c:v>208.1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4-4E80-9D28-1191269947F0}"/>
            </c:ext>
          </c:extLst>
        </c:ser>
        <c:ser>
          <c:idx val="3"/>
          <c:order val="3"/>
          <c:tx>
            <c:strRef>
              <c:f>'A.28 Pensions'!$A$41</c:f>
              <c:strCache>
                <c:ptCount val="1"/>
                <c:pt idx="0">
                  <c:v>Armed Forces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Pensions'!$B$41:$P$41</c:f>
              <c:numCache>
                <c:formatCode>_-* #,##0_-;\-* #,##0_-;_-* "-"??_-;_-@_-</c:formatCode>
                <c:ptCount val="15"/>
                <c:pt idx="0">
                  <c:v>120.7</c:v>
                </c:pt>
                <c:pt idx="1">
                  <c:v>100.6</c:v>
                </c:pt>
                <c:pt idx="2">
                  <c:v>105.6</c:v>
                </c:pt>
                <c:pt idx="3">
                  <c:v>118.1</c:v>
                </c:pt>
                <c:pt idx="4">
                  <c:v>129.6</c:v>
                </c:pt>
                <c:pt idx="5">
                  <c:v>154.6</c:v>
                </c:pt>
                <c:pt idx="6">
                  <c:v>145.19999999999999</c:v>
                </c:pt>
                <c:pt idx="7">
                  <c:v>191.8</c:v>
                </c:pt>
                <c:pt idx="8">
                  <c:v>195.5</c:v>
                </c:pt>
                <c:pt idx="9">
                  <c:v>195.3</c:v>
                </c:pt>
                <c:pt idx="10">
                  <c:v>233.1</c:v>
                </c:pt>
                <c:pt idx="11">
                  <c:v>254</c:v>
                </c:pt>
                <c:pt idx="12">
                  <c:v>279.10000000000002</c:v>
                </c:pt>
                <c:pt idx="13">
                  <c:v>156.5</c:v>
                </c:pt>
                <c:pt idx="14">
                  <c:v>144.6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44-4E80-9D28-1191269947F0}"/>
            </c:ext>
          </c:extLst>
        </c:ser>
        <c:ser>
          <c:idx val="4"/>
          <c:order val="4"/>
          <c:tx>
            <c:strRef>
              <c:f>'A.28 Pensions'!$A$42</c:f>
              <c:strCache>
                <c:ptCount val="1"/>
                <c:pt idx="0">
                  <c:v>Police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Pensions'!$B$42:$P$42</c:f>
              <c:numCache>
                <c:formatCode>_-* #,##0_-;\-* #,##0_-;_-* "-"??_-;_-@_-</c:formatCode>
                <c:ptCount val="15"/>
                <c:pt idx="0">
                  <c:v>101.6</c:v>
                </c:pt>
                <c:pt idx="1">
                  <c:v>93.8</c:v>
                </c:pt>
                <c:pt idx="2">
                  <c:v>101.6</c:v>
                </c:pt>
                <c:pt idx="3">
                  <c:v>118</c:v>
                </c:pt>
                <c:pt idx="4">
                  <c:v>123</c:v>
                </c:pt>
                <c:pt idx="5">
                  <c:v>145.19999999999999</c:v>
                </c:pt>
                <c:pt idx="6">
                  <c:v>130.30000000000001</c:v>
                </c:pt>
                <c:pt idx="7">
                  <c:v>157.5</c:v>
                </c:pt>
                <c:pt idx="8">
                  <c:v>161.69999999999999</c:v>
                </c:pt>
                <c:pt idx="9">
                  <c:v>171.6</c:v>
                </c:pt>
                <c:pt idx="10">
                  <c:v>165.7</c:v>
                </c:pt>
                <c:pt idx="11">
                  <c:v>176.4</c:v>
                </c:pt>
                <c:pt idx="12">
                  <c:v>163.4</c:v>
                </c:pt>
                <c:pt idx="13">
                  <c:v>104.1</c:v>
                </c:pt>
                <c:pt idx="14">
                  <c:v>93.9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44-4E80-9D28-1191269947F0}"/>
            </c:ext>
          </c:extLst>
        </c:ser>
        <c:ser>
          <c:idx val="5"/>
          <c:order val="5"/>
          <c:tx>
            <c:strRef>
              <c:f>'A.28 Pensions'!$A$43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Pensions'!$B$43:$P$43</c:f>
              <c:numCache>
                <c:formatCode>_-* #,##0_-;\-* #,##0_-;_-* "-"??_-;_-@_-</c:formatCode>
                <c:ptCount val="15"/>
                <c:pt idx="0">
                  <c:v>59.2</c:v>
                </c:pt>
                <c:pt idx="1">
                  <c:v>48.8</c:v>
                </c:pt>
                <c:pt idx="2">
                  <c:v>49.2</c:v>
                </c:pt>
                <c:pt idx="3">
                  <c:v>85.199999999999989</c:v>
                </c:pt>
                <c:pt idx="4">
                  <c:v>92</c:v>
                </c:pt>
                <c:pt idx="5">
                  <c:v>103.1</c:v>
                </c:pt>
                <c:pt idx="6">
                  <c:v>95.7</c:v>
                </c:pt>
                <c:pt idx="7">
                  <c:v>120.6</c:v>
                </c:pt>
                <c:pt idx="8">
                  <c:v>115.7</c:v>
                </c:pt>
                <c:pt idx="9">
                  <c:v>115.29999999999998</c:v>
                </c:pt>
                <c:pt idx="10">
                  <c:v>125.89999999999999</c:v>
                </c:pt>
                <c:pt idx="11">
                  <c:v>131.80000000000001</c:v>
                </c:pt>
                <c:pt idx="12">
                  <c:v>130</c:v>
                </c:pt>
                <c:pt idx="13">
                  <c:v>66.5</c:v>
                </c:pt>
                <c:pt idx="14">
                  <c:v>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44-4E80-9D28-1191269947F0}"/>
            </c:ext>
          </c:extLst>
        </c:ser>
        <c:ser>
          <c:idx val="6"/>
          <c:order val="6"/>
          <c:tx>
            <c:strRef>
              <c:f>'A.28 Pensions'!$A$44</c:f>
              <c:strCache>
                <c:ptCount val="1"/>
                <c:pt idx="0">
                  <c:v>Local government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Pensions'!$B$44:$P$44</c:f>
              <c:numCache>
                <c:formatCode>_-* #,##0_-;\-* #,##0_-;_-* "-"??_-;_-@_-</c:formatCode>
                <c:ptCount val="15"/>
                <c:pt idx="0">
                  <c:v>100.4</c:v>
                </c:pt>
                <c:pt idx="1">
                  <c:v>57.7</c:v>
                </c:pt>
                <c:pt idx="2">
                  <c:v>78.400000000000006</c:v>
                </c:pt>
                <c:pt idx="3">
                  <c:v>90.5</c:v>
                </c:pt>
                <c:pt idx="4">
                  <c:v>85.6</c:v>
                </c:pt>
                <c:pt idx="5">
                  <c:v>106.5</c:v>
                </c:pt>
                <c:pt idx="6">
                  <c:v>92</c:v>
                </c:pt>
                <c:pt idx="7">
                  <c:v>117.7</c:v>
                </c:pt>
                <c:pt idx="8">
                  <c:v>106</c:v>
                </c:pt>
                <c:pt idx="9">
                  <c:v>119.5</c:v>
                </c:pt>
                <c:pt idx="10">
                  <c:v>105.7</c:v>
                </c:pt>
                <c:pt idx="11">
                  <c:v>111.7</c:v>
                </c:pt>
                <c:pt idx="12">
                  <c:v>76.599999999999994</c:v>
                </c:pt>
                <c:pt idx="13">
                  <c:v>-3.3</c:v>
                </c:pt>
                <c:pt idx="14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44-4E80-9D28-119126994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5220192"/>
        <c:axId val="645220552"/>
      </c:barChart>
      <c:lineChart>
        <c:grouping val="standard"/>
        <c:varyColors val="0"/>
        <c:ser>
          <c:idx val="7"/>
          <c:order val="7"/>
          <c:tx>
            <c:strRef>
              <c:f>'A.28 Pensions'!$A$45</c:f>
              <c:strCache>
                <c:ptCount val="1"/>
                <c:pt idx="0">
                  <c:v>Post employment benefit discount rate (nominal from 2017-18)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'A.28 Pensions'!$B$37:$P$37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'A.28 Pensions'!$B$45:$P$45</c:f>
              <c:numCache>
                <c:formatCode>0.0%</c:formatCode>
                <c:ptCount val="15"/>
                <c:pt idx="0">
                  <c:v>1.7999999999999999E-2</c:v>
                </c:pt>
                <c:pt idx="1">
                  <c:v>2.9000000000000001E-2</c:v>
                </c:pt>
                <c:pt idx="2">
                  <c:v>2.8000000000000001E-2</c:v>
                </c:pt>
                <c:pt idx="3">
                  <c:v>2.4E-2</c:v>
                </c:pt>
                <c:pt idx="4">
                  <c:v>1.7999999999999999E-2</c:v>
                </c:pt>
                <c:pt idx="5">
                  <c:v>1.7999999999999999E-2</c:v>
                </c:pt>
                <c:pt idx="6">
                  <c:v>1.37E-2</c:v>
                </c:pt>
                <c:pt idx="7">
                  <c:v>2.3999999999999998E-3</c:v>
                </c:pt>
                <c:pt idx="8">
                  <c:v>2.5499999999999998E-2</c:v>
                </c:pt>
                <c:pt idx="9">
                  <c:v>2.9000000000000001E-2</c:v>
                </c:pt>
                <c:pt idx="10">
                  <c:v>1.7999999999999999E-2</c:v>
                </c:pt>
                <c:pt idx="11">
                  <c:v>1.2500000000000001E-2</c:v>
                </c:pt>
                <c:pt idx="12">
                  <c:v>1.55E-2</c:v>
                </c:pt>
                <c:pt idx="13">
                  <c:v>4.1500000000000002E-2</c:v>
                </c:pt>
                <c:pt idx="14">
                  <c:v>5.0999999999999997E-2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44-4E80-9D28-119126994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498768"/>
        <c:axId val="1478757248"/>
      </c:lineChart>
      <c:catAx>
        <c:axId val="6452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645220552"/>
        <c:crosses val="autoZero"/>
        <c:auto val="1"/>
        <c:lblAlgn val="ctr"/>
        <c:lblOffset val="100"/>
        <c:noMultiLvlLbl val="0"/>
      </c:catAx>
      <c:valAx>
        <c:axId val="645220552"/>
        <c:scaling>
          <c:orientation val="minMax"/>
          <c:max val="2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645220192"/>
        <c:crosses val="autoZero"/>
        <c:crossBetween val="between"/>
      </c:valAx>
      <c:valAx>
        <c:axId val="14787572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478498768"/>
        <c:crosses val="max"/>
        <c:crossBetween val="between"/>
      </c:valAx>
      <c:catAx>
        <c:axId val="1478498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8757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2.1376782100413314E-2"/>
          <c:y val="0.81867436702737295"/>
          <c:w val="0.95964950471957255"/>
          <c:h val="0.16620275962669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487238757815E-2"/>
          <c:y val="3.0612790492811143E-2"/>
          <c:w val="0.83333094221475701"/>
          <c:h val="0.71738865862753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'A.29 Pensions DR'!$A$28</c:f>
              <c:strCache>
                <c:ptCount val="1"/>
                <c:pt idx="0">
                  <c:v>Public sector pension schemes liability (£ billion)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'A.29 Pensions DR'!$B$27:$P$27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'A.29 Pensions DR'!$B$28:$P$28</c:f>
              <c:numCache>
                <c:formatCode>_-* #,##0_-;\-* #,##0_-;_-* "-"??_-;_-@_-</c:formatCode>
                <c:ptCount val="15"/>
                <c:pt idx="0">
                  <c:v>1132.3</c:v>
                </c:pt>
                <c:pt idx="1">
                  <c:v>960</c:v>
                </c:pt>
                <c:pt idx="2">
                  <c:v>1008</c:v>
                </c:pt>
                <c:pt idx="3">
                  <c:v>1171.9000000000001</c:v>
                </c:pt>
                <c:pt idx="4">
                  <c:v>1303.0999999999999</c:v>
                </c:pt>
                <c:pt idx="5">
                  <c:v>1493.3</c:v>
                </c:pt>
                <c:pt idx="6">
                  <c:v>1424.7</c:v>
                </c:pt>
                <c:pt idx="7">
                  <c:v>1834.7</c:v>
                </c:pt>
                <c:pt idx="8">
                  <c:v>1865.3</c:v>
                </c:pt>
                <c:pt idx="9">
                  <c:v>1893.8504840000001</c:v>
                </c:pt>
                <c:pt idx="10" formatCode="#,##0">
                  <c:v>2190</c:v>
                </c:pt>
                <c:pt idx="11" formatCode="#,##0">
                  <c:v>2306</c:v>
                </c:pt>
                <c:pt idx="12" formatCode="#,##0">
                  <c:v>2639</c:v>
                </c:pt>
                <c:pt idx="13" formatCode="#,##0">
                  <c:v>1415</c:v>
                </c:pt>
                <c:pt idx="14" formatCode="#,##0">
                  <c:v>1312.1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4-44F0-B7F9-9D3DAB14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7"/>
        <c:overlap val="-27"/>
        <c:axId val="407688664"/>
        <c:axId val="407691800"/>
      </c:barChart>
      <c:lineChart>
        <c:grouping val="standard"/>
        <c:varyColors val="0"/>
        <c:ser>
          <c:idx val="1"/>
          <c:order val="1"/>
          <c:tx>
            <c:strRef>
              <c:f>'A.29 Pensions DR'!$A$29</c:f>
              <c:strCache>
                <c:ptCount val="1"/>
                <c:pt idx="0">
                  <c:v>Average discount rates applicable to CG pension schemes (%)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'A.29 Pensions DR'!$B$27:$P$27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'A.29 Pensions DR'!$B$29:$P$29</c:f>
              <c:numCache>
                <c:formatCode>0.0%</c:formatCode>
                <c:ptCount val="15"/>
                <c:pt idx="0">
                  <c:v>1.7999999999999999E-2</c:v>
                </c:pt>
                <c:pt idx="1">
                  <c:v>2.9000000000000001E-2</c:v>
                </c:pt>
                <c:pt idx="2">
                  <c:v>2.8000000000000001E-2</c:v>
                </c:pt>
                <c:pt idx="3">
                  <c:v>2.4E-2</c:v>
                </c:pt>
                <c:pt idx="4">
                  <c:v>1.7999999999999999E-2</c:v>
                </c:pt>
                <c:pt idx="5">
                  <c:v>1.2999999999999999E-2</c:v>
                </c:pt>
                <c:pt idx="6">
                  <c:v>1.37E-2</c:v>
                </c:pt>
                <c:pt idx="7">
                  <c:v>2.3999999999999998E-3</c:v>
                </c:pt>
                <c:pt idx="8">
                  <c:v>1E-3</c:v>
                </c:pt>
                <c:pt idx="9">
                  <c:v>2.8999999999999998E-3</c:v>
                </c:pt>
                <c:pt idx="10">
                  <c:v>-5.0000000000000001E-3</c:v>
                </c:pt>
                <c:pt idx="11">
                  <c:v>-0.01</c:v>
                </c:pt>
                <c:pt idx="12">
                  <c:v>-1.2999999999999999E-2</c:v>
                </c:pt>
                <c:pt idx="13">
                  <c:v>1.7000000000000001E-2</c:v>
                </c:pt>
                <c:pt idx="14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4-44F0-B7F9-9D3DAB14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694152"/>
        <c:axId val="407692584"/>
      </c:lineChart>
      <c:catAx>
        <c:axId val="40768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407691800"/>
        <c:crosses val="autoZero"/>
        <c:auto val="1"/>
        <c:lblAlgn val="ctr"/>
        <c:lblOffset val="100"/>
        <c:noMultiLvlLbl val="0"/>
      </c:catAx>
      <c:valAx>
        <c:axId val="407691800"/>
        <c:scaling>
          <c:orientation val="minMax"/>
        </c:scaling>
        <c:delete val="0"/>
        <c:axPos val="l"/>
        <c:numFmt formatCode="_-* #,##0_-;\-#,##0\ ;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407688664"/>
        <c:crosses val="autoZero"/>
        <c:crossBetween val="between"/>
      </c:valAx>
      <c:valAx>
        <c:axId val="407692584"/>
        <c:scaling>
          <c:orientation val="maxMin"/>
          <c:max val="4.0000000000000008E-2"/>
          <c:min val="-2.0000000000000004E-2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407694152"/>
        <c:crosses val="max"/>
        <c:crossBetween val="between"/>
      </c:valAx>
      <c:catAx>
        <c:axId val="407694152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407692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10817397825272E-2"/>
          <c:y val="0.8867854017332828"/>
          <c:w val="0.95627009504432015"/>
          <c:h val="0.108994583565843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'A.30 Provisions'!$A$29</c:f>
              <c:strCache>
                <c:ptCount val="1"/>
                <c:pt idx="0">
                  <c:v>Provisions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'A.30 Provisions'!$B$28:$P$28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'A.30 Provisions'!$B$29:$P$29</c:f>
              <c:numCache>
                <c:formatCode>_-* #,##0_-;\-* #,##0_-;_-* "-"??_-;_-@_-</c:formatCode>
                <c:ptCount val="15"/>
                <c:pt idx="0">
                  <c:v>102.2</c:v>
                </c:pt>
                <c:pt idx="1">
                  <c:v>107</c:v>
                </c:pt>
                <c:pt idx="2">
                  <c:v>113</c:v>
                </c:pt>
                <c:pt idx="3">
                  <c:v>130.69999999999999</c:v>
                </c:pt>
                <c:pt idx="4">
                  <c:v>154.6</c:v>
                </c:pt>
                <c:pt idx="5">
                  <c:v>175.3</c:v>
                </c:pt>
                <c:pt idx="6">
                  <c:v>305.5</c:v>
                </c:pt>
                <c:pt idx="7">
                  <c:v>322.20000000000005</c:v>
                </c:pt>
                <c:pt idx="8">
                  <c:v>422.5</c:v>
                </c:pt>
                <c:pt idx="9">
                  <c:v>311.39999999999998</c:v>
                </c:pt>
                <c:pt idx="10">
                  <c:v>374.79999999999995</c:v>
                </c:pt>
                <c:pt idx="11">
                  <c:v>366.4</c:v>
                </c:pt>
                <c:pt idx="12">
                  <c:v>527.80000000000007</c:v>
                </c:pt>
                <c:pt idx="13">
                  <c:v>306.90000000000003</c:v>
                </c:pt>
                <c:pt idx="14">
                  <c:v>262.2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A-4059-BFB6-7B4B459DE6A3}"/>
            </c:ext>
          </c:extLst>
        </c:ser>
        <c:ser>
          <c:idx val="1"/>
          <c:order val="1"/>
          <c:tx>
            <c:strRef>
              <c:f>'A.30 Provisions'!$A$30</c:f>
              <c:strCache>
                <c:ptCount val="1"/>
                <c:pt idx="0">
                  <c:v>Contingent liabilities under IAS37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'A.30 Provisions'!$B$28:$P$28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'A.30 Provisions'!$B$30:$P$30</c:f>
              <c:numCache>
                <c:formatCode>_-* #,##0_-;\-* #,##0_-;_-* "-"??_-;_-@_-</c:formatCode>
                <c:ptCount val="15"/>
                <c:pt idx="0">
                  <c:v>41.4</c:v>
                </c:pt>
                <c:pt idx="1">
                  <c:v>49.5</c:v>
                </c:pt>
                <c:pt idx="2">
                  <c:v>100.80000000000001</c:v>
                </c:pt>
                <c:pt idx="3">
                  <c:v>87.9</c:v>
                </c:pt>
                <c:pt idx="4">
                  <c:v>63.8</c:v>
                </c:pt>
                <c:pt idx="5">
                  <c:v>76.400000000000006</c:v>
                </c:pt>
                <c:pt idx="6">
                  <c:v>104.3</c:v>
                </c:pt>
                <c:pt idx="7">
                  <c:v>84</c:v>
                </c:pt>
                <c:pt idx="8">
                  <c:v>83.699999999999989</c:v>
                </c:pt>
                <c:pt idx="9">
                  <c:v>80</c:v>
                </c:pt>
                <c:pt idx="10">
                  <c:v>68</c:v>
                </c:pt>
                <c:pt idx="11">
                  <c:v>66.099999999999994</c:v>
                </c:pt>
                <c:pt idx="12">
                  <c:v>107.00000000000001</c:v>
                </c:pt>
                <c:pt idx="13">
                  <c:v>67.399999999999991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A-4059-BFB6-7B4B459DE6A3}"/>
            </c:ext>
          </c:extLst>
        </c:ser>
        <c:ser>
          <c:idx val="2"/>
          <c:order val="2"/>
          <c:tx>
            <c:strRef>
              <c:f>'A.30 Provisions'!$A$31</c:f>
              <c:strCache>
                <c:ptCount val="1"/>
                <c:pt idx="0">
                  <c:v>Contingent liabilities (remote)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'A.30 Provisions'!$B$28:$P$28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'A.30 Provisions'!$B$31:$P$31</c:f>
              <c:numCache>
                <c:formatCode>_-* #,##0_-;\-* #,##0_-;_-* "-"??_-;_-@_-</c:formatCode>
                <c:ptCount val="15"/>
                <c:pt idx="0">
                  <c:v>434</c:v>
                </c:pt>
                <c:pt idx="1">
                  <c:v>377.6</c:v>
                </c:pt>
                <c:pt idx="2">
                  <c:v>162.4</c:v>
                </c:pt>
                <c:pt idx="3">
                  <c:v>85.1</c:v>
                </c:pt>
                <c:pt idx="4">
                  <c:v>69.399999999999991</c:v>
                </c:pt>
                <c:pt idx="5">
                  <c:v>65.5</c:v>
                </c:pt>
                <c:pt idx="6">
                  <c:v>85.3</c:v>
                </c:pt>
                <c:pt idx="7">
                  <c:v>99.800000000000011</c:v>
                </c:pt>
                <c:pt idx="8">
                  <c:v>318.89999999999998</c:v>
                </c:pt>
                <c:pt idx="9">
                  <c:v>297.39999999999998</c:v>
                </c:pt>
                <c:pt idx="10">
                  <c:v>379.5</c:v>
                </c:pt>
                <c:pt idx="11">
                  <c:v>263.8</c:v>
                </c:pt>
                <c:pt idx="12">
                  <c:v>179</c:v>
                </c:pt>
                <c:pt idx="13">
                  <c:v>157.30000000000001</c:v>
                </c:pt>
                <c:pt idx="14">
                  <c:v>131.5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A-4059-BFB6-7B4B459DE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3280288"/>
        <c:axId val="1463283528"/>
      </c:barChart>
      <c:catAx>
        <c:axId val="14632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3283528"/>
        <c:crosses val="autoZero"/>
        <c:auto val="1"/>
        <c:lblAlgn val="ctr"/>
        <c:lblOffset val="100"/>
        <c:noMultiLvlLbl val="0"/>
      </c:catAx>
      <c:valAx>
        <c:axId val="146328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328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US"/>
              <a:t>15 Year Trend on Provisions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'A.31 Prov b''dn'!$A$29</c:f>
              <c:strCache>
                <c:ptCount val="1"/>
                <c:pt idx="0">
                  <c:v>Nuclear Decommissioning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'A.31 Prov b''dn'!$B$28:$P$28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'A.31 Prov b''dn'!$B$29:$P$29</c:f>
              <c:numCache>
                <c:formatCode>_-* #,##0_-;\(#,##0\);_-* "-"??_-;_-@_-</c:formatCode>
                <c:ptCount val="15"/>
                <c:pt idx="0">
                  <c:v>56.7</c:v>
                </c:pt>
                <c:pt idx="1">
                  <c:v>60.9</c:v>
                </c:pt>
                <c:pt idx="2">
                  <c:v>63.8</c:v>
                </c:pt>
                <c:pt idx="3">
                  <c:v>69.8</c:v>
                </c:pt>
                <c:pt idx="4">
                  <c:v>77.400000000000006</c:v>
                </c:pt>
                <c:pt idx="5">
                  <c:v>82.9</c:v>
                </c:pt>
                <c:pt idx="6">
                  <c:v>181.7</c:v>
                </c:pt>
                <c:pt idx="7">
                  <c:v>184.9</c:v>
                </c:pt>
                <c:pt idx="8">
                  <c:v>263.39999999999998</c:v>
                </c:pt>
                <c:pt idx="9">
                  <c:v>152.19999999999999</c:v>
                </c:pt>
                <c:pt idx="10">
                  <c:v>157</c:v>
                </c:pt>
                <c:pt idx="11">
                  <c:v>159.1</c:v>
                </c:pt>
                <c:pt idx="12">
                  <c:v>273.10000000000002</c:v>
                </c:pt>
                <c:pt idx="13">
                  <c:v>146.9</c:v>
                </c:pt>
                <c:pt idx="14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2-4965-AAA2-F7C82C76F22A}"/>
            </c:ext>
          </c:extLst>
        </c:ser>
        <c:ser>
          <c:idx val="1"/>
          <c:order val="1"/>
          <c:tx>
            <c:strRef>
              <c:f>'A.31 Prov b''dn'!$A$30</c:f>
              <c:strCache>
                <c:ptCount val="1"/>
                <c:pt idx="0">
                  <c:v>Clinical Negligence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'A.31 Prov b''dn'!$B$28:$P$28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'A.31 Prov b''dn'!$B$30:$P$30</c:f>
              <c:numCache>
                <c:formatCode>_-* #,##0_-;\(#,##0\);_-* "-"??_-;_-@_-</c:formatCode>
                <c:ptCount val="15"/>
                <c:pt idx="0">
                  <c:v>15.7</c:v>
                </c:pt>
                <c:pt idx="1">
                  <c:v>17.5</c:v>
                </c:pt>
                <c:pt idx="2">
                  <c:v>19.399999999999999</c:v>
                </c:pt>
                <c:pt idx="3">
                  <c:v>24</c:v>
                </c:pt>
                <c:pt idx="4">
                  <c:v>26.6</c:v>
                </c:pt>
                <c:pt idx="5">
                  <c:v>29.3</c:v>
                </c:pt>
                <c:pt idx="6">
                  <c:v>57.6</c:v>
                </c:pt>
                <c:pt idx="7">
                  <c:v>66.599999999999994</c:v>
                </c:pt>
                <c:pt idx="8">
                  <c:v>78.400000000000006</c:v>
                </c:pt>
                <c:pt idx="9">
                  <c:v>85.3</c:v>
                </c:pt>
                <c:pt idx="10">
                  <c:v>86.1</c:v>
                </c:pt>
                <c:pt idx="11">
                  <c:v>87.3</c:v>
                </c:pt>
                <c:pt idx="12">
                  <c:v>131.30000000000001</c:v>
                </c:pt>
                <c:pt idx="13">
                  <c:v>72.400000000000006</c:v>
                </c:pt>
                <c:pt idx="14">
                  <c:v>61.7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2-4965-AAA2-F7C82C76F22A}"/>
            </c:ext>
          </c:extLst>
        </c:ser>
        <c:ser>
          <c:idx val="2"/>
          <c:order val="2"/>
          <c:tx>
            <c:strRef>
              <c:f>'A.31 Prov b''dn'!$A$31</c:f>
              <c:strCache>
                <c:ptCount val="1"/>
                <c:pt idx="0">
                  <c:v>Pension Protection Fund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'A.31 Prov b''dn'!$B$28:$P$28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'A.31 Prov b''dn'!$B$31:$P$31</c:f>
              <c:numCache>
                <c:formatCode>_-* #,##0_-;\(#,##0\);_-*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  <c:pt idx="5">
                  <c:v>19.100000000000001</c:v>
                </c:pt>
                <c:pt idx="6">
                  <c:v>19.5</c:v>
                </c:pt>
                <c:pt idx="7">
                  <c:v>22.7</c:v>
                </c:pt>
                <c:pt idx="8">
                  <c:v>23.2</c:v>
                </c:pt>
                <c:pt idx="9">
                  <c:v>26.1</c:v>
                </c:pt>
                <c:pt idx="10">
                  <c:v>31.3</c:v>
                </c:pt>
                <c:pt idx="11">
                  <c:v>28.9</c:v>
                </c:pt>
                <c:pt idx="12">
                  <c:v>27.7</c:v>
                </c:pt>
                <c:pt idx="13">
                  <c:v>20.5</c:v>
                </c:pt>
                <c:pt idx="14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2-4965-AAA2-F7C82C76F22A}"/>
            </c:ext>
          </c:extLst>
        </c:ser>
        <c:ser>
          <c:idx val="3"/>
          <c:order val="3"/>
          <c:tx>
            <c:strRef>
              <c:f>'A.31 Prov b''dn'!$A$32</c:f>
              <c:strCache>
                <c:ptCount val="1"/>
                <c:pt idx="0">
                  <c:v>EU liabilties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'A.31 Prov b''dn'!$B$28:$P$28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'A.31 Prov b''dn'!$B$32:$P$32</c:f>
              <c:numCache>
                <c:formatCode>_-* #,##0_-;\(#,##0\);_-*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38.700000000000003</c:v>
                </c:pt>
                <c:pt idx="11">
                  <c:v>36.299999999999997</c:v>
                </c:pt>
                <c:pt idx="12">
                  <c:v>31.7</c:v>
                </c:pt>
                <c:pt idx="13">
                  <c:v>19.2</c:v>
                </c:pt>
                <c:pt idx="14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52-4965-AAA2-F7C82C76F22A}"/>
            </c:ext>
          </c:extLst>
        </c:ser>
        <c:ser>
          <c:idx val="4"/>
          <c:order val="4"/>
          <c:tx>
            <c:strRef>
              <c:f>'A.31 Prov b''dn'!$A$33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'A.31 Prov b''dn'!$B$28:$P$28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'A.31 Prov b''dn'!$B$33:$P$33</c:f>
              <c:numCache>
                <c:formatCode>_-* #,##0_-;\(#,##0\);_-* "-"??_-;_-@_-</c:formatCode>
                <c:ptCount val="15"/>
                <c:pt idx="0">
                  <c:v>29.799999999999997</c:v>
                </c:pt>
                <c:pt idx="1">
                  <c:v>28.599999999999994</c:v>
                </c:pt>
                <c:pt idx="2">
                  <c:v>29.800000000000011</c:v>
                </c:pt>
                <c:pt idx="3">
                  <c:v>36.899999999999991</c:v>
                </c:pt>
                <c:pt idx="4">
                  <c:v>36.599999999999994</c:v>
                </c:pt>
                <c:pt idx="5">
                  <c:v>44</c:v>
                </c:pt>
                <c:pt idx="6">
                  <c:v>46.700000000000045</c:v>
                </c:pt>
                <c:pt idx="7">
                  <c:v>48.000000000000057</c:v>
                </c:pt>
                <c:pt idx="8">
                  <c:v>57.500000000000057</c:v>
                </c:pt>
                <c:pt idx="9">
                  <c:v>47.799999999999955</c:v>
                </c:pt>
                <c:pt idx="10">
                  <c:v>61.699999999999989</c:v>
                </c:pt>
                <c:pt idx="11">
                  <c:v>54.800000000000011</c:v>
                </c:pt>
                <c:pt idx="12">
                  <c:v>64.000000000000057</c:v>
                </c:pt>
                <c:pt idx="13">
                  <c:v>47.900000000000034</c:v>
                </c:pt>
                <c:pt idx="14">
                  <c:v>45.300000000000011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2-4965-AAA2-F7C82C76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122536"/>
        <c:axId val="973119656"/>
      </c:barChart>
      <c:lineChart>
        <c:grouping val="standard"/>
        <c:varyColors val="0"/>
        <c:ser>
          <c:idx val="5"/>
          <c:order val="5"/>
          <c:tx>
            <c:strRef>
              <c:f>'A.31 Prov b''dn'!$A$34</c:f>
              <c:strCache>
                <c:ptCount val="1"/>
                <c:pt idx="0">
                  <c:v>Applicable discount rate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'A.31 Prov b''dn'!$B$28:$P$28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'A.31 Prov b''dn'!$B$34:$P$34</c:f>
              <c:numCache>
                <c:formatCode>0.0%</c:formatCode>
                <c:ptCount val="15"/>
                <c:pt idx="0">
                  <c:v>2.1999999999999999E-2</c:v>
                </c:pt>
                <c:pt idx="1">
                  <c:v>2.1999999999999999E-2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2.1999999999999999E-2</c:v>
                </c:pt>
                <c:pt idx="5">
                  <c:v>2.1999999999999999E-2</c:v>
                </c:pt>
                <c:pt idx="6">
                  <c:v>-8.0000000000000002E-3</c:v>
                </c:pt>
                <c:pt idx="7">
                  <c:v>-8.0000000000000002E-3</c:v>
                </c:pt>
                <c:pt idx="8">
                  <c:v>1.9900000000000001E-2</c:v>
                </c:pt>
                <c:pt idx="9">
                  <c:v>1.9900000000000001E-2</c:v>
                </c:pt>
                <c:pt idx="10">
                  <c:v>1.9900000000000001E-2</c:v>
                </c:pt>
                <c:pt idx="11">
                  <c:v>1.9900000000000001E-2</c:v>
                </c:pt>
                <c:pt idx="12">
                  <c:v>6.6E-3</c:v>
                </c:pt>
                <c:pt idx="13">
                  <c:v>0.03</c:v>
                </c:pt>
                <c:pt idx="14">
                  <c:v>4.3999999999999997E-2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0-4080-8ECD-7C1EDB017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211840"/>
        <c:axId val="1293211480"/>
      </c:lineChart>
      <c:catAx>
        <c:axId val="97312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973119656"/>
        <c:crosses val="autoZero"/>
        <c:auto val="1"/>
        <c:lblAlgn val="ctr"/>
        <c:lblOffset val="100"/>
        <c:noMultiLvlLbl val="0"/>
      </c:catAx>
      <c:valAx>
        <c:axId val="97311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£bn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(#,##0\)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973122536"/>
        <c:crosses val="autoZero"/>
        <c:crossBetween val="between"/>
      </c:valAx>
      <c:valAx>
        <c:axId val="1293211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93211840"/>
        <c:crosses val="max"/>
        <c:crossBetween val="between"/>
      </c:valAx>
      <c:catAx>
        <c:axId val="129321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3211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GB"/>
              <a:t>15 Year Trend of reported contingent liabilties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'A.32 Cont Liabilities'!$A$29</c:f>
              <c:strCache>
                <c:ptCount val="1"/>
                <c:pt idx="0">
                  <c:v>Clinical negligence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Liabilities'!$B$29:$P$29</c:f>
              <c:numCache>
                <c:formatCode>_-* #,##0.0_-;\-* #,##0.0_-;_-* "-"??_-;_-@_-</c:formatCode>
                <c:ptCount val="15"/>
                <c:pt idx="0">
                  <c:v>7.5</c:v>
                </c:pt>
                <c:pt idx="1">
                  <c:v>7.9</c:v>
                </c:pt>
                <c:pt idx="2">
                  <c:v>8.4</c:v>
                </c:pt>
                <c:pt idx="3">
                  <c:v>10.5</c:v>
                </c:pt>
                <c:pt idx="4">
                  <c:v>11.9</c:v>
                </c:pt>
                <c:pt idx="5">
                  <c:v>14</c:v>
                </c:pt>
                <c:pt idx="6">
                  <c:v>26.7</c:v>
                </c:pt>
                <c:pt idx="7">
                  <c:v>36.5</c:v>
                </c:pt>
                <c:pt idx="8">
                  <c:v>47.3</c:v>
                </c:pt>
                <c:pt idx="9">
                  <c:v>50.8</c:v>
                </c:pt>
                <c:pt idx="10">
                  <c:v>49.7</c:v>
                </c:pt>
                <c:pt idx="11">
                  <c:v>48.9</c:v>
                </c:pt>
                <c:pt idx="12">
                  <c:v>75.2</c:v>
                </c:pt>
                <c:pt idx="13">
                  <c:v>33.4</c:v>
                </c:pt>
                <c:pt idx="14">
                  <c:v>25.7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3DC-9CFB-438CE8E80A5C}"/>
            </c:ext>
          </c:extLst>
        </c:ser>
        <c:ser>
          <c:idx val="1"/>
          <c:order val="1"/>
          <c:tx>
            <c:strRef>
              <c:f>'A.32 Cont Liabilities'!$A$30</c:f>
              <c:strCache>
                <c:ptCount val="1"/>
                <c:pt idx="0">
                  <c:v>Nuclear decommissioning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Liabilities'!$B$30:$P$30</c:f>
              <c:numCache>
                <c:formatCode>_-* #,##0.0_-;\-* #,##0.0_-;_-* "-"??_-;_-@_-</c:formatCode>
                <c:ptCount val="15"/>
                <c:pt idx="12">
                  <c:v>16.7</c:v>
                </c:pt>
                <c:pt idx="13">
                  <c:v>18.5</c:v>
                </c:pt>
                <c:pt idx="14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3DC-9CFB-438CE8E80A5C}"/>
            </c:ext>
          </c:extLst>
        </c:ser>
        <c:ser>
          <c:idx val="2"/>
          <c:order val="2"/>
          <c:tx>
            <c:strRef>
              <c:f>'A.32 Cont Liabilities'!$A$31</c:f>
              <c:strCache>
                <c:ptCount val="1"/>
                <c:pt idx="0">
                  <c:v>Taxes subject to challenge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Liabilities'!$B$31:$P$31</c:f>
              <c:numCache>
                <c:formatCode>_-* #,##0.0_-;\-* #,##0.0_-;_-* "-"??_-;_-@_-</c:formatCode>
                <c:ptCount val="15"/>
                <c:pt idx="0">
                  <c:v>5.5</c:v>
                </c:pt>
                <c:pt idx="1">
                  <c:v>9.6999999999999993</c:v>
                </c:pt>
                <c:pt idx="2">
                  <c:v>14.5</c:v>
                </c:pt>
                <c:pt idx="3">
                  <c:v>14.5</c:v>
                </c:pt>
                <c:pt idx="4">
                  <c:v>29.2</c:v>
                </c:pt>
                <c:pt idx="5">
                  <c:v>35.6</c:v>
                </c:pt>
                <c:pt idx="6">
                  <c:v>49.1</c:v>
                </c:pt>
                <c:pt idx="7">
                  <c:v>18.7</c:v>
                </c:pt>
                <c:pt idx="8">
                  <c:v>6</c:v>
                </c:pt>
                <c:pt idx="9">
                  <c:v>2.2999999999999998</c:v>
                </c:pt>
                <c:pt idx="10">
                  <c:v>2.2000000000000002</c:v>
                </c:pt>
                <c:pt idx="11">
                  <c:v>3.1</c:v>
                </c:pt>
                <c:pt idx="12">
                  <c:v>3.2</c:v>
                </c:pt>
                <c:pt idx="13">
                  <c:v>4.0999999999999996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8-43DC-9CFB-438CE8E80A5C}"/>
            </c:ext>
          </c:extLst>
        </c:ser>
        <c:ser>
          <c:idx val="3"/>
          <c:order val="3"/>
          <c:tx>
            <c:strRef>
              <c:f>'A.32 Cont Liabilities'!$A$32</c:f>
              <c:strCache>
                <c:ptCount val="1"/>
                <c:pt idx="0">
                  <c:v>FCDO contigences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Liabilities'!$B$32:$P$32</c:f>
              <c:numCache>
                <c:formatCode>_-* #,##0.0_-;\-* #,##0.0_-;_-* "-"??_-;_-@_-</c:formatCode>
                <c:ptCount val="15"/>
                <c:pt idx="10">
                  <c:v>0.6</c:v>
                </c:pt>
                <c:pt idx="11">
                  <c:v>3</c:v>
                </c:pt>
                <c:pt idx="12">
                  <c:v>2.5</c:v>
                </c:pt>
                <c:pt idx="13">
                  <c:v>3.3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58-43DC-9CFB-438CE8E80A5C}"/>
            </c:ext>
          </c:extLst>
        </c:ser>
        <c:ser>
          <c:idx val="4"/>
          <c:order val="4"/>
          <c:tx>
            <c:strRef>
              <c:f>'A.32 Cont Liabilities'!$A$33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B2292E"/>
            </a:solidFill>
            <a:ln>
              <a:noFill/>
            </a:ln>
            <a:effectLst/>
          </c:spPr>
          <c:invertIfNegative val="0"/>
          <c:cat>
            <c:strRef>
              <c:f>'A.32 Cont Liabilities'!$B$28:$P$28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Liabilities'!$B$33:$P$33</c:f>
              <c:numCache>
                <c:formatCode>_-* #,##0.0_-;\-* #,##0.0_-;_-* "-"??_-;_-@_-</c:formatCode>
                <c:ptCount val="15"/>
                <c:pt idx="0">
                  <c:v>28.4</c:v>
                </c:pt>
                <c:pt idx="1">
                  <c:v>31.9</c:v>
                </c:pt>
                <c:pt idx="2">
                  <c:v>77.900000000000006</c:v>
                </c:pt>
                <c:pt idx="3">
                  <c:v>62.9</c:v>
                </c:pt>
                <c:pt idx="4">
                  <c:v>22.7</c:v>
                </c:pt>
                <c:pt idx="5">
                  <c:v>26.8</c:v>
                </c:pt>
                <c:pt idx="6">
                  <c:v>28.5</c:v>
                </c:pt>
                <c:pt idx="7">
                  <c:v>28.8</c:v>
                </c:pt>
                <c:pt idx="8">
                  <c:v>30.4</c:v>
                </c:pt>
                <c:pt idx="9">
                  <c:v>26.9</c:v>
                </c:pt>
                <c:pt idx="10">
                  <c:v>15.5</c:v>
                </c:pt>
                <c:pt idx="11">
                  <c:v>11.1</c:v>
                </c:pt>
                <c:pt idx="12">
                  <c:v>9.4</c:v>
                </c:pt>
                <c:pt idx="13">
                  <c:v>8.1</c:v>
                </c:pt>
                <c:pt idx="14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58-43DC-9CFB-438CE8E8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45128504"/>
        <c:axId val="1945130664"/>
      </c:barChart>
      <c:lineChart>
        <c:grouping val="standard"/>
        <c:varyColors val="0"/>
        <c:ser>
          <c:idx val="5"/>
          <c:order val="5"/>
          <c:tx>
            <c:strRef>
              <c:f>'A.32 Cont Liabilities'!$A$34</c:f>
              <c:strCache>
                <c:ptCount val="1"/>
                <c:pt idx="0">
                  <c:v>Applicable discount rate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'A.32 Cont Liabilities'!$B$28:$P$28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Liabilities'!$B$34:$P$34</c:f>
              <c:numCache>
                <c:formatCode>0.0%</c:formatCode>
                <c:ptCount val="15"/>
                <c:pt idx="0">
                  <c:v>2.1999999999999999E-2</c:v>
                </c:pt>
                <c:pt idx="1">
                  <c:v>2.1999999999999999E-2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2.1999999999999999E-2</c:v>
                </c:pt>
                <c:pt idx="5">
                  <c:v>2.1999999999999999E-2</c:v>
                </c:pt>
                <c:pt idx="6">
                  <c:v>-8.0000000000000002E-3</c:v>
                </c:pt>
                <c:pt idx="7">
                  <c:v>-8.0000000000000002E-3</c:v>
                </c:pt>
                <c:pt idx="8">
                  <c:v>1.9900000000000001E-2</c:v>
                </c:pt>
                <c:pt idx="9">
                  <c:v>1.9900000000000001E-2</c:v>
                </c:pt>
                <c:pt idx="10">
                  <c:v>1.9900000000000001E-2</c:v>
                </c:pt>
                <c:pt idx="11">
                  <c:v>1.9900000000000001E-2</c:v>
                </c:pt>
                <c:pt idx="12">
                  <c:v>6.6E-3</c:v>
                </c:pt>
                <c:pt idx="13">
                  <c:v>0.03</c:v>
                </c:pt>
                <c:pt idx="14">
                  <c:v>4.3999999999999997E-2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C-4B40-BA64-F9182FF6B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726216"/>
        <c:axId val="2094884752"/>
      </c:lineChart>
      <c:catAx>
        <c:axId val="194512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945130664"/>
        <c:crosses val="autoZero"/>
        <c:auto val="1"/>
        <c:lblAlgn val="ctr"/>
        <c:lblOffset val="100"/>
        <c:noMultiLvlLbl val="0"/>
      </c:catAx>
      <c:valAx>
        <c:axId val="1945130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£Bn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945128504"/>
        <c:crosses val="autoZero"/>
        <c:crossBetween val="between"/>
      </c:valAx>
      <c:valAx>
        <c:axId val="20948847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448726216"/>
        <c:crosses val="max"/>
        <c:crossBetween val="between"/>
      </c:valAx>
      <c:catAx>
        <c:axId val="1448726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488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GB"/>
              <a:t>15 Year Trend of reported remote contingent liabilties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1179800562291205"/>
          <c:y val="0.1071530437454829"/>
          <c:w val="0.82320050672595646"/>
          <c:h val="0.59834666629404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'A.32 Cont Liabilities'!$A$38</c:f>
              <c:strCache>
                <c:ptCount val="1"/>
                <c:pt idx="0">
                  <c:v>Guarantees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Liabilities'!$B$38:$P$38</c:f>
              <c:numCache>
                <c:formatCode>_-* #,##0.0_-;\-* #,##0.0_-;_-* "-"??_-;_-@_-</c:formatCode>
                <c:ptCount val="15"/>
                <c:pt idx="0">
                  <c:v>245.9</c:v>
                </c:pt>
                <c:pt idx="1">
                  <c:v>232.1</c:v>
                </c:pt>
                <c:pt idx="2">
                  <c:v>66</c:v>
                </c:pt>
                <c:pt idx="3">
                  <c:v>40.1</c:v>
                </c:pt>
                <c:pt idx="4">
                  <c:v>57.8</c:v>
                </c:pt>
                <c:pt idx="5">
                  <c:v>56.9</c:v>
                </c:pt>
                <c:pt idx="6">
                  <c:v>68.8</c:v>
                </c:pt>
                <c:pt idx="7">
                  <c:v>74</c:v>
                </c:pt>
                <c:pt idx="8">
                  <c:v>69.400000000000006</c:v>
                </c:pt>
                <c:pt idx="9">
                  <c:v>69.900000000000006</c:v>
                </c:pt>
                <c:pt idx="10">
                  <c:v>40.6</c:v>
                </c:pt>
                <c:pt idx="11">
                  <c:v>26</c:v>
                </c:pt>
                <c:pt idx="12">
                  <c:v>27.5</c:v>
                </c:pt>
                <c:pt idx="13">
                  <c:v>43.4</c:v>
                </c:pt>
                <c:pt idx="1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3-418E-90A5-BB485BAF507B}"/>
            </c:ext>
          </c:extLst>
        </c:ser>
        <c:ser>
          <c:idx val="1"/>
          <c:order val="1"/>
          <c:tx>
            <c:strRef>
              <c:f>'A.32 Cont Liabilities'!$A$39</c:f>
              <c:strCache>
                <c:ptCount val="1"/>
                <c:pt idx="0">
                  <c:v>Indemnities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Liabilities'!$B$39:$P$39</c:f>
              <c:numCache>
                <c:formatCode>_-* #,##0.0_-;\-* #,##0.0_-;_-* "-"??_-;_-@_-</c:formatCode>
                <c:ptCount val="15"/>
                <c:pt idx="0">
                  <c:v>184</c:v>
                </c:pt>
                <c:pt idx="1">
                  <c:v>141.5</c:v>
                </c:pt>
                <c:pt idx="2">
                  <c:v>92.4</c:v>
                </c:pt>
                <c:pt idx="3">
                  <c:v>41</c:v>
                </c:pt>
                <c:pt idx="4">
                  <c:v>7.6</c:v>
                </c:pt>
                <c:pt idx="5">
                  <c:v>8.3000000000000007</c:v>
                </c:pt>
                <c:pt idx="6">
                  <c:v>16.5</c:v>
                </c:pt>
                <c:pt idx="7">
                  <c:v>14.4</c:v>
                </c:pt>
                <c:pt idx="8">
                  <c:v>28.1</c:v>
                </c:pt>
                <c:pt idx="9">
                  <c:v>23.7</c:v>
                </c:pt>
                <c:pt idx="10">
                  <c:v>32.5</c:v>
                </c:pt>
                <c:pt idx="11">
                  <c:v>33.5</c:v>
                </c:pt>
                <c:pt idx="12">
                  <c:v>37.4</c:v>
                </c:pt>
                <c:pt idx="13">
                  <c:v>48</c:v>
                </c:pt>
                <c:pt idx="14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3-418E-90A5-BB485BAF507B}"/>
            </c:ext>
          </c:extLst>
        </c:ser>
        <c:ser>
          <c:idx val="2"/>
          <c:order val="2"/>
          <c:tx>
            <c:strRef>
              <c:f>'A.32 Cont Liabilities'!$A$40</c:f>
              <c:strCache>
                <c:ptCount val="1"/>
                <c:pt idx="0">
                  <c:v>Letters of Credit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'A.32 Cont Liabilities'!$B$37:$P$37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Liabilities'!$B$40:$P$40</c:f>
              <c:numCache>
                <c:formatCode>_-* #,##0.0_-;\-* #,##0.0_-;_-* "-"??_-;_-@_-</c:formatCode>
                <c:ptCount val="15"/>
                <c:pt idx="0">
                  <c:v>4.0999999999999996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0.3</c:v>
                </c:pt>
                <c:pt idx="6">
                  <c:v>0</c:v>
                </c:pt>
                <c:pt idx="7">
                  <c:v>11.4</c:v>
                </c:pt>
                <c:pt idx="8">
                  <c:v>11.4</c:v>
                </c:pt>
                <c:pt idx="9">
                  <c:v>23.8</c:v>
                </c:pt>
                <c:pt idx="10">
                  <c:v>24.8</c:v>
                </c:pt>
                <c:pt idx="11">
                  <c:v>33.6</c:v>
                </c:pt>
                <c:pt idx="12">
                  <c:v>23.4</c:v>
                </c:pt>
                <c:pt idx="13">
                  <c:v>27.7</c:v>
                </c:pt>
                <c:pt idx="14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3-418E-90A5-BB485BAF507B}"/>
            </c:ext>
          </c:extLst>
        </c:ser>
        <c:ser>
          <c:idx val="3"/>
          <c:order val="3"/>
          <c:tx>
            <c:strRef>
              <c:f>'A.32 Cont Liabilities'!$A$41</c:f>
              <c:strCache>
                <c:ptCount val="1"/>
                <c:pt idx="0">
                  <c:v>PPF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'A.32 Cont Liabilities'!$B$37:$P$37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Liabilities'!$B$41:$P$41</c:f>
              <c:numCache>
                <c:formatCode>_-* #,##0.0_-;\-* #,##0.0_-;_-* "-"??_-;_-@_-</c:formatCode>
                <c:ptCount val="15"/>
                <c:pt idx="8">
                  <c:v>210</c:v>
                </c:pt>
                <c:pt idx="9">
                  <c:v>180</c:v>
                </c:pt>
                <c:pt idx="10">
                  <c:v>250</c:v>
                </c:pt>
                <c:pt idx="11">
                  <c:v>140</c:v>
                </c:pt>
                <c:pt idx="12">
                  <c:v>60</c:v>
                </c:pt>
                <c:pt idx="13">
                  <c:v>6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3-418E-90A5-BB485BAF507B}"/>
            </c:ext>
          </c:extLst>
        </c:ser>
        <c:ser>
          <c:idx val="4"/>
          <c:order val="4"/>
          <c:tx>
            <c:strRef>
              <c:f>'A.32 Cont Liabilities'!$A$42</c:f>
              <c:strCache>
                <c:ptCount val="1"/>
                <c:pt idx="0">
                  <c:v>EIB Guarantee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'A.32 Cont Liabilities'!$B$37:$P$37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Liabilities'!$B$42:$P$42</c:f>
              <c:numCache>
                <c:formatCode>_-* #,##0.0_-;\-* #,##0.0_-;_-* "-"??_-;_-@_-</c:formatCode>
                <c:ptCount val="15"/>
                <c:pt idx="0">
                  <c:v>0</c:v>
                </c:pt>
                <c:pt idx="10">
                  <c:v>31.6</c:v>
                </c:pt>
                <c:pt idx="11">
                  <c:v>30.7</c:v>
                </c:pt>
                <c:pt idx="12">
                  <c:v>30.7</c:v>
                </c:pt>
                <c:pt idx="13">
                  <c:v>32.200000000000003</c:v>
                </c:pt>
                <c:pt idx="14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3-418E-90A5-BB485BAF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45128504"/>
        <c:axId val="1945130664"/>
      </c:barChart>
      <c:lineChart>
        <c:grouping val="standard"/>
        <c:varyColors val="0"/>
        <c:ser>
          <c:idx val="5"/>
          <c:order val="5"/>
          <c:tx>
            <c:strRef>
              <c:f>'A.32 Cont Liabilities'!$A$43</c:f>
              <c:strCache>
                <c:ptCount val="1"/>
                <c:pt idx="0">
                  <c:v>Applicable discount rate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'A.32 Cont Liabilities'!$B$37:$P$37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'A.32 Cont Liabilities'!$B$43:$P$43</c:f>
              <c:numCache>
                <c:formatCode>0.0%</c:formatCode>
                <c:ptCount val="15"/>
                <c:pt idx="0">
                  <c:v>2.1999999999999999E-2</c:v>
                </c:pt>
                <c:pt idx="1">
                  <c:v>2.1999999999999999E-2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2.1999999999999999E-2</c:v>
                </c:pt>
                <c:pt idx="5">
                  <c:v>2.1999999999999999E-2</c:v>
                </c:pt>
                <c:pt idx="6">
                  <c:v>-8.0000000000000002E-3</c:v>
                </c:pt>
                <c:pt idx="7">
                  <c:v>-8.0000000000000002E-3</c:v>
                </c:pt>
                <c:pt idx="8">
                  <c:v>1.9900000000000001E-2</c:v>
                </c:pt>
                <c:pt idx="9">
                  <c:v>1.9900000000000001E-2</c:v>
                </c:pt>
                <c:pt idx="10">
                  <c:v>1.9900000000000001E-2</c:v>
                </c:pt>
                <c:pt idx="11">
                  <c:v>1.9900000000000001E-2</c:v>
                </c:pt>
                <c:pt idx="12">
                  <c:v>6.6E-3</c:v>
                </c:pt>
                <c:pt idx="13">
                  <c:v>0.03</c:v>
                </c:pt>
                <c:pt idx="14">
                  <c:v>4.3999999999999997E-2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3-418E-90A5-BB485BAF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811912"/>
        <c:axId val="1137811552"/>
      </c:lineChart>
      <c:catAx>
        <c:axId val="194512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945130664"/>
        <c:crosses val="autoZero"/>
        <c:auto val="1"/>
        <c:lblAlgn val="ctr"/>
        <c:lblOffset val="100"/>
        <c:noMultiLvlLbl val="0"/>
      </c:catAx>
      <c:valAx>
        <c:axId val="1945130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£Bn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945128504"/>
        <c:crosses val="autoZero"/>
        <c:crossBetween val="between"/>
      </c:valAx>
      <c:valAx>
        <c:axId val="113781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137811912"/>
        <c:crosses val="max"/>
        <c:crossBetween val="between"/>
      </c:valAx>
      <c:catAx>
        <c:axId val="1137811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781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'A.33 Nuclear'!$A$19</c:f>
              <c:strCache>
                <c:ptCount val="1"/>
                <c:pt idx="0">
                  <c:v>Nuclear Decommissioning (Provision)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'A.33 Nuclear'!$B$18:$P$18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'A.33 Nuclear'!$B$19:$P$19</c:f>
              <c:numCache>
                <c:formatCode>General</c:formatCode>
                <c:ptCount val="15"/>
                <c:pt idx="0">
                  <c:v>56.7</c:v>
                </c:pt>
                <c:pt idx="1">
                  <c:v>60.9</c:v>
                </c:pt>
                <c:pt idx="2">
                  <c:v>63.8</c:v>
                </c:pt>
                <c:pt idx="3">
                  <c:v>69.8</c:v>
                </c:pt>
                <c:pt idx="4">
                  <c:v>77.400000000000006</c:v>
                </c:pt>
                <c:pt idx="5">
                  <c:v>82.9</c:v>
                </c:pt>
                <c:pt idx="6">
                  <c:v>181.7</c:v>
                </c:pt>
                <c:pt idx="7">
                  <c:v>184.9</c:v>
                </c:pt>
                <c:pt idx="8">
                  <c:v>263.39999999999998</c:v>
                </c:pt>
                <c:pt idx="9">
                  <c:v>152.19999999999999</c:v>
                </c:pt>
                <c:pt idx="10">
                  <c:v>157</c:v>
                </c:pt>
                <c:pt idx="11">
                  <c:v>159.1</c:v>
                </c:pt>
                <c:pt idx="12">
                  <c:v>273.10000000000002</c:v>
                </c:pt>
                <c:pt idx="13">
                  <c:v>146.9</c:v>
                </c:pt>
                <c:pt idx="14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2-41BF-9470-F5EE78AE085C}"/>
            </c:ext>
          </c:extLst>
        </c:ser>
        <c:ser>
          <c:idx val="1"/>
          <c:order val="1"/>
          <c:tx>
            <c:strRef>
              <c:f>'A.33 Nuclear'!$A$20</c:f>
              <c:strCache>
                <c:ptCount val="1"/>
                <c:pt idx="0">
                  <c:v>Nuclear decommissioning (CL)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'A.33 Nuclear'!$B$18:$P$18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'A.33 Nuclear'!$B$20:$P$20</c:f>
              <c:numCache>
                <c:formatCode>General</c:formatCode>
                <c:ptCount val="15"/>
                <c:pt idx="12">
                  <c:v>16.7</c:v>
                </c:pt>
                <c:pt idx="13">
                  <c:v>18.5</c:v>
                </c:pt>
                <c:pt idx="14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2-41BF-9470-F5EE78AE0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5240480"/>
        <c:axId val="515239400"/>
      </c:barChart>
      <c:catAx>
        <c:axId val="5152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239400"/>
        <c:crosses val="autoZero"/>
        <c:auto val="1"/>
        <c:lblAlgn val="ctr"/>
        <c:lblOffset val="100"/>
        <c:noMultiLvlLbl val="0"/>
      </c:catAx>
      <c:valAx>
        <c:axId val="515239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24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Humnst777 Lt BT" panose="020B0402030504020204" pitchFamily="34" charset="0"/>
                <a:ea typeface="Calibri"/>
                <a:cs typeface="Calibri"/>
              </a:defRPr>
            </a:pPr>
            <a:r>
              <a:rPr lang="en-GB" sz="1100" b="1">
                <a:latin typeface="Humnst777 Lt BT" panose="020B0402030504020204" pitchFamily="34" charset="0"/>
              </a:rPr>
              <a:t>Total expenditure profile (£m, undiscounted)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'A.33 (3) Nuclear'!$A$21</c:f>
              <c:strCache>
                <c:ptCount val="1"/>
                <c:pt idx="0">
                  <c:v>Sellafield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Lit>
              <c:ptCount val="116"/>
              <c:pt idx="0">
                <c:v>23/24</c:v>
              </c:pt>
              <c:pt idx="1">
                <c:v>24/25</c:v>
              </c:pt>
              <c:pt idx="2">
                <c:v>25/26</c:v>
              </c:pt>
              <c:pt idx="3">
                <c:v>26/27</c:v>
              </c:pt>
              <c:pt idx="4">
                <c:v>27/28</c:v>
              </c:pt>
              <c:pt idx="5">
                <c:v>2028/29</c:v>
              </c:pt>
              <c:pt idx="6">
                <c:v>29/30</c:v>
              </c:pt>
              <c:pt idx="7">
                <c:v>30/31</c:v>
              </c:pt>
              <c:pt idx="8">
                <c:v>31/32</c:v>
              </c:pt>
              <c:pt idx="9">
                <c:v>32/33</c:v>
              </c:pt>
              <c:pt idx="10">
                <c:v>33/34</c:v>
              </c:pt>
              <c:pt idx="11">
                <c:v>34/35</c:v>
              </c:pt>
              <c:pt idx="12">
                <c:v>35/36</c:v>
              </c:pt>
              <c:pt idx="13">
                <c:v>36/37</c:v>
              </c:pt>
              <c:pt idx="14">
                <c:v>37/38</c:v>
              </c:pt>
              <c:pt idx="15">
                <c:v>2038/39</c:v>
              </c:pt>
              <c:pt idx="16">
                <c:v>39/40</c:v>
              </c:pt>
              <c:pt idx="17">
                <c:v>40/41</c:v>
              </c:pt>
              <c:pt idx="18">
                <c:v>41/42</c:v>
              </c:pt>
              <c:pt idx="19">
                <c:v>42/43</c:v>
              </c:pt>
              <c:pt idx="20">
                <c:v>43/44</c:v>
              </c:pt>
              <c:pt idx="21">
                <c:v>44/45</c:v>
              </c:pt>
              <c:pt idx="22">
                <c:v>45/46</c:v>
              </c:pt>
              <c:pt idx="23">
                <c:v>46/47</c:v>
              </c:pt>
              <c:pt idx="24">
                <c:v>47/48</c:v>
              </c:pt>
              <c:pt idx="25">
                <c:v>2048/49</c:v>
              </c:pt>
              <c:pt idx="26">
                <c:v>49/50</c:v>
              </c:pt>
              <c:pt idx="27">
                <c:v>50/51</c:v>
              </c:pt>
              <c:pt idx="28">
                <c:v>51/52</c:v>
              </c:pt>
              <c:pt idx="29">
                <c:v>52/53</c:v>
              </c:pt>
              <c:pt idx="30">
                <c:v>53/54</c:v>
              </c:pt>
              <c:pt idx="31">
                <c:v>54/55</c:v>
              </c:pt>
              <c:pt idx="32">
                <c:v>55/56</c:v>
              </c:pt>
              <c:pt idx="33">
                <c:v>56/57</c:v>
              </c:pt>
              <c:pt idx="34">
                <c:v>57/58</c:v>
              </c:pt>
              <c:pt idx="35">
                <c:v>2058/59</c:v>
              </c:pt>
              <c:pt idx="36">
                <c:v>59/60</c:v>
              </c:pt>
              <c:pt idx="37">
                <c:v>60/61</c:v>
              </c:pt>
              <c:pt idx="38">
                <c:v>61/62</c:v>
              </c:pt>
              <c:pt idx="39">
                <c:v>62/63</c:v>
              </c:pt>
              <c:pt idx="40">
                <c:v>63/64</c:v>
              </c:pt>
              <c:pt idx="41">
                <c:v>64/65</c:v>
              </c:pt>
              <c:pt idx="42">
                <c:v>65/66</c:v>
              </c:pt>
              <c:pt idx="43">
                <c:v>66/67</c:v>
              </c:pt>
              <c:pt idx="44">
                <c:v>67/68</c:v>
              </c:pt>
              <c:pt idx="45">
                <c:v>2068/69</c:v>
              </c:pt>
              <c:pt idx="46">
                <c:v>69/70</c:v>
              </c:pt>
              <c:pt idx="47">
                <c:v>70/71</c:v>
              </c:pt>
              <c:pt idx="48">
                <c:v>71/72</c:v>
              </c:pt>
              <c:pt idx="49">
                <c:v>72/73</c:v>
              </c:pt>
              <c:pt idx="50">
                <c:v>73/74</c:v>
              </c:pt>
              <c:pt idx="51">
                <c:v>74/75</c:v>
              </c:pt>
              <c:pt idx="52">
                <c:v>75/76</c:v>
              </c:pt>
              <c:pt idx="53">
                <c:v>76/77</c:v>
              </c:pt>
              <c:pt idx="54">
                <c:v>77/78</c:v>
              </c:pt>
              <c:pt idx="55">
                <c:v>2078/79</c:v>
              </c:pt>
              <c:pt idx="56">
                <c:v>79/80</c:v>
              </c:pt>
              <c:pt idx="57">
                <c:v>80/81</c:v>
              </c:pt>
              <c:pt idx="58">
                <c:v>81/82</c:v>
              </c:pt>
              <c:pt idx="59">
                <c:v>82/83</c:v>
              </c:pt>
              <c:pt idx="60">
                <c:v>83/84</c:v>
              </c:pt>
              <c:pt idx="61">
                <c:v>84/85</c:v>
              </c:pt>
              <c:pt idx="62">
                <c:v>85/86</c:v>
              </c:pt>
              <c:pt idx="63">
                <c:v>86/87</c:v>
              </c:pt>
              <c:pt idx="64">
                <c:v>87/88</c:v>
              </c:pt>
              <c:pt idx="65">
                <c:v>2088/89</c:v>
              </c:pt>
              <c:pt idx="66">
                <c:v>89/90</c:v>
              </c:pt>
              <c:pt idx="67">
                <c:v>90/91</c:v>
              </c:pt>
              <c:pt idx="68">
                <c:v>91/92</c:v>
              </c:pt>
              <c:pt idx="69">
                <c:v>92/93</c:v>
              </c:pt>
              <c:pt idx="70">
                <c:v>93/94</c:v>
              </c:pt>
              <c:pt idx="71">
                <c:v>94/95</c:v>
              </c:pt>
              <c:pt idx="72">
                <c:v>95/96</c:v>
              </c:pt>
              <c:pt idx="73">
                <c:v>96/97</c:v>
              </c:pt>
              <c:pt idx="74">
                <c:v>97/98</c:v>
              </c:pt>
              <c:pt idx="75">
                <c:v>2098/99</c:v>
              </c:pt>
              <c:pt idx="76">
                <c:v>99/00</c:v>
              </c:pt>
              <c:pt idx="77">
                <c:v>00/01</c:v>
              </c:pt>
              <c:pt idx="78">
                <c:v>01/02</c:v>
              </c:pt>
              <c:pt idx="79">
                <c:v>02/03</c:v>
              </c:pt>
              <c:pt idx="80">
                <c:v>03/04</c:v>
              </c:pt>
              <c:pt idx="81">
                <c:v>04/05</c:v>
              </c:pt>
              <c:pt idx="82">
                <c:v>05/06</c:v>
              </c:pt>
              <c:pt idx="83">
                <c:v>06/07</c:v>
              </c:pt>
              <c:pt idx="84">
                <c:v>07/08</c:v>
              </c:pt>
              <c:pt idx="85">
                <c:v>08/09</c:v>
              </c:pt>
              <c:pt idx="86">
                <c:v>09/10</c:v>
              </c:pt>
              <c:pt idx="87">
                <c:v>10/11</c:v>
              </c:pt>
              <c:pt idx="88">
                <c:v>11/12</c:v>
              </c:pt>
              <c:pt idx="89">
                <c:v>12/13</c:v>
              </c:pt>
              <c:pt idx="90">
                <c:v>13/14</c:v>
              </c:pt>
              <c:pt idx="91">
                <c:v>14/15</c:v>
              </c:pt>
              <c:pt idx="92">
                <c:v>15/16</c:v>
              </c:pt>
              <c:pt idx="93">
                <c:v>16/17</c:v>
              </c:pt>
              <c:pt idx="94">
                <c:v>17/18</c:v>
              </c:pt>
              <c:pt idx="95">
                <c:v>18/19</c:v>
              </c:pt>
              <c:pt idx="96">
                <c:v>19/20</c:v>
              </c:pt>
              <c:pt idx="97">
                <c:v>20/21</c:v>
              </c:pt>
              <c:pt idx="98">
                <c:v>21/22</c:v>
              </c:pt>
              <c:pt idx="99">
                <c:v>22/23</c:v>
              </c:pt>
              <c:pt idx="100">
                <c:v>23/24</c:v>
              </c:pt>
              <c:pt idx="101">
                <c:v>24/25</c:v>
              </c:pt>
              <c:pt idx="102">
                <c:v>25/26</c:v>
              </c:pt>
              <c:pt idx="103">
                <c:v>26/27</c:v>
              </c:pt>
              <c:pt idx="104">
                <c:v>27/28</c:v>
              </c:pt>
              <c:pt idx="105">
                <c:v>28/29</c:v>
              </c:pt>
              <c:pt idx="106">
                <c:v>29/30</c:v>
              </c:pt>
              <c:pt idx="107">
                <c:v>30/31</c:v>
              </c:pt>
              <c:pt idx="108">
                <c:v>31/32</c:v>
              </c:pt>
              <c:pt idx="109">
                <c:v>32/33</c:v>
              </c:pt>
              <c:pt idx="110">
                <c:v>33/34</c:v>
              </c:pt>
              <c:pt idx="111">
                <c:v>34/35</c:v>
              </c:pt>
              <c:pt idx="112">
                <c:v>35/36</c:v>
              </c:pt>
              <c:pt idx="113">
                <c:v>36/37</c:v>
              </c:pt>
              <c:pt idx="114">
                <c:v>137/138</c:v>
              </c:pt>
              <c:pt idx="115">
                <c:v>2138/39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'A.33 (3) Nuclear'!$B$21:$DR$21</c15:sqref>
                  </c15:fullRef>
                </c:ext>
              </c:extLst>
              <c:f>'A.33 (3) Nuclear'!$G$21:$DR$21</c:f>
              <c:numCache>
                <c:formatCode>_(* #,##0.00_);_(* \(#,##0.00\);_(* "-"??_);_(@_)</c:formatCode>
                <c:ptCount val="116"/>
                <c:pt idx="0">
                  <c:v>2074.7296114506594</c:v>
                </c:pt>
                <c:pt idx="1">
                  <c:v>2131.1941157126025</c:v>
                </c:pt>
                <c:pt idx="2">
                  <c:v>2212.5048921404277</c:v>
                </c:pt>
                <c:pt idx="3">
                  <c:v>2409.0102674426371</c:v>
                </c:pt>
                <c:pt idx="4">
                  <c:v>2296.0726597047055</c:v>
                </c:pt>
                <c:pt idx="5">
                  <c:v>2144.7759694408846</c:v>
                </c:pt>
                <c:pt idx="6">
                  <c:v>1973.658940751516</c:v>
                </c:pt>
                <c:pt idx="7">
                  <c:v>2047.6589340198539</c:v>
                </c:pt>
                <c:pt idx="8">
                  <c:v>2255.5575818758794</c:v>
                </c:pt>
                <c:pt idx="9">
                  <c:v>1854.5882816219168</c:v>
                </c:pt>
                <c:pt idx="10">
                  <c:v>1833.8401645424931</c:v>
                </c:pt>
                <c:pt idx="11">
                  <c:v>1525.0997352464974</c:v>
                </c:pt>
                <c:pt idx="12">
                  <c:v>1518.8182636334514</c:v>
                </c:pt>
                <c:pt idx="13">
                  <c:v>1480.3797606463734</c:v>
                </c:pt>
                <c:pt idx="14">
                  <c:v>1509.8482127385485</c:v>
                </c:pt>
                <c:pt idx="15">
                  <c:v>1485.5496280072637</c:v>
                </c:pt>
                <c:pt idx="16">
                  <c:v>1481.7162817019916</c:v>
                </c:pt>
                <c:pt idx="17">
                  <c:v>1481.0302274884043</c:v>
                </c:pt>
                <c:pt idx="18">
                  <c:v>1460.3518418072219</c:v>
                </c:pt>
                <c:pt idx="19">
                  <c:v>1404.6801840631315</c:v>
                </c:pt>
                <c:pt idx="20">
                  <c:v>1282.1572154724076</c:v>
                </c:pt>
                <c:pt idx="21">
                  <c:v>1287.6981564819548</c:v>
                </c:pt>
                <c:pt idx="22">
                  <c:v>1247.3283060919616</c:v>
                </c:pt>
                <c:pt idx="23">
                  <c:v>1210.447730260913</c:v>
                </c:pt>
                <c:pt idx="24">
                  <c:v>1161.8407714690843</c:v>
                </c:pt>
                <c:pt idx="25">
                  <c:v>1113.0697730729432</c:v>
                </c:pt>
                <c:pt idx="26">
                  <c:v>1133.4938727883546</c:v>
                </c:pt>
                <c:pt idx="27">
                  <c:v>1075.0264307774967</c:v>
                </c:pt>
                <c:pt idx="28">
                  <c:v>1026.0410439971788</c:v>
                </c:pt>
                <c:pt idx="29">
                  <c:v>1013.3292413963891</c:v>
                </c:pt>
                <c:pt idx="30">
                  <c:v>1104.5156931829315</c:v>
                </c:pt>
                <c:pt idx="31">
                  <c:v>1043.707636853843</c:v>
                </c:pt>
                <c:pt idx="32">
                  <c:v>1002.2455053807653</c:v>
                </c:pt>
                <c:pt idx="33">
                  <c:v>943.43795913755537</c:v>
                </c:pt>
                <c:pt idx="34">
                  <c:v>960.61128745808628</c:v>
                </c:pt>
                <c:pt idx="35">
                  <c:v>865.41078031523818</c:v>
                </c:pt>
                <c:pt idx="36">
                  <c:v>826.26072078123036</c:v>
                </c:pt>
                <c:pt idx="37">
                  <c:v>830.55954698436403</c:v>
                </c:pt>
                <c:pt idx="38">
                  <c:v>813.62095580782818</c:v>
                </c:pt>
                <c:pt idx="39">
                  <c:v>863.02994531151842</c:v>
                </c:pt>
                <c:pt idx="40">
                  <c:v>863.0675322301347</c:v>
                </c:pt>
                <c:pt idx="41">
                  <c:v>792.37469083608642</c:v>
                </c:pt>
                <c:pt idx="42">
                  <c:v>808.94331440009728</c:v>
                </c:pt>
                <c:pt idx="43">
                  <c:v>784.23658906345167</c:v>
                </c:pt>
                <c:pt idx="44">
                  <c:v>779.285500258654</c:v>
                </c:pt>
                <c:pt idx="45">
                  <c:v>841.96062518581516</c:v>
                </c:pt>
                <c:pt idx="46">
                  <c:v>739.95305068269147</c:v>
                </c:pt>
                <c:pt idx="47">
                  <c:v>690.29725242493964</c:v>
                </c:pt>
                <c:pt idx="48">
                  <c:v>683.61965255073221</c:v>
                </c:pt>
                <c:pt idx="49">
                  <c:v>655.317149704023</c:v>
                </c:pt>
                <c:pt idx="50">
                  <c:v>524.82777641442408</c:v>
                </c:pt>
                <c:pt idx="51">
                  <c:v>570.64268792076507</c:v>
                </c:pt>
                <c:pt idx="52">
                  <c:v>532.219072935138</c:v>
                </c:pt>
                <c:pt idx="53">
                  <c:v>558.25123220523074</c:v>
                </c:pt>
                <c:pt idx="54">
                  <c:v>525.4285920241939</c:v>
                </c:pt>
                <c:pt idx="55">
                  <c:v>559.10314166047931</c:v>
                </c:pt>
                <c:pt idx="56">
                  <c:v>554.67468076538432</c:v>
                </c:pt>
                <c:pt idx="57">
                  <c:v>554.44761688144831</c:v>
                </c:pt>
                <c:pt idx="58">
                  <c:v>546.59358953050264</c:v>
                </c:pt>
                <c:pt idx="59">
                  <c:v>558.09566329215488</c:v>
                </c:pt>
                <c:pt idx="60">
                  <c:v>553.31504601690096</c:v>
                </c:pt>
                <c:pt idx="61">
                  <c:v>529.77792698246424</c:v>
                </c:pt>
                <c:pt idx="62">
                  <c:v>515.77925547626307</c:v>
                </c:pt>
                <c:pt idx="63">
                  <c:v>512.13359726680585</c:v>
                </c:pt>
                <c:pt idx="64">
                  <c:v>511.33246838289671</c:v>
                </c:pt>
                <c:pt idx="65">
                  <c:v>501.95043497052029</c:v>
                </c:pt>
                <c:pt idx="66">
                  <c:v>444.3114222666668</c:v>
                </c:pt>
                <c:pt idx="67">
                  <c:v>429.35708710382562</c:v>
                </c:pt>
                <c:pt idx="68">
                  <c:v>434.02550825032654</c:v>
                </c:pt>
                <c:pt idx="69">
                  <c:v>419.79584741733993</c:v>
                </c:pt>
                <c:pt idx="70">
                  <c:v>395.15573141332942</c:v>
                </c:pt>
                <c:pt idx="71">
                  <c:v>384.76352041204041</c:v>
                </c:pt>
                <c:pt idx="72">
                  <c:v>373.84388488134738</c:v>
                </c:pt>
                <c:pt idx="73">
                  <c:v>372.06459730503792</c:v>
                </c:pt>
                <c:pt idx="74">
                  <c:v>377.76663022509422</c:v>
                </c:pt>
                <c:pt idx="75">
                  <c:v>380.30282804423302</c:v>
                </c:pt>
                <c:pt idx="76">
                  <c:v>361.69787763574999</c:v>
                </c:pt>
                <c:pt idx="77">
                  <c:v>364.1387064592322</c:v>
                </c:pt>
                <c:pt idx="78">
                  <c:v>360.3063388038002</c:v>
                </c:pt>
                <c:pt idx="79">
                  <c:v>356.11002437496086</c:v>
                </c:pt>
                <c:pt idx="80">
                  <c:v>328.2357952201823</c:v>
                </c:pt>
                <c:pt idx="81">
                  <c:v>423.57053544744508</c:v>
                </c:pt>
                <c:pt idx="82">
                  <c:v>455.49997324888301</c:v>
                </c:pt>
                <c:pt idx="83">
                  <c:v>445.79122252248658</c:v>
                </c:pt>
                <c:pt idx="84">
                  <c:v>386.58187859615828</c:v>
                </c:pt>
                <c:pt idx="85">
                  <c:v>383.27375080733481</c:v>
                </c:pt>
                <c:pt idx="86">
                  <c:v>363.59078609732421</c:v>
                </c:pt>
                <c:pt idx="87">
                  <c:v>348.13880695962234</c:v>
                </c:pt>
                <c:pt idx="88">
                  <c:v>301.25610244004048</c:v>
                </c:pt>
                <c:pt idx="89">
                  <c:v>249.76011934417693</c:v>
                </c:pt>
                <c:pt idx="90">
                  <c:v>222.67644304004503</c:v>
                </c:pt>
                <c:pt idx="91">
                  <c:v>202.84328294643919</c:v>
                </c:pt>
                <c:pt idx="92">
                  <c:v>190.33937327126554</c:v>
                </c:pt>
                <c:pt idx="93">
                  <c:v>179.96947495931553</c:v>
                </c:pt>
                <c:pt idx="94">
                  <c:v>170.64938035162356</c:v>
                </c:pt>
                <c:pt idx="95">
                  <c:v>542.53678563449864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A-4353-A389-8888B28DE63B}"/>
            </c:ext>
          </c:extLst>
        </c:ser>
        <c:ser>
          <c:idx val="2"/>
          <c:order val="2"/>
          <c:tx>
            <c:strRef>
              <c:f>'A.33 (3) Nuclear'!$A$22</c:f>
              <c:strCache>
                <c:ptCount val="1"/>
                <c:pt idx="0">
                  <c:v>Rest of programme</c:v>
                </c:pt>
              </c:strCache>
            </c:strRef>
          </c:tx>
          <c:spPr>
            <a:solidFill>
              <a:srgbClr val="C40012"/>
            </a:solidFill>
            <a:ln w="25400">
              <a:noFill/>
            </a:ln>
          </c:spPr>
          <c:cat>
            <c:strLit>
              <c:ptCount val="116"/>
              <c:pt idx="0">
                <c:v>23/24</c:v>
              </c:pt>
              <c:pt idx="1">
                <c:v>24/25</c:v>
              </c:pt>
              <c:pt idx="2">
                <c:v>25/26</c:v>
              </c:pt>
              <c:pt idx="3">
                <c:v>26/27</c:v>
              </c:pt>
              <c:pt idx="4">
                <c:v>27/28</c:v>
              </c:pt>
              <c:pt idx="5">
                <c:v>2028/29</c:v>
              </c:pt>
              <c:pt idx="6">
                <c:v>29/30</c:v>
              </c:pt>
              <c:pt idx="7">
                <c:v>30/31</c:v>
              </c:pt>
              <c:pt idx="8">
                <c:v>31/32</c:v>
              </c:pt>
              <c:pt idx="9">
                <c:v>32/33</c:v>
              </c:pt>
              <c:pt idx="10">
                <c:v>33/34</c:v>
              </c:pt>
              <c:pt idx="11">
                <c:v>34/35</c:v>
              </c:pt>
              <c:pt idx="12">
                <c:v>35/36</c:v>
              </c:pt>
              <c:pt idx="13">
                <c:v>36/37</c:v>
              </c:pt>
              <c:pt idx="14">
                <c:v>37/38</c:v>
              </c:pt>
              <c:pt idx="15">
                <c:v>2038/39</c:v>
              </c:pt>
              <c:pt idx="16">
                <c:v>39/40</c:v>
              </c:pt>
              <c:pt idx="17">
                <c:v>40/41</c:v>
              </c:pt>
              <c:pt idx="18">
                <c:v>41/42</c:v>
              </c:pt>
              <c:pt idx="19">
                <c:v>42/43</c:v>
              </c:pt>
              <c:pt idx="20">
                <c:v>43/44</c:v>
              </c:pt>
              <c:pt idx="21">
                <c:v>44/45</c:v>
              </c:pt>
              <c:pt idx="22">
                <c:v>45/46</c:v>
              </c:pt>
              <c:pt idx="23">
                <c:v>46/47</c:v>
              </c:pt>
              <c:pt idx="24">
                <c:v>47/48</c:v>
              </c:pt>
              <c:pt idx="25">
                <c:v>2048/49</c:v>
              </c:pt>
              <c:pt idx="26">
                <c:v>49/50</c:v>
              </c:pt>
              <c:pt idx="27">
                <c:v>50/51</c:v>
              </c:pt>
              <c:pt idx="28">
                <c:v>51/52</c:v>
              </c:pt>
              <c:pt idx="29">
                <c:v>52/53</c:v>
              </c:pt>
              <c:pt idx="30">
                <c:v>53/54</c:v>
              </c:pt>
              <c:pt idx="31">
                <c:v>54/55</c:v>
              </c:pt>
              <c:pt idx="32">
                <c:v>55/56</c:v>
              </c:pt>
              <c:pt idx="33">
                <c:v>56/57</c:v>
              </c:pt>
              <c:pt idx="34">
                <c:v>57/58</c:v>
              </c:pt>
              <c:pt idx="35">
                <c:v>2058/59</c:v>
              </c:pt>
              <c:pt idx="36">
                <c:v>59/60</c:v>
              </c:pt>
              <c:pt idx="37">
                <c:v>60/61</c:v>
              </c:pt>
              <c:pt idx="38">
                <c:v>61/62</c:v>
              </c:pt>
              <c:pt idx="39">
                <c:v>62/63</c:v>
              </c:pt>
              <c:pt idx="40">
                <c:v>63/64</c:v>
              </c:pt>
              <c:pt idx="41">
                <c:v>64/65</c:v>
              </c:pt>
              <c:pt idx="42">
                <c:v>65/66</c:v>
              </c:pt>
              <c:pt idx="43">
                <c:v>66/67</c:v>
              </c:pt>
              <c:pt idx="44">
                <c:v>67/68</c:v>
              </c:pt>
              <c:pt idx="45">
                <c:v>2068/69</c:v>
              </c:pt>
              <c:pt idx="46">
                <c:v>69/70</c:v>
              </c:pt>
              <c:pt idx="47">
                <c:v>70/71</c:v>
              </c:pt>
              <c:pt idx="48">
                <c:v>71/72</c:v>
              </c:pt>
              <c:pt idx="49">
                <c:v>72/73</c:v>
              </c:pt>
              <c:pt idx="50">
                <c:v>73/74</c:v>
              </c:pt>
              <c:pt idx="51">
                <c:v>74/75</c:v>
              </c:pt>
              <c:pt idx="52">
                <c:v>75/76</c:v>
              </c:pt>
              <c:pt idx="53">
                <c:v>76/77</c:v>
              </c:pt>
              <c:pt idx="54">
                <c:v>77/78</c:v>
              </c:pt>
              <c:pt idx="55">
                <c:v>2078/79</c:v>
              </c:pt>
              <c:pt idx="56">
                <c:v>79/80</c:v>
              </c:pt>
              <c:pt idx="57">
                <c:v>80/81</c:v>
              </c:pt>
              <c:pt idx="58">
                <c:v>81/82</c:v>
              </c:pt>
              <c:pt idx="59">
                <c:v>82/83</c:v>
              </c:pt>
              <c:pt idx="60">
                <c:v>83/84</c:v>
              </c:pt>
              <c:pt idx="61">
                <c:v>84/85</c:v>
              </c:pt>
              <c:pt idx="62">
                <c:v>85/86</c:v>
              </c:pt>
              <c:pt idx="63">
                <c:v>86/87</c:v>
              </c:pt>
              <c:pt idx="64">
                <c:v>87/88</c:v>
              </c:pt>
              <c:pt idx="65">
                <c:v>2088/89</c:v>
              </c:pt>
              <c:pt idx="66">
                <c:v>89/90</c:v>
              </c:pt>
              <c:pt idx="67">
                <c:v>90/91</c:v>
              </c:pt>
              <c:pt idx="68">
                <c:v>91/92</c:v>
              </c:pt>
              <c:pt idx="69">
                <c:v>92/93</c:v>
              </c:pt>
              <c:pt idx="70">
                <c:v>93/94</c:v>
              </c:pt>
              <c:pt idx="71">
                <c:v>94/95</c:v>
              </c:pt>
              <c:pt idx="72">
                <c:v>95/96</c:v>
              </c:pt>
              <c:pt idx="73">
                <c:v>96/97</c:v>
              </c:pt>
              <c:pt idx="74">
                <c:v>97/98</c:v>
              </c:pt>
              <c:pt idx="75">
                <c:v>2098/99</c:v>
              </c:pt>
              <c:pt idx="76">
                <c:v>99/00</c:v>
              </c:pt>
              <c:pt idx="77">
                <c:v>00/01</c:v>
              </c:pt>
              <c:pt idx="78">
                <c:v>01/02</c:v>
              </c:pt>
              <c:pt idx="79">
                <c:v>02/03</c:v>
              </c:pt>
              <c:pt idx="80">
                <c:v>03/04</c:v>
              </c:pt>
              <c:pt idx="81">
                <c:v>04/05</c:v>
              </c:pt>
              <c:pt idx="82">
                <c:v>05/06</c:v>
              </c:pt>
              <c:pt idx="83">
                <c:v>06/07</c:v>
              </c:pt>
              <c:pt idx="84">
                <c:v>07/08</c:v>
              </c:pt>
              <c:pt idx="85">
                <c:v>08/09</c:v>
              </c:pt>
              <c:pt idx="86">
                <c:v>09/10</c:v>
              </c:pt>
              <c:pt idx="87">
                <c:v>10/11</c:v>
              </c:pt>
              <c:pt idx="88">
                <c:v>11/12</c:v>
              </c:pt>
              <c:pt idx="89">
                <c:v>12/13</c:v>
              </c:pt>
              <c:pt idx="90">
                <c:v>13/14</c:v>
              </c:pt>
              <c:pt idx="91">
                <c:v>14/15</c:v>
              </c:pt>
              <c:pt idx="92">
                <c:v>15/16</c:v>
              </c:pt>
              <c:pt idx="93">
                <c:v>16/17</c:v>
              </c:pt>
              <c:pt idx="94">
                <c:v>17/18</c:v>
              </c:pt>
              <c:pt idx="95">
                <c:v>18/19</c:v>
              </c:pt>
              <c:pt idx="96">
                <c:v>19/20</c:v>
              </c:pt>
              <c:pt idx="97">
                <c:v>20/21</c:v>
              </c:pt>
              <c:pt idx="98">
                <c:v>21/22</c:v>
              </c:pt>
              <c:pt idx="99">
                <c:v>22/23</c:v>
              </c:pt>
              <c:pt idx="100">
                <c:v>23/24</c:v>
              </c:pt>
              <c:pt idx="101">
                <c:v>24/25</c:v>
              </c:pt>
              <c:pt idx="102">
                <c:v>25/26</c:v>
              </c:pt>
              <c:pt idx="103">
                <c:v>26/27</c:v>
              </c:pt>
              <c:pt idx="104">
                <c:v>27/28</c:v>
              </c:pt>
              <c:pt idx="105">
                <c:v>28/29</c:v>
              </c:pt>
              <c:pt idx="106">
                <c:v>29/30</c:v>
              </c:pt>
              <c:pt idx="107">
                <c:v>30/31</c:v>
              </c:pt>
              <c:pt idx="108">
                <c:v>31/32</c:v>
              </c:pt>
              <c:pt idx="109">
                <c:v>32/33</c:v>
              </c:pt>
              <c:pt idx="110">
                <c:v>33/34</c:v>
              </c:pt>
              <c:pt idx="111">
                <c:v>34/35</c:v>
              </c:pt>
              <c:pt idx="112">
                <c:v>35/36</c:v>
              </c:pt>
              <c:pt idx="113">
                <c:v>36/37</c:v>
              </c:pt>
              <c:pt idx="114">
                <c:v>137/138</c:v>
              </c:pt>
              <c:pt idx="115">
                <c:v>2138/39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'A.33 (3) Nuclear'!$B$22:$DR$22</c15:sqref>
                  </c15:fullRef>
                </c:ext>
              </c:extLst>
              <c:f>'A.33 (3) Nuclear'!$G$22:$DR$22</c:f>
              <c:numCache>
                <c:formatCode>_(* #,##0.00_);_(* \(#,##0.00\);_(* "-"??_);_(@_)</c:formatCode>
                <c:ptCount val="116"/>
                <c:pt idx="0">
                  <c:v>660.7979397238629</c:v>
                </c:pt>
                <c:pt idx="1">
                  <c:v>587.32674556061534</c:v>
                </c:pt>
                <c:pt idx="2">
                  <c:v>555.92743949892235</c:v>
                </c:pt>
                <c:pt idx="3">
                  <c:v>545.06201581061509</c:v>
                </c:pt>
                <c:pt idx="4">
                  <c:v>513.48729931892058</c:v>
                </c:pt>
                <c:pt idx="5">
                  <c:v>434.25140253449632</c:v>
                </c:pt>
                <c:pt idx="6">
                  <c:v>399.13005762835741</c:v>
                </c:pt>
                <c:pt idx="7">
                  <c:v>358.46406952156997</c:v>
                </c:pt>
                <c:pt idx="8">
                  <c:v>336.52276122546959</c:v>
                </c:pt>
                <c:pt idx="9">
                  <c:v>153.19934627078413</c:v>
                </c:pt>
                <c:pt idx="10">
                  <c:v>135.30638052206135</c:v>
                </c:pt>
                <c:pt idx="11">
                  <c:v>164.24714657574367</c:v>
                </c:pt>
                <c:pt idx="12">
                  <c:v>318.4524451500838</c:v>
                </c:pt>
                <c:pt idx="13">
                  <c:v>238.25119347694348</c:v>
                </c:pt>
                <c:pt idx="14">
                  <c:v>338.84879038349249</c:v>
                </c:pt>
                <c:pt idx="15">
                  <c:v>330.63985837282445</c:v>
                </c:pt>
                <c:pt idx="16">
                  <c:v>403.0314540282364</c:v>
                </c:pt>
                <c:pt idx="17">
                  <c:v>350.41097897289899</c:v>
                </c:pt>
                <c:pt idx="18">
                  <c:v>518.80650999970101</c:v>
                </c:pt>
                <c:pt idx="19">
                  <c:v>579.05864956967446</c:v>
                </c:pt>
                <c:pt idx="20">
                  <c:v>299.38035486042094</c:v>
                </c:pt>
                <c:pt idx="21">
                  <c:v>147.62739075952791</c:v>
                </c:pt>
                <c:pt idx="22">
                  <c:v>155.22733426415871</c:v>
                </c:pt>
                <c:pt idx="23">
                  <c:v>201.09072598141955</c:v>
                </c:pt>
                <c:pt idx="24">
                  <c:v>132.78970855641771</c:v>
                </c:pt>
                <c:pt idx="25">
                  <c:v>132.64696725964976</c:v>
                </c:pt>
                <c:pt idx="26">
                  <c:v>141.42811774296592</c:v>
                </c:pt>
                <c:pt idx="27">
                  <c:v>135.14472513384246</c:v>
                </c:pt>
                <c:pt idx="28">
                  <c:v>102.18734812099576</c:v>
                </c:pt>
                <c:pt idx="29">
                  <c:v>93.777288772240524</c:v>
                </c:pt>
                <c:pt idx="30">
                  <c:v>91.806854674585111</c:v>
                </c:pt>
                <c:pt idx="31">
                  <c:v>105.11251786302984</c:v>
                </c:pt>
                <c:pt idx="32">
                  <c:v>95.438229328931925</c:v>
                </c:pt>
                <c:pt idx="33">
                  <c:v>132.06593113530135</c:v>
                </c:pt>
                <c:pt idx="34">
                  <c:v>98.490489644983768</c:v>
                </c:pt>
                <c:pt idx="35">
                  <c:v>98.125397781031253</c:v>
                </c:pt>
                <c:pt idx="36">
                  <c:v>75.966249706285836</c:v>
                </c:pt>
                <c:pt idx="37">
                  <c:v>93.180031385517594</c:v>
                </c:pt>
                <c:pt idx="38">
                  <c:v>114.60201491203738</c:v>
                </c:pt>
                <c:pt idx="39">
                  <c:v>97.241197804577226</c:v>
                </c:pt>
                <c:pt idx="40">
                  <c:v>97.291757135849949</c:v>
                </c:pt>
                <c:pt idx="41">
                  <c:v>104.66792356256629</c:v>
                </c:pt>
                <c:pt idx="42">
                  <c:v>89.292241877896188</c:v>
                </c:pt>
                <c:pt idx="43">
                  <c:v>134.77558306593133</c:v>
                </c:pt>
                <c:pt idx="44">
                  <c:v>80.533124741364958</c:v>
                </c:pt>
                <c:pt idx="45">
                  <c:v>71.18828603769434</c:v>
                </c:pt>
                <c:pt idx="46">
                  <c:v>131.91654473410523</c:v>
                </c:pt>
                <c:pt idx="47">
                  <c:v>201.54130377909016</c:v>
                </c:pt>
                <c:pt idx="48">
                  <c:v>305.69627405910978</c:v>
                </c:pt>
                <c:pt idx="49">
                  <c:v>453.13270167614257</c:v>
                </c:pt>
                <c:pt idx="50">
                  <c:v>458.3488372824736</c:v>
                </c:pt>
                <c:pt idx="51">
                  <c:v>452.13625523996114</c:v>
                </c:pt>
                <c:pt idx="52">
                  <c:v>486.90775501940351</c:v>
                </c:pt>
                <c:pt idx="53">
                  <c:v>530.20083745563966</c:v>
                </c:pt>
                <c:pt idx="54">
                  <c:v>386.82628144885683</c:v>
                </c:pt>
                <c:pt idx="55">
                  <c:v>295.27239315855337</c:v>
                </c:pt>
                <c:pt idx="56">
                  <c:v>278.89143732094107</c:v>
                </c:pt>
                <c:pt idx="57">
                  <c:v>290.50877989842201</c:v>
                </c:pt>
                <c:pt idx="58">
                  <c:v>228.02259391099858</c:v>
                </c:pt>
                <c:pt idx="59">
                  <c:v>295.84659354599717</c:v>
                </c:pt>
                <c:pt idx="60">
                  <c:v>316.84342929741086</c:v>
                </c:pt>
                <c:pt idx="61">
                  <c:v>422.76874607950168</c:v>
                </c:pt>
                <c:pt idx="62">
                  <c:v>466.29306622410155</c:v>
                </c:pt>
                <c:pt idx="63">
                  <c:v>617.18691366605856</c:v>
                </c:pt>
                <c:pt idx="64">
                  <c:v>601.68327766124037</c:v>
                </c:pt>
                <c:pt idx="65">
                  <c:v>542.63341293312908</c:v>
                </c:pt>
                <c:pt idx="66">
                  <c:v>644.73608141608292</c:v>
                </c:pt>
                <c:pt idx="67">
                  <c:v>576.82065750222068</c:v>
                </c:pt>
                <c:pt idx="68">
                  <c:v>482.47246671720313</c:v>
                </c:pt>
                <c:pt idx="69">
                  <c:v>534.3773047800837</c:v>
                </c:pt>
                <c:pt idx="70">
                  <c:v>492.39248448153643</c:v>
                </c:pt>
                <c:pt idx="71">
                  <c:v>470.35748682863277</c:v>
                </c:pt>
                <c:pt idx="72">
                  <c:v>301.03299332181092</c:v>
                </c:pt>
                <c:pt idx="73">
                  <c:v>391.96190326919822</c:v>
                </c:pt>
                <c:pt idx="74">
                  <c:v>321.0189293352264</c:v>
                </c:pt>
                <c:pt idx="75">
                  <c:v>421.39949678737275</c:v>
                </c:pt>
                <c:pt idx="76">
                  <c:v>377.63677082671825</c:v>
                </c:pt>
                <c:pt idx="77">
                  <c:v>304.8796489220743</c:v>
                </c:pt>
                <c:pt idx="78">
                  <c:v>266.32995536307084</c:v>
                </c:pt>
                <c:pt idx="79">
                  <c:v>266.40727072834295</c:v>
                </c:pt>
                <c:pt idx="80">
                  <c:v>239.16164040276647</c:v>
                </c:pt>
                <c:pt idx="81">
                  <c:v>140.09824585256081</c:v>
                </c:pt>
                <c:pt idx="82">
                  <c:v>128.18146636584711</c:v>
                </c:pt>
                <c:pt idx="83">
                  <c:v>79.38316796899629</c:v>
                </c:pt>
                <c:pt idx="84">
                  <c:v>78.162926780742168</c:v>
                </c:pt>
                <c:pt idx="85">
                  <c:v>25.776282865439953</c:v>
                </c:pt>
                <c:pt idx="86">
                  <c:v>25.3755229840312</c:v>
                </c:pt>
                <c:pt idx="87">
                  <c:v>26.46601928795284</c:v>
                </c:pt>
                <c:pt idx="88">
                  <c:v>27.970005290750979</c:v>
                </c:pt>
                <c:pt idx="89">
                  <c:v>25.707485329212815</c:v>
                </c:pt>
                <c:pt idx="90">
                  <c:v>25.3755229840312</c:v>
                </c:pt>
                <c:pt idx="91">
                  <c:v>26.866779169361649</c:v>
                </c:pt>
                <c:pt idx="92">
                  <c:v>27.081726447678506</c:v>
                </c:pt>
                <c:pt idx="93">
                  <c:v>25.3755229840312</c:v>
                </c:pt>
                <c:pt idx="94">
                  <c:v>25.793117821908861</c:v>
                </c:pt>
                <c:pt idx="95">
                  <c:v>24.904838978836299</c:v>
                </c:pt>
                <c:pt idx="96">
                  <c:v>22.51737231859698</c:v>
                </c:pt>
                <c:pt idx="97">
                  <c:v>22.312935405272778</c:v>
                </c:pt>
                <c:pt idx="98">
                  <c:v>21.057866343231296</c:v>
                </c:pt>
                <c:pt idx="99">
                  <c:v>21.946145186303809</c:v>
                </c:pt>
                <c:pt idx="100">
                  <c:v>21.057866343231296</c:v>
                </c:pt>
                <c:pt idx="101">
                  <c:v>31.564190441232167</c:v>
                </c:pt>
                <c:pt idx="102">
                  <c:v>31.564190441232167</c:v>
                </c:pt>
                <c:pt idx="103">
                  <c:v>46.908329300369168</c:v>
                </c:pt>
                <c:pt idx="104">
                  <c:v>65.592212505043207</c:v>
                </c:pt>
                <c:pt idx="105">
                  <c:v>76.613589872627244</c:v>
                </c:pt>
                <c:pt idx="106">
                  <c:v>89.524339132469606</c:v>
                </c:pt>
                <c:pt idx="107">
                  <c:v>69.952022812469622</c:v>
                </c:pt>
                <c:pt idx="108">
                  <c:v>67.389433832469607</c:v>
                </c:pt>
                <c:pt idx="109">
                  <c:v>69.477480287268122</c:v>
                </c:pt>
                <c:pt idx="110">
                  <c:v>73.940206906742773</c:v>
                </c:pt>
                <c:pt idx="111">
                  <c:v>78.210968570758098</c:v>
                </c:pt>
                <c:pt idx="112">
                  <c:v>71.564520742181656</c:v>
                </c:pt>
                <c:pt idx="113">
                  <c:v>64.206820718830514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A-4353-A389-8888B28DE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691408"/>
        <c:axId val="407693368"/>
      </c:areaChart>
      <c:lineChart>
        <c:grouping val="stacked"/>
        <c:varyColors val="0"/>
        <c:ser>
          <c:idx val="0"/>
          <c:order val="0"/>
          <c:tx>
            <c:strRef>
              <c:f>'A.33 (3) Nuclear'!$A$23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'A.33 (3) Nuclear'!$B$20:$DR$20</c15:sqref>
                  </c15:fullRef>
                </c:ext>
              </c:extLst>
              <c:f>'A.33 (3) Nuclear'!$G$20:$DR$20</c:f>
              <c:strCache>
                <c:ptCount val="116"/>
                <c:pt idx="0">
                  <c:v>23/24</c:v>
                </c:pt>
                <c:pt idx="1">
                  <c:v>24/25</c:v>
                </c:pt>
                <c:pt idx="2">
                  <c:v>25/26</c:v>
                </c:pt>
                <c:pt idx="3">
                  <c:v>26/27</c:v>
                </c:pt>
                <c:pt idx="4">
                  <c:v>27/28</c:v>
                </c:pt>
                <c:pt idx="5">
                  <c:v>2028/29</c:v>
                </c:pt>
                <c:pt idx="6">
                  <c:v>29/30</c:v>
                </c:pt>
                <c:pt idx="7">
                  <c:v>30/31</c:v>
                </c:pt>
                <c:pt idx="8">
                  <c:v>31/32</c:v>
                </c:pt>
                <c:pt idx="9">
                  <c:v>32/33</c:v>
                </c:pt>
                <c:pt idx="10">
                  <c:v>33/34</c:v>
                </c:pt>
                <c:pt idx="11">
                  <c:v>34/35</c:v>
                </c:pt>
                <c:pt idx="12">
                  <c:v>35/36</c:v>
                </c:pt>
                <c:pt idx="13">
                  <c:v>36/37</c:v>
                </c:pt>
                <c:pt idx="14">
                  <c:v>37/38</c:v>
                </c:pt>
                <c:pt idx="15">
                  <c:v>2038/39</c:v>
                </c:pt>
                <c:pt idx="16">
                  <c:v>39/40</c:v>
                </c:pt>
                <c:pt idx="17">
                  <c:v>40/41</c:v>
                </c:pt>
                <c:pt idx="18">
                  <c:v>41/42</c:v>
                </c:pt>
                <c:pt idx="19">
                  <c:v>42/43</c:v>
                </c:pt>
                <c:pt idx="20">
                  <c:v>43/44</c:v>
                </c:pt>
                <c:pt idx="21">
                  <c:v>44/45</c:v>
                </c:pt>
                <c:pt idx="22">
                  <c:v>45/46</c:v>
                </c:pt>
                <c:pt idx="23">
                  <c:v>46/47</c:v>
                </c:pt>
                <c:pt idx="24">
                  <c:v>47/48</c:v>
                </c:pt>
                <c:pt idx="25">
                  <c:v>2048/49</c:v>
                </c:pt>
                <c:pt idx="26">
                  <c:v>49/50</c:v>
                </c:pt>
                <c:pt idx="27">
                  <c:v>50/51</c:v>
                </c:pt>
                <c:pt idx="28">
                  <c:v>51/52</c:v>
                </c:pt>
                <c:pt idx="29">
                  <c:v>52/53</c:v>
                </c:pt>
                <c:pt idx="30">
                  <c:v>53/54</c:v>
                </c:pt>
                <c:pt idx="31">
                  <c:v>54/55</c:v>
                </c:pt>
                <c:pt idx="32">
                  <c:v>55/56</c:v>
                </c:pt>
                <c:pt idx="33">
                  <c:v>56/57</c:v>
                </c:pt>
                <c:pt idx="34">
                  <c:v>57/58</c:v>
                </c:pt>
                <c:pt idx="35">
                  <c:v>2058/59</c:v>
                </c:pt>
                <c:pt idx="36">
                  <c:v>59/60</c:v>
                </c:pt>
                <c:pt idx="37">
                  <c:v>60/61</c:v>
                </c:pt>
                <c:pt idx="38">
                  <c:v>61/62</c:v>
                </c:pt>
                <c:pt idx="39">
                  <c:v>62/63</c:v>
                </c:pt>
                <c:pt idx="40">
                  <c:v>63/64</c:v>
                </c:pt>
                <c:pt idx="41">
                  <c:v>64/65</c:v>
                </c:pt>
                <c:pt idx="42">
                  <c:v>65/66</c:v>
                </c:pt>
                <c:pt idx="43">
                  <c:v>66/67</c:v>
                </c:pt>
                <c:pt idx="44">
                  <c:v>67/68</c:v>
                </c:pt>
                <c:pt idx="45">
                  <c:v>2068/69</c:v>
                </c:pt>
                <c:pt idx="46">
                  <c:v>69/70</c:v>
                </c:pt>
                <c:pt idx="47">
                  <c:v>70/71</c:v>
                </c:pt>
                <c:pt idx="48">
                  <c:v>71/72</c:v>
                </c:pt>
                <c:pt idx="49">
                  <c:v>72/73</c:v>
                </c:pt>
                <c:pt idx="50">
                  <c:v>73/74</c:v>
                </c:pt>
                <c:pt idx="51">
                  <c:v>74/75</c:v>
                </c:pt>
                <c:pt idx="52">
                  <c:v>75/76</c:v>
                </c:pt>
                <c:pt idx="53">
                  <c:v>76/77</c:v>
                </c:pt>
                <c:pt idx="54">
                  <c:v>77/78</c:v>
                </c:pt>
                <c:pt idx="55">
                  <c:v>2078/79</c:v>
                </c:pt>
                <c:pt idx="56">
                  <c:v>79/80</c:v>
                </c:pt>
                <c:pt idx="57">
                  <c:v>80/81</c:v>
                </c:pt>
                <c:pt idx="58">
                  <c:v>81/82</c:v>
                </c:pt>
                <c:pt idx="59">
                  <c:v>82/83</c:v>
                </c:pt>
                <c:pt idx="60">
                  <c:v>83/84</c:v>
                </c:pt>
                <c:pt idx="61">
                  <c:v>84/85</c:v>
                </c:pt>
                <c:pt idx="62">
                  <c:v>85/86</c:v>
                </c:pt>
                <c:pt idx="63">
                  <c:v>86/87</c:v>
                </c:pt>
                <c:pt idx="64">
                  <c:v>87/88</c:v>
                </c:pt>
                <c:pt idx="65">
                  <c:v>2088/89</c:v>
                </c:pt>
                <c:pt idx="66">
                  <c:v>89/90</c:v>
                </c:pt>
                <c:pt idx="67">
                  <c:v>90/91</c:v>
                </c:pt>
                <c:pt idx="68">
                  <c:v>91/92</c:v>
                </c:pt>
                <c:pt idx="69">
                  <c:v>92/93</c:v>
                </c:pt>
                <c:pt idx="70">
                  <c:v>93/94</c:v>
                </c:pt>
                <c:pt idx="71">
                  <c:v>94/95</c:v>
                </c:pt>
                <c:pt idx="72">
                  <c:v>95/96</c:v>
                </c:pt>
                <c:pt idx="73">
                  <c:v>96/97</c:v>
                </c:pt>
                <c:pt idx="74">
                  <c:v>97/98</c:v>
                </c:pt>
                <c:pt idx="75">
                  <c:v>2098/99</c:v>
                </c:pt>
                <c:pt idx="76">
                  <c:v>99/00</c:v>
                </c:pt>
                <c:pt idx="77">
                  <c:v>00/01</c:v>
                </c:pt>
                <c:pt idx="78">
                  <c:v>01/02</c:v>
                </c:pt>
                <c:pt idx="79">
                  <c:v>02/03</c:v>
                </c:pt>
                <c:pt idx="80">
                  <c:v>03/04</c:v>
                </c:pt>
                <c:pt idx="81">
                  <c:v>04/05</c:v>
                </c:pt>
                <c:pt idx="82">
                  <c:v>05/06</c:v>
                </c:pt>
                <c:pt idx="83">
                  <c:v>06/07</c:v>
                </c:pt>
                <c:pt idx="84">
                  <c:v>07/08</c:v>
                </c:pt>
                <c:pt idx="85">
                  <c:v>08/09</c:v>
                </c:pt>
                <c:pt idx="86">
                  <c:v>09/10</c:v>
                </c:pt>
                <c:pt idx="87">
                  <c:v>10/11</c:v>
                </c:pt>
                <c:pt idx="88">
                  <c:v>11/12</c:v>
                </c:pt>
                <c:pt idx="89">
                  <c:v>12/13</c:v>
                </c:pt>
                <c:pt idx="90">
                  <c:v>13/14</c:v>
                </c:pt>
                <c:pt idx="91">
                  <c:v>14/15</c:v>
                </c:pt>
                <c:pt idx="92">
                  <c:v>15/16</c:v>
                </c:pt>
                <c:pt idx="93">
                  <c:v>16/17</c:v>
                </c:pt>
                <c:pt idx="94">
                  <c:v>17/18</c:v>
                </c:pt>
                <c:pt idx="95">
                  <c:v>18/19</c:v>
                </c:pt>
                <c:pt idx="96">
                  <c:v>19/20</c:v>
                </c:pt>
                <c:pt idx="97">
                  <c:v>20/21</c:v>
                </c:pt>
                <c:pt idx="98">
                  <c:v>21/22</c:v>
                </c:pt>
                <c:pt idx="99">
                  <c:v>22/23</c:v>
                </c:pt>
                <c:pt idx="100">
                  <c:v>23/24</c:v>
                </c:pt>
                <c:pt idx="101">
                  <c:v>24/25</c:v>
                </c:pt>
                <c:pt idx="102">
                  <c:v>25/26</c:v>
                </c:pt>
                <c:pt idx="103">
                  <c:v>26/27</c:v>
                </c:pt>
                <c:pt idx="104">
                  <c:v>27/28</c:v>
                </c:pt>
                <c:pt idx="105">
                  <c:v>28/29</c:v>
                </c:pt>
                <c:pt idx="106">
                  <c:v>29/30</c:v>
                </c:pt>
                <c:pt idx="107">
                  <c:v>30/31</c:v>
                </c:pt>
                <c:pt idx="108">
                  <c:v>31/32</c:v>
                </c:pt>
                <c:pt idx="109">
                  <c:v>32/33</c:v>
                </c:pt>
                <c:pt idx="110">
                  <c:v>33/34</c:v>
                </c:pt>
                <c:pt idx="111">
                  <c:v>34/35</c:v>
                </c:pt>
                <c:pt idx="112">
                  <c:v>35/36</c:v>
                </c:pt>
                <c:pt idx="113">
                  <c:v>36/37</c:v>
                </c:pt>
                <c:pt idx="114">
                  <c:v>137/138</c:v>
                </c:pt>
                <c:pt idx="115">
                  <c:v>2138/39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'A.33 (3) Nuclear'!$B$23:$DR$23</c15:sqref>
                  </c15:fullRef>
                </c:ext>
              </c:extLst>
              <c:f>'A.33 (3) Nuclear'!$G$23:$DR$23</c:f>
              <c:numCache>
                <c:formatCode>_-* #,##0_-;\-* #,##0_-;_-* "-"??_-;_-@_-</c:formatCode>
                <c:ptCount val="116"/>
                <c:pt idx="0">
                  <c:v>2735.5275511745222</c:v>
                </c:pt>
                <c:pt idx="1">
                  <c:v>2718.5208612732176</c:v>
                </c:pt>
                <c:pt idx="2">
                  <c:v>2768.4323316393502</c:v>
                </c:pt>
                <c:pt idx="3">
                  <c:v>2954.072283253252</c:v>
                </c:pt>
                <c:pt idx="4">
                  <c:v>2809.5599590236261</c:v>
                </c:pt>
                <c:pt idx="5">
                  <c:v>2579.0273719753809</c:v>
                </c:pt>
                <c:pt idx="6">
                  <c:v>2372.7889983798732</c:v>
                </c:pt>
                <c:pt idx="7">
                  <c:v>2406.1230035414237</c:v>
                </c:pt>
                <c:pt idx="8">
                  <c:v>2592.0803431013492</c:v>
                </c:pt>
                <c:pt idx="9">
                  <c:v>2007.787627892701</c:v>
                </c:pt>
                <c:pt idx="10">
                  <c:v>1969.1465450645544</c:v>
                </c:pt>
                <c:pt idx="11">
                  <c:v>1689.3468818222411</c:v>
                </c:pt>
                <c:pt idx="12">
                  <c:v>1837.2707087835352</c:v>
                </c:pt>
                <c:pt idx="13">
                  <c:v>1718.6309541233168</c:v>
                </c:pt>
                <c:pt idx="14">
                  <c:v>1848.697003122041</c:v>
                </c:pt>
                <c:pt idx="15">
                  <c:v>1816.1894863800881</c:v>
                </c:pt>
                <c:pt idx="16">
                  <c:v>1884.747735730228</c:v>
                </c:pt>
                <c:pt idx="17">
                  <c:v>1831.4412064613034</c:v>
                </c:pt>
                <c:pt idx="18">
                  <c:v>1979.1583518069228</c:v>
                </c:pt>
                <c:pt idx="19">
                  <c:v>1983.7388336328058</c:v>
                </c:pt>
                <c:pt idx="20">
                  <c:v>1581.5375703328286</c:v>
                </c:pt>
                <c:pt idx="21">
                  <c:v>1435.3255472414828</c:v>
                </c:pt>
                <c:pt idx="22">
                  <c:v>1402.5556403561204</c:v>
                </c:pt>
                <c:pt idx="23">
                  <c:v>1411.5384562423326</c:v>
                </c:pt>
                <c:pt idx="24">
                  <c:v>1294.630480025502</c:v>
                </c:pt>
                <c:pt idx="25">
                  <c:v>1245.716740332593</c:v>
                </c:pt>
                <c:pt idx="26">
                  <c:v>1274.9219905313205</c:v>
                </c:pt>
                <c:pt idx="27">
                  <c:v>1210.1711559113392</c:v>
                </c:pt>
                <c:pt idx="28">
                  <c:v>1128.2283921181745</c:v>
                </c:pt>
                <c:pt idx="29">
                  <c:v>1107.1065301686297</c:v>
                </c:pt>
                <c:pt idx="30">
                  <c:v>1196.3225478575166</c:v>
                </c:pt>
                <c:pt idx="31">
                  <c:v>1148.8201547168728</c:v>
                </c:pt>
                <c:pt idx="32">
                  <c:v>1097.6837347096971</c:v>
                </c:pt>
                <c:pt idx="33">
                  <c:v>1075.5038902728568</c:v>
                </c:pt>
                <c:pt idx="34">
                  <c:v>1059.1017771030702</c:v>
                </c:pt>
                <c:pt idx="35">
                  <c:v>963.5361780962694</c:v>
                </c:pt>
                <c:pt idx="36">
                  <c:v>902.22697048751616</c:v>
                </c:pt>
                <c:pt idx="37">
                  <c:v>923.73957836988166</c:v>
                </c:pt>
                <c:pt idx="38">
                  <c:v>928.22297071986554</c:v>
                </c:pt>
                <c:pt idx="39">
                  <c:v>960.27114311609569</c:v>
                </c:pt>
                <c:pt idx="40">
                  <c:v>960.35928936598464</c:v>
                </c:pt>
                <c:pt idx="41">
                  <c:v>897.04261439865274</c:v>
                </c:pt>
                <c:pt idx="42">
                  <c:v>898.23555627799351</c:v>
                </c:pt>
                <c:pt idx="43">
                  <c:v>919.01217212938298</c:v>
                </c:pt>
                <c:pt idx="44">
                  <c:v>859.81862500001898</c:v>
                </c:pt>
                <c:pt idx="45">
                  <c:v>913.14891122350946</c:v>
                </c:pt>
                <c:pt idx="46">
                  <c:v>871.86959541679676</c:v>
                </c:pt>
                <c:pt idx="47">
                  <c:v>891.83855620402983</c:v>
                </c:pt>
                <c:pt idx="48">
                  <c:v>989.31592660984199</c:v>
                </c:pt>
                <c:pt idx="49">
                  <c:v>1108.4498513801655</c:v>
                </c:pt>
                <c:pt idx="50">
                  <c:v>983.17661369689768</c:v>
                </c:pt>
                <c:pt idx="51">
                  <c:v>1022.7789431607262</c:v>
                </c:pt>
                <c:pt idx="52">
                  <c:v>1019.1268279545416</c:v>
                </c:pt>
                <c:pt idx="53">
                  <c:v>1088.4520696608704</c:v>
                </c:pt>
                <c:pt idx="54">
                  <c:v>912.25487347305079</c:v>
                </c:pt>
                <c:pt idx="55">
                  <c:v>854.37553481903274</c:v>
                </c:pt>
                <c:pt idx="56">
                  <c:v>833.56611808632533</c:v>
                </c:pt>
                <c:pt idx="57">
                  <c:v>844.95639677987037</c:v>
                </c:pt>
                <c:pt idx="58">
                  <c:v>774.61618344150122</c:v>
                </c:pt>
                <c:pt idx="59">
                  <c:v>853.94225683815205</c:v>
                </c:pt>
                <c:pt idx="60">
                  <c:v>870.15847531431177</c:v>
                </c:pt>
                <c:pt idx="61">
                  <c:v>952.54667306196598</c:v>
                </c:pt>
                <c:pt idx="62">
                  <c:v>982.07232170036468</c:v>
                </c:pt>
                <c:pt idx="63">
                  <c:v>1129.3205109328644</c:v>
                </c:pt>
                <c:pt idx="64">
                  <c:v>1113.0157460441371</c:v>
                </c:pt>
                <c:pt idx="65">
                  <c:v>1044.5838479036493</c:v>
                </c:pt>
                <c:pt idx="66">
                  <c:v>1089.0475036827497</c:v>
                </c:pt>
                <c:pt idx="67">
                  <c:v>1006.1777446060463</c:v>
                </c:pt>
                <c:pt idx="68">
                  <c:v>916.49797496752967</c:v>
                </c:pt>
                <c:pt idx="69">
                  <c:v>954.17315219742363</c:v>
                </c:pt>
                <c:pt idx="70">
                  <c:v>887.54821589486585</c:v>
                </c:pt>
                <c:pt idx="71">
                  <c:v>855.12100724067318</c:v>
                </c:pt>
                <c:pt idx="72">
                  <c:v>674.8768782031583</c:v>
                </c:pt>
                <c:pt idx="73">
                  <c:v>764.02650057423614</c:v>
                </c:pt>
                <c:pt idx="74">
                  <c:v>698.78555956032062</c:v>
                </c:pt>
                <c:pt idx="75">
                  <c:v>801.70232483160578</c:v>
                </c:pt>
                <c:pt idx="76">
                  <c:v>739.33464846246829</c:v>
                </c:pt>
                <c:pt idx="77">
                  <c:v>669.01835538130649</c:v>
                </c:pt>
                <c:pt idx="78">
                  <c:v>626.63629416687104</c:v>
                </c:pt>
                <c:pt idx="79">
                  <c:v>622.51729510330381</c:v>
                </c:pt>
                <c:pt idx="80">
                  <c:v>567.39743562294871</c:v>
                </c:pt>
                <c:pt idx="81">
                  <c:v>563.66878130000589</c:v>
                </c:pt>
                <c:pt idx="82">
                  <c:v>583.68143961473015</c:v>
                </c:pt>
                <c:pt idx="83">
                  <c:v>525.17439049148288</c:v>
                </c:pt>
                <c:pt idx="84">
                  <c:v>464.74480537690044</c:v>
                </c:pt>
                <c:pt idx="85">
                  <c:v>409.05003367277476</c:v>
                </c:pt>
                <c:pt idx="86">
                  <c:v>388.9663090813554</c:v>
                </c:pt>
                <c:pt idx="87">
                  <c:v>374.6048262475752</c:v>
                </c:pt>
                <c:pt idx="88">
                  <c:v>329.22610773079145</c:v>
                </c:pt>
                <c:pt idx="89">
                  <c:v>275.46760467338976</c:v>
                </c:pt>
                <c:pt idx="90">
                  <c:v>248.05196602407622</c:v>
                </c:pt>
                <c:pt idx="91">
                  <c:v>229.71006211580084</c:v>
                </c:pt>
                <c:pt idx="92">
                  <c:v>217.42109971894405</c:v>
                </c:pt>
                <c:pt idx="93">
                  <c:v>205.34499794334673</c:v>
                </c:pt>
                <c:pt idx="94">
                  <c:v>196.44249817353241</c:v>
                </c:pt>
                <c:pt idx="95">
                  <c:v>567.44162461333497</c:v>
                </c:pt>
                <c:pt idx="96">
                  <c:v>22.51737231859698</c:v>
                </c:pt>
                <c:pt idx="97">
                  <c:v>22.312935405272778</c:v>
                </c:pt>
                <c:pt idx="98">
                  <c:v>21.057866343231296</c:v>
                </c:pt>
                <c:pt idx="99">
                  <c:v>21.946145186303809</c:v>
                </c:pt>
                <c:pt idx="100">
                  <c:v>21.057866343231296</c:v>
                </c:pt>
                <c:pt idx="101">
                  <c:v>31.564190441232167</c:v>
                </c:pt>
                <c:pt idx="102">
                  <c:v>31.564190441232167</c:v>
                </c:pt>
                <c:pt idx="103">
                  <c:v>46.908329300369168</c:v>
                </c:pt>
                <c:pt idx="104">
                  <c:v>65.592212505043207</c:v>
                </c:pt>
                <c:pt idx="105">
                  <c:v>76.613589872627244</c:v>
                </c:pt>
                <c:pt idx="106">
                  <c:v>89.524339132469606</c:v>
                </c:pt>
                <c:pt idx="107">
                  <c:v>69.952022812469622</c:v>
                </c:pt>
                <c:pt idx="108">
                  <c:v>67.389433832469607</c:v>
                </c:pt>
                <c:pt idx="109">
                  <c:v>69.477480287268122</c:v>
                </c:pt>
                <c:pt idx="110">
                  <c:v>73.940206906742773</c:v>
                </c:pt>
                <c:pt idx="111">
                  <c:v>78.210968570758098</c:v>
                </c:pt>
                <c:pt idx="112">
                  <c:v>71.564520742181656</c:v>
                </c:pt>
                <c:pt idx="113">
                  <c:v>64.206820718830514</c:v>
                </c:pt>
                <c:pt idx="114" formatCode="_(* #,##0.00_);_(* \(#,##0.00\);_(* &quot;-&quot;??_);_(@_)">
                  <c:v>0</c:v>
                </c:pt>
                <c:pt idx="115" formatCode="_(* #,##0.00_);_(* \(#,##0.00\);_(* &quot;-&quot;??_);_(@_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A-4353-A389-8888B28DE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691408"/>
        <c:axId val="407693368"/>
      </c:lineChart>
      <c:catAx>
        <c:axId val="40769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1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Humnst777 Lt BT" panose="020B0402030504020204" pitchFamily="34" charset="0"/>
                <a:ea typeface="Calibri"/>
                <a:cs typeface="Calibri"/>
              </a:defRPr>
            </a:pPr>
            <a:endParaRPr lang="en-US"/>
          </a:p>
        </c:txPr>
        <c:crossAx val="40769336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07693368"/>
        <c:scaling>
          <c:orientation val="minMax"/>
          <c:max val="3000"/>
        </c:scaling>
        <c:delete val="0"/>
        <c:axPos val="l"/>
        <c:majorGridlines/>
        <c:numFmt formatCode="_-* #,##0.0_-;\-* #,##0.0_-;_-* &quot;-&quot;?_-;_-@_-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Humnst777 Lt BT" panose="020B0402030504020204" pitchFamily="34" charset="0"/>
                <a:ea typeface="Calibri"/>
                <a:cs typeface="Calibri"/>
              </a:defRPr>
            </a:pPr>
            <a:endParaRPr lang="en-US"/>
          </a:p>
        </c:txPr>
        <c:crossAx val="407691408"/>
        <c:crosses val="autoZero"/>
        <c:crossBetween val="midCat"/>
      </c:valAx>
    </c:plotArea>
    <c:legend>
      <c:legendPos val="b"/>
      <c:legendEntry>
        <c:idx val="0"/>
        <c:txPr>
          <a:bodyPr/>
          <a:lstStyle/>
          <a:p>
            <a:pPr>
              <a:defRPr sz="1050">
                <a:latin typeface="Humnst777 Lt BT" panose="020B0402030504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50">
                <a:latin typeface="Humnst777 Lt BT" panose="020B0402030504020204" pitchFamily="34" charset="0"/>
              </a:defRPr>
            </a:pPr>
            <a:endParaRPr lang="en-US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0.34688234450879707"/>
          <c:y val="0.86186885537612878"/>
          <c:w val="0.3234426491163081"/>
          <c:h val="0.115532274567374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900">
              <a:latin typeface="Humnst777 Lt BT" panose="020B0402030504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US"/>
              <a:t>Clinical negligence: 15 year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'A.34 (1) Clinical neg'!$A$33</c:f>
              <c:strCache>
                <c:ptCount val="1"/>
                <c:pt idx="0">
                  <c:v>Clinical Negligence (Provision)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'A.34 (1) Clinical neg'!$B$32:$P$32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'A.34 (1) Clinical neg'!$B$33:$P$33</c:f>
              <c:numCache>
                <c:formatCode>_-* #,##0.0_-;\(#,##0.0\);_-* "-"??_-;_-@_-</c:formatCode>
                <c:ptCount val="15"/>
                <c:pt idx="0">
                  <c:v>15.7</c:v>
                </c:pt>
                <c:pt idx="1">
                  <c:v>17.5</c:v>
                </c:pt>
                <c:pt idx="2">
                  <c:v>19.399999999999999</c:v>
                </c:pt>
                <c:pt idx="3">
                  <c:v>24</c:v>
                </c:pt>
                <c:pt idx="4">
                  <c:v>26.6</c:v>
                </c:pt>
                <c:pt idx="5">
                  <c:v>29.3</c:v>
                </c:pt>
                <c:pt idx="6">
                  <c:v>57.6</c:v>
                </c:pt>
                <c:pt idx="7">
                  <c:v>66.599999999999994</c:v>
                </c:pt>
                <c:pt idx="8">
                  <c:v>78.400000000000006</c:v>
                </c:pt>
                <c:pt idx="9">
                  <c:v>85.3</c:v>
                </c:pt>
                <c:pt idx="10">
                  <c:v>86.1</c:v>
                </c:pt>
                <c:pt idx="11">
                  <c:v>87.3</c:v>
                </c:pt>
                <c:pt idx="12">
                  <c:v>131.30000000000001</c:v>
                </c:pt>
                <c:pt idx="13">
                  <c:v>72.400000000000006</c:v>
                </c:pt>
                <c:pt idx="14">
                  <c:v>61.7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C7D-4A82-A86D-1642A015F92E}"/>
            </c:ext>
          </c:extLst>
        </c:ser>
        <c:ser>
          <c:idx val="1"/>
          <c:order val="1"/>
          <c:tx>
            <c:strRef>
              <c:f>'A.34 (1) Clinical neg'!$A$34</c:f>
              <c:strCache>
                <c:ptCount val="1"/>
                <c:pt idx="0">
                  <c:v>Clinical Negligence (CL)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'A.34 (1) Clinical neg'!$B$32:$P$32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'A.34 (1) Clinical neg'!$B$34:$P$34</c:f>
              <c:numCache>
                <c:formatCode>General</c:formatCode>
                <c:ptCount val="15"/>
                <c:pt idx="0">
                  <c:v>7.5</c:v>
                </c:pt>
                <c:pt idx="1">
                  <c:v>7.9</c:v>
                </c:pt>
                <c:pt idx="2">
                  <c:v>8.4</c:v>
                </c:pt>
                <c:pt idx="3">
                  <c:v>10.5</c:v>
                </c:pt>
                <c:pt idx="4">
                  <c:v>11.9</c:v>
                </c:pt>
                <c:pt idx="5">
                  <c:v>14</c:v>
                </c:pt>
                <c:pt idx="6">
                  <c:v>26.7</c:v>
                </c:pt>
                <c:pt idx="7">
                  <c:v>36.5</c:v>
                </c:pt>
                <c:pt idx="8">
                  <c:v>47.3</c:v>
                </c:pt>
                <c:pt idx="9">
                  <c:v>50.8</c:v>
                </c:pt>
                <c:pt idx="10">
                  <c:v>49.7</c:v>
                </c:pt>
                <c:pt idx="11">
                  <c:v>48.9</c:v>
                </c:pt>
                <c:pt idx="12">
                  <c:v>75.2</c:v>
                </c:pt>
                <c:pt idx="13">
                  <c:v>33.4</c:v>
                </c:pt>
                <c:pt idx="14">
                  <c:v>25.7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C7D-4A82-A86D-1642A015F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122536"/>
        <c:axId val="973119656"/>
      </c:barChart>
      <c:lineChart>
        <c:grouping val="standard"/>
        <c:varyColors val="0"/>
        <c:ser>
          <c:idx val="2"/>
          <c:order val="2"/>
          <c:tx>
            <c:strRef>
              <c:f>'A.34 (1) Clinical neg'!$A$35</c:f>
              <c:strCache>
                <c:ptCount val="1"/>
                <c:pt idx="0">
                  <c:v>General provisions long-term discount rate (nominal after 2017-18)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'A.34 (1) Clinical neg'!$B$32:$P$32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'A.34 (1) Clinical neg'!$B$35:$P$35</c:f>
              <c:numCache>
                <c:formatCode>0.0%</c:formatCode>
                <c:ptCount val="15"/>
                <c:pt idx="0">
                  <c:v>2.1999999999999999E-2</c:v>
                </c:pt>
                <c:pt idx="1">
                  <c:v>2.1999999999999999E-2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2.1999999999999999E-2</c:v>
                </c:pt>
                <c:pt idx="5">
                  <c:v>2.1999999999999999E-2</c:v>
                </c:pt>
                <c:pt idx="6">
                  <c:v>-8.0000000000000002E-3</c:v>
                </c:pt>
                <c:pt idx="7">
                  <c:v>-8.0000000000000002E-3</c:v>
                </c:pt>
                <c:pt idx="8">
                  <c:v>1.9900000000000001E-2</c:v>
                </c:pt>
                <c:pt idx="9">
                  <c:v>1.9900000000000001E-2</c:v>
                </c:pt>
                <c:pt idx="10">
                  <c:v>1.9900000000000001E-2</c:v>
                </c:pt>
                <c:pt idx="11">
                  <c:v>1.9900000000000001E-2</c:v>
                </c:pt>
                <c:pt idx="12">
                  <c:v>6.6E-3</c:v>
                </c:pt>
                <c:pt idx="13">
                  <c:v>0.03</c:v>
                </c:pt>
                <c:pt idx="14">
                  <c:v>4.3999999999999997E-2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C7D-4A82-A86D-1642A015F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198248"/>
        <c:axId val="353889408"/>
      </c:lineChart>
      <c:catAx>
        <c:axId val="97312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973119656"/>
        <c:crosses val="autoZero"/>
        <c:auto val="1"/>
        <c:lblAlgn val="ctr"/>
        <c:lblOffset val="100"/>
        <c:noMultiLvlLbl val="0"/>
      </c:catAx>
      <c:valAx>
        <c:axId val="97311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£bn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(#,##0.0\)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973122536"/>
        <c:crosses val="autoZero"/>
        <c:crossBetween val="between"/>
      </c:valAx>
      <c:valAx>
        <c:axId val="3538894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123198248"/>
        <c:crosses val="max"/>
        <c:crossBetween val="between"/>
      </c:valAx>
      <c:catAx>
        <c:axId val="1123198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388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Clinical</a:t>
            </a:r>
            <a:r>
              <a:rPr lang="en-US" sz="1000" baseline="0"/>
              <a:t> negligence: number of new clinical claims and reported incidents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'A.34 (2) Clinical neg'!$A$32</c:f>
              <c:strCache>
                <c:ptCount val="1"/>
                <c:pt idx="0">
                  <c:v>Number of new cases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'A.34 (2) Clinical neg'!$B$31:$P$31</c15:sqref>
                  </c15:fullRef>
                </c:ext>
              </c:extLst>
              <c:f>'A.34 (2) Clinical neg'!$F$31:$P$31</c:f>
              <c:strCache>
                <c:ptCount val="11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'A.34 (2) Clinical neg'!$B$32:$P$32</c15:sqref>
                  </c15:fullRef>
                </c:ext>
              </c:extLst>
              <c:f>'A.34 (2) Clinical neg'!$F$32:$P$32</c:f>
              <c:numCache>
                <c:formatCode>_-* #,##0.0_-;\(#,##0.0\);_-* "-"??_-;_-@_-</c:formatCode>
                <c:ptCount val="11"/>
                <c:pt idx="0">
                  <c:v>11945</c:v>
                </c:pt>
                <c:pt idx="1" formatCode="_-* #,##0_-;\(#,##0\);_-* &quot;-&quot;??_-;_-@_-">
                  <c:v>11497</c:v>
                </c:pt>
                <c:pt idx="2" formatCode="_-* #,##0_-;\(#,##0\);_-* &quot;-&quot;??_-;_-@_-">
                  <c:v>10965</c:v>
                </c:pt>
                <c:pt idx="3" formatCode="_-* #,##0_-;\(#,##0\);_-* &quot;-&quot;??_-;_-@_-">
                  <c:v>10686</c:v>
                </c:pt>
                <c:pt idx="4" formatCode="_-* #,##0_-;\(#,##0\);_-* &quot;-&quot;??_-;_-@_-">
                  <c:v>10672</c:v>
                </c:pt>
                <c:pt idx="5" formatCode="_-* #,##0_-;\(#,##0\);_-* &quot;-&quot;??_-;_-@_-">
                  <c:v>10678</c:v>
                </c:pt>
                <c:pt idx="6" formatCode="_-* #,##0_-;\(#,##0\);_-* &quot;-&quot;??_-;_-@_-">
                  <c:v>11276</c:v>
                </c:pt>
                <c:pt idx="7" formatCode="_-* #,##0_-;\(#,##0\);_-* &quot;-&quot;??_-;_-@_-">
                  <c:v>13295</c:v>
                </c:pt>
                <c:pt idx="8" formatCode="_-* #,##0_-;\(#,##0\);_-* &quot;-&quot;??_-;_-@_-">
                  <c:v>15020</c:v>
                </c:pt>
                <c:pt idx="9" formatCode="_-* #,##0_-;\(#,##0\);_-* &quot;-&quot;??_-;_-@_-">
                  <c:v>13456</c:v>
                </c:pt>
                <c:pt idx="10" formatCode="_-* #,##0_-;\(#,##0\);_-* &quot;-&quot;??_-;_-@_-">
                  <c:v>13718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333-405F-B845-1563EFAF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73122536"/>
        <c:axId val="973119656"/>
        <c:extLst/>
      </c:barChart>
      <c:catAx>
        <c:axId val="97312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119656"/>
        <c:crosses val="autoZero"/>
        <c:auto val="1"/>
        <c:lblAlgn val="ctr"/>
        <c:lblOffset val="100"/>
        <c:noMultiLvlLbl val="0"/>
      </c:catAx>
      <c:valAx>
        <c:axId val="973119656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122536"/>
        <c:crosses val="autoZero"/>
        <c:crossBetween val="between"/>
        <c:majorUnit val="20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'A.10 Assets Liabilities'!$B$28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Liabilities'!$C$28:$Q$28</c:f>
              <c:numCache>
                <c:formatCode>_-* #,##0_-;\-* #,##0_-;_-* "-"??_-;_-@_-</c:formatCode>
                <c:ptCount val="15"/>
                <c:pt idx="0">
                  <c:v>62</c:v>
                </c:pt>
                <c:pt idx="1">
                  <c:v>61.099999999999994</c:v>
                </c:pt>
                <c:pt idx="2">
                  <c:v>61.300000000000004</c:v>
                </c:pt>
                <c:pt idx="3">
                  <c:v>60.6</c:v>
                </c:pt>
                <c:pt idx="4">
                  <c:v>59.3</c:v>
                </c:pt>
                <c:pt idx="5">
                  <c:v>61.3</c:v>
                </c:pt>
                <c:pt idx="6">
                  <c:v>60.1</c:v>
                </c:pt>
                <c:pt idx="7">
                  <c:v>65.100000000000009</c:v>
                </c:pt>
                <c:pt idx="8">
                  <c:v>74.2</c:v>
                </c:pt>
                <c:pt idx="9">
                  <c:v>71.5</c:v>
                </c:pt>
                <c:pt idx="10">
                  <c:v>76.600000000000009</c:v>
                </c:pt>
                <c:pt idx="11">
                  <c:v>75.899999999999991</c:v>
                </c:pt>
                <c:pt idx="12">
                  <c:v>73.2</c:v>
                </c:pt>
                <c:pt idx="13">
                  <c:v>76.3</c:v>
                </c:pt>
                <c:pt idx="14">
                  <c:v>80.500000000000014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9-4B07-ACA0-AD3D4CAF4FDE}"/>
            </c:ext>
          </c:extLst>
        </c:ser>
        <c:ser>
          <c:idx val="1"/>
          <c:order val="1"/>
          <c:tx>
            <c:strRef>
              <c:f>'A.10 Assets Liabilities'!$B$29</c:f>
              <c:strCache>
                <c:ptCount val="1"/>
                <c:pt idx="0">
                  <c:v>Property, plant and equipment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Liabilities'!$C$29:$Q$29</c:f>
              <c:numCache>
                <c:formatCode>_-* #,##0_-;\-* #,##0_-;_-* "-"??_-;_-@_-</c:formatCode>
                <c:ptCount val="15"/>
                <c:pt idx="0">
                  <c:v>712.8</c:v>
                </c:pt>
                <c:pt idx="1">
                  <c:v>714</c:v>
                </c:pt>
                <c:pt idx="2">
                  <c:v>744.5</c:v>
                </c:pt>
                <c:pt idx="3">
                  <c:v>746.8</c:v>
                </c:pt>
                <c:pt idx="4">
                  <c:v>812.3</c:v>
                </c:pt>
                <c:pt idx="5">
                  <c:v>1075.8</c:v>
                </c:pt>
                <c:pt idx="6">
                  <c:v>1120.2</c:v>
                </c:pt>
                <c:pt idx="7">
                  <c:v>1167.5999999999999</c:v>
                </c:pt>
                <c:pt idx="8">
                  <c:v>1208.4000000000001</c:v>
                </c:pt>
                <c:pt idx="9">
                  <c:v>1268</c:v>
                </c:pt>
                <c:pt idx="10">
                  <c:v>1313.3</c:v>
                </c:pt>
                <c:pt idx="11">
                  <c:v>1270.3</c:v>
                </c:pt>
                <c:pt idx="12">
                  <c:v>1340.4</c:v>
                </c:pt>
                <c:pt idx="13">
                  <c:v>1464.1</c:v>
                </c:pt>
                <c:pt idx="14">
                  <c:v>1567.1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9-4B07-ACA0-AD3D4CAF4FDE}"/>
            </c:ext>
          </c:extLst>
        </c:ser>
        <c:ser>
          <c:idx val="2"/>
          <c:order val="2"/>
          <c:tx>
            <c:strRef>
              <c:f>'A.10 Assets Liabilities'!$B$30</c:f>
              <c:strCache>
                <c:ptCount val="1"/>
                <c:pt idx="0">
                  <c:v>Trade and other receivables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Liabilities'!$C$30:$Q$30</c:f>
              <c:numCache>
                <c:formatCode>_-* #,##0_-;\-* #,##0_-;_-* "-"??_-;_-@_-</c:formatCode>
                <c:ptCount val="15"/>
                <c:pt idx="0">
                  <c:v>139.4</c:v>
                </c:pt>
                <c:pt idx="1">
                  <c:v>145.1</c:v>
                </c:pt>
                <c:pt idx="2">
                  <c:v>141.9</c:v>
                </c:pt>
                <c:pt idx="3">
                  <c:v>138.9</c:v>
                </c:pt>
                <c:pt idx="4">
                  <c:v>149.6</c:v>
                </c:pt>
                <c:pt idx="5">
                  <c:v>145.89999999999998</c:v>
                </c:pt>
                <c:pt idx="6">
                  <c:v>154.70000000000002</c:v>
                </c:pt>
                <c:pt idx="7">
                  <c:v>173.2</c:v>
                </c:pt>
                <c:pt idx="8">
                  <c:v>179.9</c:v>
                </c:pt>
                <c:pt idx="9">
                  <c:v>190.3</c:v>
                </c:pt>
                <c:pt idx="10">
                  <c:v>182</c:v>
                </c:pt>
                <c:pt idx="11">
                  <c:v>202.9</c:v>
                </c:pt>
                <c:pt idx="12">
                  <c:v>215.6</c:v>
                </c:pt>
                <c:pt idx="13">
                  <c:v>232.89999999999998</c:v>
                </c:pt>
                <c:pt idx="14">
                  <c:v>239.1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29-4B07-ACA0-AD3D4CAF4FDE}"/>
            </c:ext>
          </c:extLst>
        </c:ser>
        <c:ser>
          <c:idx val="3"/>
          <c:order val="3"/>
          <c:tx>
            <c:strRef>
              <c:f>'A.10 Assets Liabilities'!$B$31</c:f>
              <c:strCache>
                <c:ptCount val="1"/>
                <c:pt idx="0">
                  <c:v>Trade and other payables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Liabilities'!$C$31:$Q$31</c:f>
              <c:numCache>
                <c:formatCode>_-* #,##0_-;\-* #,##0_-;_-* "-"??_-;_-@_-</c:formatCode>
                <c:ptCount val="15"/>
                <c:pt idx="0">
                  <c:v>-177.1</c:v>
                </c:pt>
                <c:pt idx="1">
                  <c:v>-148.39999999999998</c:v>
                </c:pt>
                <c:pt idx="2">
                  <c:v>-158.9</c:v>
                </c:pt>
                <c:pt idx="3">
                  <c:v>-153.5</c:v>
                </c:pt>
                <c:pt idx="4">
                  <c:v>-173</c:v>
                </c:pt>
                <c:pt idx="5">
                  <c:v>-172.89999999999998</c:v>
                </c:pt>
                <c:pt idx="6">
                  <c:v>-180.2</c:v>
                </c:pt>
                <c:pt idx="7">
                  <c:v>-185.6</c:v>
                </c:pt>
                <c:pt idx="8">
                  <c:v>-191.2</c:v>
                </c:pt>
                <c:pt idx="9">
                  <c:v>-191.9</c:v>
                </c:pt>
                <c:pt idx="10">
                  <c:v>-201.1</c:v>
                </c:pt>
                <c:pt idx="11">
                  <c:v>-221.3</c:v>
                </c:pt>
                <c:pt idx="12">
                  <c:v>-212.60000000000002</c:v>
                </c:pt>
                <c:pt idx="13">
                  <c:v>-216.3</c:v>
                </c:pt>
                <c:pt idx="14">
                  <c:v>-228.3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29-4B07-ACA0-AD3D4CAF4FDE}"/>
            </c:ext>
          </c:extLst>
        </c:ser>
        <c:ser>
          <c:idx val="4"/>
          <c:order val="4"/>
          <c:tx>
            <c:strRef>
              <c:f>'A.10 Assets Liabilities'!$B$32</c:f>
              <c:strCache>
                <c:ptCount val="1"/>
                <c:pt idx="0">
                  <c:v>Other financial assets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Liabilities'!$C$32:$Q$32</c:f>
              <c:numCache>
                <c:formatCode>_-* #,##0_-;\-* #,##0_-;_-* "-"??_-;_-@_-</c:formatCode>
                <c:ptCount val="15"/>
                <c:pt idx="0">
                  <c:v>335.3</c:v>
                </c:pt>
                <c:pt idx="1">
                  <c:v>314.10000000000002</c:v>
                </c:pt>
                <c:pt idx="2">
                  <c:v>322.89999999999998</c:v>
                </c:pt>
                <c:pt idx="3">
                  <c:v>351.2</c:v>
                </c:pt>
                <c:pt idx="4">
                  <c:v>393.7</c:v>
                </c:pt>
                <c:pt idx="5">
                  <c:v>400.3</c:v>
                </c:pt>
                <c:pt idx="6">
                  <c:v>407.40000000000003</c:v>
                </c:pt>
                <c:pt idx="7">
                  <c:v>497.09999999999997</c:v>
                </c:pt>
                <c:pt idx="8">
                  <c:v>551.29999999999995</c:v>
                </c:pt>
                <c:pt idx="9">
                  <c:v>569.00000000000011</c:v>
                </c:pt>
                <c:pt idx="10">
                  <c:v>566.6</c:v>
                </c:pt>
                <c:pt idx="11">
                  <c:v>657.6</c:v>
                </c:pt>
                <c:pt idx="12">
                  <c:v>785.1</c:v>
                </c:pt>
                <c:pt idx="13">
                  <c:v>781</c:v>
                </c:pt>
                <c:pt idx="14">
                  <c:v>764.6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29-4B07-ACA0-AD3D4CAF4FDE}"/>
            </c:ext>
          </c:extLst>
        </c:ser>
        <c:ser>
          <c:idx val="5"/>
          <c:order val="5"/>
          <c:tx>
            <c:strRef>
              <c:f>'A.10 Assets Liabilities'!$B$33</c:f>
              <c:strCache>
                <c:ptCount val="1"/>
                <c:pt idx="0">
                  <c:v>Public sector pensions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Liabilities'!$C$33:$Q$33</c:f>
              <c:numCache>
                <c:formatCode>_-* #,##0_-;\-* #,##0_-;_-* "-"??_-;_-@_-</c:formatCode>
                <c:ptCount val="15"/>
                <c:pt idx="0">
                  <c:v>-1134.7</c:v>
                </c:pt>
                <c:pt idx="1">
                  <c:v>-961</c:v>
                </c:pt>
                <c:pt idx="2">
                  <c:v>-1005.8</c:v>
                </c:pt>
                <c:pt idx="3">
                  <c:v>-1171.9000000000001</c:v>
                </c:pt>
                <c:pt idx="4">
                  <c:v>-1303.0999999999999</c:v>
                </c:pt>
                <c:pt idx="5">
                  <c:v>-1493.3</c:v>
                </c:pt>
                <c:pt idx="6">
                  <c:v>-1424.7</c:v>
                </c:pt>
                <c:pt idx="7">
                  <c:v>-1834.7</c:v>
                </c:pt>
                <c:pt idx="8">
                  <c:v>-1865.3</c:v>
                </c:pt>
                <c:pt idx="9">
                  <c:v>-1893.8504840000001</c:v>
                </c:pt>
                <c:pt idx="10">
                  <c:v>-2189.5</c:v>
                </c:pt>
                <c:pt idx="11">
                  <c:v>-2306.1999999999998</c:v>
                </c:pt>
                <c:pt idx="12">
                  <c:v>-2639.1</c:v>
                </c:pt>
                <c:pt idx="13">
                  <c:v>-1415</c:v>
                </c:pt>
                <c:pt idx="14">
                  <c:v>-1311.9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29-4B07-ACA0-AD3D4CAF4FDE}"/>
            </c:ext>
          </c:extLst>
        </c:ser>
        <c:ser>
          <c:idx val="6"/>
          <c:order val="6"/>
          <c:tx>
            <c:strRef>
              <c:f>'A.10 Assets Liabilities'!$B$34</c:f>
              <c:strCache>
                <c:ptCount val="1"/>
                <c:pt idx="0">
                  <c:v>Other financial liabilities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Liabilities'!$C$34:$Q$34</c:f>
              <c:numCache>
                <c:formatCode>_-* #,##0_-;\-* #,##0_-;_-* "-"??_-;_-@_-</c:formatCode>
                <c:ptCount val="15"/>
                <c:pt idx="0">
                  <c:v>-281.60000000000002</c:v>
                </c:pt>
                <c:pt idx="1">
                  <c:v>-295.39999999999998</c:v>
                </c:pt>
                <c:pt idx="2">
                  <c:v>-374.3</c:v>
                </c:pt>
                <c:pt idx="3">
                  <c:v>-472.79999999999995</c:v>
                </c:pt>
                <c:pt idx="4">
                  <c:v>-528.70000000000005</c:v>
                </c:pt>
                <c:pt idx="5">
                  <c:v>-542.5</c:v>
                </c:pt>
                <c:pt idx="6">
                  <c:v>-557.4</c:v>
                </c:pt>
                <c:pt idx="7">
                  <c:v>-692.19999999999993</c:v>
                </c:pt>
                <c:pt idx="8">
                  <c:v>-752.8</c:v>
                </c:pt>
                <c:pt idx="9">
                  <c:v>-750.2</c:v>
                </c:pt>
                <c:pt idx="10">
                  <c:v>-761.9</c:v>
                </c:pt>
                <c:pt idx="11">
                  <c:v>-1118.8</c:v>
                </c:pt>
                <c:pt idx="12">
                  <c:v>-1334</c:v>
                </c:pt>
                <c:pt idx="13">
                  <c:v>-1251.2</c:v>
                </c:pt>
                <c:pt idx="14">
                  <c:v>-1202.0999999999999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29-4B07-ACA0-AD3D4CAF4FDE}"/>
            </c:ext>
          </c:extLst>
        </c:ser>
        <c:ser>
          <c:idx val="7"/>
          <c:order val="7"/>
          <c:tx>
            <c:strRef>
              <c:f>'A.10 Assets Liabilities'!$B$35</c:f>
              <c:strCache>
                <c:ptCount val="1"/>
                <c:pt idx="0">
                  <c:v>Government Borrowings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Liabilities'!$C$35:$Q$35</c:f>
              <c:numCache>
                <c:formatCode>_-* #,##0_-;\-* #,##0_-;_-* "-"??_-;_-@_-</c:formatCode>
                <c:ptCount val="15"/>
                <c:pt idx="0">
                  <c:v>-781.8</c:v>
                </c:pt>
                <c:pt idx="1">
                  <c:v>-908.2</c:v>
                </c:pt>
                <c:pt idx="2">
                  <c:v>-965.5</c:v>
                </c:pt>
                <c:pt idx="3">
                  <c:v>-996.2</c:v>
                </c:pt>
                <c:pt idx="4">
                  <c:v>-1096.1000000000001</c:v>
                </c:pt>
                <c:pt idx="5">
                  <c:v>-1174.5</c:v>
                </c:pt>
                <c:pt idx="6">
                  <c:v>-1260.5999999999999</c:v>
                </c:pt>
                <c:pt idx="7">
                  <c:v>-1289</c:v>
                </c:pt>
                <c:pt idx="8">
                  <c:v>-1347.4</c:v>
                </c:pt>
                <c:pt idx="9">
                  <c:v>-1407.2</c:v>
                </c:pt>
                <c:pt idx="10">
                  <c:v>-1445.4</c:v>
                </c:pt>
                <c:pt idx="11">
                  <c:v>-1520.3</c:v>
                </c:pt>
                <c:pt idx="12">
                  <c:v>-1575.7</c:v>
                </c:pt>
                <c:pt idx="13">
                  <c:v>-1754</c:v>
                </c:pt>
                <c:pt idx="14">
                  <c:v>-2020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29-4B07-ACA0-AD3D4CAF4FDE}"/>
            </c:ext>
          </c:extLst>
        </c:ser>
        <c:ser>
          <c:idx val="8"/>
          <c:order val="8"/>
          <c:tx>
            <c:strRef>
              <c:f>'A.10 Assets Liabilities'!$B$36</c:f>
              <c:strCache>
                <c:ptCount val="1"/>
                <c:pt idx="0">
                  <c:v>Provisions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Liabilities'!$C$36:$Q$36</c:f>
              <c:numCache>
                <c:formatCode>_-* #,##0_-;\-* #,##0_-;_-* "-"??_-;_-@_-</c:formatCode>
                <c:ptCount val="15"/>
                <c:pt idx="0">
                  <c:v>-102.2</c:v>
                </c:pt>
                <c:pt idx="1">
                  <c:v>-107</c:v>
                </c:pt>
                <c:pt idx="2">
                  <c:v>-113</c:v>
                </c:pt>
                <c:pt idx="3">
                  <c:v>-131</c:v>
                </c:pt>
                <c:pt idx="4">
                  <c:v>-154.6</c:v>
                </c:pt>
                <c:pt idx="5">
                  <c:v>-175.3</c:v>
                </c:pt>
                <c:pt idx="6">
                  <c:v>-305.5</c:v>
                </c:pt>
                <c:pt idx="7">
                  <c:v>-322.20000000000005</c:v>
                </c:pt>
                <c:pt idx="8">
                  <c:v>-422.5</c:v>
                </c:pt>
                <c:pt idx="9">
                  <c:v>-311.39999999999998</c:v>
                </c:pt>
                <c:pt idx="10">
                  <c:v>-374.79999999999995</c:v>
                </c:pt>
                <c:pt idx="11">
                  <c:v>-366.4</c:v>
                </c:pt>
                <c:pt idx="12">
                  <c:v>-527.80000000000007</c:v>
                </c:pt>
                <c:pt idx="13">
                  <c:v>-306.90000000000003</c:v>
                </c:pt>
                <c:pt idx="14">
                  <c:v>-262.2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29-4B07-ACA0-AD3D4CAF4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203490712"/>
        <c:axId val="1203486392"/>
      </c:barChart>
      <c:lineChart>
        <c:grouping val="standard"/>
        <c:varyColors val="0"/>
        <c:ser>
          <c:idx val="9"/>
          <c:order val="9"/>
          <c:tx>
            <c:strRef>
              <c:f>'A.10 Assets Liabilities'!$B$37</c:f>
              <c:strCache>
                <c:ptCount val="1"/>
                <c:pt idx="0">
                  <c:v>WGA net liabilities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'A.10 Assets Liabilities'!$C$27:$Q$27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'A.10 Assets Liabilities'!$C$37:$Q$37</c:f>
              <c:numCache>
                <c:formatCode>_-* #,##0_-;\-* #,##0_-;_-* "-"??_-;_-@_-</c:formatCode>
                <c:ptCount val="15"/>
                <c:pt idx="0">
                  <c:v>-1227.9000000000003</c:v>
                </c:pt>
                <c:pt idx="1">
                  <c:v>-1185.6999999999998</c:v>
                </c:pt>
                <c:pt idx="2">
                  <c:v>-1346.9</c:v>
                </c:pt>
                <c:pt idx="3">
                  <c:v>-1627.9</c:v>
                </c:pt>
                <c:pt idx="4">
                  <c:v>-1840.6000000000001</c:v>
                </c:pt>
                <c:pt idx="5">
                  <c:v>-1875.2</c:v>
                </c:pt>
                <c:pt idx="6">
                  <c:v>-1986</c:v>
                </c:pt>
                <c:pt idx="7">
                  <c:v>-2420.6999999999998</c:v>
                </c:pt>
                <c:pt idx="8">
                  <c:v>-2565.3999999999996</c:v>
                </c:pt>
                <c:pt idx="9">
                  <c:v>-2455.7504840000001</c:v>
                </c:pt>
                <c:pt idx="10">
                  <c:v>-2834.2</c:v>
                </c:pt>
                <c:pt idx="11">
                  <c:v>-3326.2999999999997</c:v>
                </c:pt>
                <c:pt idx="12">
                  <c:v>-3874.9000000000005</c:v>
                </c:pt>
                <c:pt idx="13">
                  <c:v>-2389.1</c:v>
                </c:pt>
                <c:pt idx="14">
                  <c:v>-2373.1999999999998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29-4B07-ACA0-AD3D4CAF4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490712"/>
        <c:axId val="1203486392"/>
      </c:lineChart>
      <c:catAx>
        <c:axId val="120349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03486392"/>
        <c:crosses val="autoZero"/>
        <c:auto val="1"/>
        <c:lblAlgn val="ctr"/>
        <c:lblOffset val="100"/>
        <c:noMultiLvlLbl val="0"/>
      </c:catAx>
      <c:valAx>
        <c:axId val="120348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03490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812024856119729E-2"/>
          <c:y val="0.77879197494805785"/>
          <c:w val="0.87909246949797448"/>
          <c:h val="0.21943747807131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'A.35 Deposits by banks'!$B$29</c:f>
              <c:strCache>
                <c:ptCount val="1"/>
                <c:pt idx="0">
                  <c:v>   Current deposits by banks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'A.35 Deposits by banks'!$C$28:$Q$28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'A.35 Deposits by banks'!$C$29:$Q$29</c:f>
              <c:numCache>
                <c:formatCode>_-* #,##0.0_-;\-* #,##0.0_-;_-* "-"??_-;_-@_-</c:formatCode>
                <c:ptCount val="15"/>
                <c:pt idx="0">
                  <c:v>206.3</c:v>
                </c:pt>
                <c:pt idx="1">
                  <c:v>189.3</c:v>
                </c:pt>
                <c:pt idx="2">
                  <c:v>267.2</c:v>
                </c:pt>
                <c:pt idx="3">
                  <c:v>334.2</c:v>
                </c:pt>
                <c:pt idx="4">
                  <c:v>353.9</c:v>
                </c:pt>
                <c:pt idx="5">
                  <c:v>354.9</c:v>
                </c:pt>
                <c:pt idx="6">
                  <c:v>357.3</c:v>
                </c:pt>
                <c:pt idx="7">
                  <c:v>481.2</c:v>
                </c:pt>
                <c:pt idx="8">
                  <c:v>555.79999999999995</c:v>
                </c:pt>
                <c:pt idx="9">
                  <c:v>554.03753699999993</c:v>
                </c:pt>
                <c:pt idx="10">
                  <c:v>555.6</c:v>
                </c:pt>
                <c:pt idx="11">
                  <c:v>812.6</c:v>
                </c:pt>
                <c:pt idx="12">
                  <c:v>885.5</c:v>
                </c:pt>
                <c:pt idx="13">
                  <c:v>769.8</c:v>
                </c:pt>
                <c:pt idx="14">
                  <c:v>681.8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3-415D-A768-984C72E8F853}"/>
            </c:ext>
          </c:extLst>
        </c:ser>
        <c:ser>
          <c:idx val="1"/>
          <c:order val="1"/>
          <c:tx>
            <c:strRef>
              <c:f>'A.35 Deposits by banks'!$B$30</c:f>
              <c:strCache>
                <c:ptCount val="1"/>
                <c:pt idx="0">
                  <c:v>   Non-current deposits by bank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'A.35 Deposits by banks'!$C$28:$Q$28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'A.35 Deposits by banks'!$C$30:$P$30</c:f>
              <c:numCache>
                <c:formatCode>_-* #,##0.0_-;\-* #,##0.0_-;_-* "-"??_-;_-@_-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</c:v>
                </c:pt>
                <c:pt idx="6">
                  <c:v>3.5</c:v>
                </c:pt>
                <c:pt idx="7">
                  <c:v>3.8</c:v>
                </c:pt>
                <c:pt idx="8">
                  <c:v>2.2999999999999998</c:v>
                </c:pt>
                <c:pt idx="9">
                  <c:v>2.8</c:v>
                </c:pt>
                <c:pt idx="10">
                  <c:v>4</c:v>
                </c:pt>
                <c:pt idx="11">
                  <c:v>2.2999999999999998</c:v>
                </c:pt>
                <c:pt idx="12">
                  <c:v>2.4</c:v>
                </c:pt>
                <c:pt idx="13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3-415D-A768-984C72E8F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2631592"/>
        <c:axId val="1287601768"/>
      </c:barChart>
      <c:catAx>
        <c:axId val="149263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87601768"/>
        <c:crosses val="autoZero"/>
        <c:auto val="1"/>
        <c:lblAlgn val="ctr"/>
        <c:lblOffset val="100"/>
        <c:noMultiLvlLbl val="0"/>
      </c:catAx>
      <c:valAx>
        <c:axId val="1287601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492631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11682002230632E-2"/>
          <c:y val="0.22640065577512725"/>
          <c:w val="0.59622517063087976"/>
          <c:h val="0.5484980178597265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'A.36 I&amp;E'!$A$34</c:f>
              <c:strCache>
                <c:ptCount val="1"/>
                <c:pt idx="0">
                  <c:v>Expenditure on public services</c:v>
                </c:pt>
              </c:strCache>
            </c:strRef>
          </c:tx>
          <c:spPr>
            <a:solidFill>
              <a:srgbClr val="D6594C"/>
            </a:solidFill>
            <a:ln>
              <a:noFill/>
            </a:ln>
            <a:effectLst/>
          </c:spPr>
          <c:invertIfNegative val="0"/>
          <c:cat>
            <c:strRef>
              <c:f>'A.36 I&amp;E'!$B$31:$P$31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'A.36 I&amp;E'!$B$34:$P$34</c:f>
              <c:numCache>
                <c:formatCode>_-* #,##0.0_-;\(#,##0.0\);_-* "-"??_-;_-@_-</c:formatCode>
                <c:ptCount val="15"/>
                <c:pt idx="0">
                  <c:v>-667.2</c:v>
                </c:pt>
                <c:pt idx="1">
                  <c:v>-624.9</c:v>
                </c:pt>
                <c:pt idx="2">
                  <c:v>-715.1</c:v>
                </c:pt>
                <c:pt idx="3">
                  <c:v>-717.30000000000007</c:v>
                </c:pt>
                <c:pt idx="4">
                  <c:v>-718.40000000000009</c:v>
                </c:pt>
                <c:pt idx="5">
                  <c:v>-751.3</c:v>
                </c:pt>
                <c:pt idx="6">
                  <c:v>-742.2</c:v>
                </c:pt>
                <c:pt idx="7">
                  <c:v>-760.69999999999993</c:v>
                </c:pt>
                <c:pt idx="8">
                  <c:v>-808.78520900000001</c:v>
                </c:pt>
                <c:pt idx="9">
                  <c:v>-851.8</c:v>
                </c:pt>
                <c:pt idx="10">
                  <c:v>-918.69999999999993</c:v>
                </c:pt>
                <c:pt idx="11">
                  <c:v>-1062.9999999999998</c:v>
                </c:pt>
                <c:pt idx="12">
                  <c:v>-1044.4000000000001</c:v>
                </c:pt>
                <c:pt idx="13">
                  <c:v>-1133.5999999999999</c:v>
                </c:pt>
                <c:pt idx="14">
                  <c:v>-1076.3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E-4034-B2DB-FD5DC7706FF8}"/>
            </c:ext>
          </c:extLst>
        </c:ser>
        <c:ser>
          <c:idx val="3"/>
          <c:order val="1"/>
          <c:tx>
            <c:strRef>
              <c:f>'A.36 I&amp;E'!$A$35</c:f>
              <c:strCache>
                <c:ptCount val="1"/>
                <c:pt idx="0">
                  <c:v>Other expenditure</c:v>
                </c:pt>
              </c:strCache>
            </c:strRef>
          </c:tx>
          <c:spPr>
            <a:solidFill>
              <a:srgbClr val="E7A099"/>
            </a:solidFill>
            <a:ln>
              <a:noFill/>
            </a:ln>
            <a:effectLst/>
          </c:spPr>
          <c:invertIfNegative val="0"/>
          <c:cat>
            <c:strRef>
              <c:f>'A.36 I&amp;E'!$B$31:$P$31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'A.36 I&amp;E'!$B$35:$P$35</c:f>
              <c:numCache>
                <c:formatCode>_-* #,##0.0_-;\(#,##0.0\);_-* "-"??_-;_-@_-</c:formatCode>
                <c:ptCount val="15"/>
                <c:pt idx="0">
                  <c:v>-78.899999999999991</c:v>
                </c:pt>
                <c:pt idx="1">
                  <c:v>-83.5</c:v>
                </c:pt>
                <c:pt idx="2">
                  <c:v>-86.8</c:v>
                </c:pt>
                <c:pt idx="3">
                  <c:v>-82.100000000000009</c:v>
                </c:pt>
                <c:pt idx="4">
                  <c:v>-80.2</c:v>
                </c:pt>
                <c:pt idx="5">
                  <c:v>-60.599999999999994</c:v>
                </c:pt>
                <c:pt idx="6">
                  <c:v>-195.5</c:v>
                </c:pt>
                <c:pt idx="7">
                  <c:v>-57.9</c:v>
                </c:pt>
                <c:pt idx="8">
                  <c:v>-158.5</c:v>
                </c:pt>
                <c:pt idx="9">
                  <c:v>57.7</c:v>
                </c:pt>
                <c:pt idx="10">
                  <c:v>-86.4</c:v>
                </c:pt>
                <c:pt idx="11">
                  <c:v>-72.900000000000006</c:v>
                </c:pt>
                <c:pt idx="12">
                  <c:v>-196.79999999999998</c:v>
                </c:pt>
                <c:pt idx="13">
                  <c:v>173.70000000000002</c:v>
                </c:pt>
                <c:pt idx="14">
                  <c:v>-90.2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E-4034-B2DB-FD5DC7706FF8}"/>
            </c:ext>
          </c:extLst>
        </c:ser>
        <c:ser>
          <c:idx val="1"/>
          <c:order val="2"/>
          <c:tx>
            <c:strRef>
              <c:f>'A.36 I&amp;E'!$A$32</c:f>
              <c:strCache>
                <c:ptCount val="1"/>
                <c:pt idx="0">
                  <c:v>Tax revenue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cat>
            <c:strRef>
              <c:f>'A.36 I&amp;E'!$B$31:$P$31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'A.36 I&amp;E'!$B$32:$P$32</c:f>
              <c:numCache>
                <c:formatCode>_-* #,##0.0_-;\(#,##0.0\);_-* "-"??_-;_-@_-</c:formatCode>
                <c:ptCount val="15"/>
                <c:pt idx="0">
                  <c:v>536.29999999999995</c:v>
                </c:pt>
                <c:pt idx="1">
                  <c:v>565.20000000000005</c:v>
                </c:pt>
                <c:pt idx="2">
                  <c:v>565.5</c:v>
                </c:pt>
                <c:pt idx="3">
                  <c:v>567.1</c:v>
                </c:pt>
                <c:pt idx="4">
                  <c:v>594.79999999999995</c:v>
                </c:pt>
                <c:pt idx="5">
                  <c:v>566.70000000000005</c:v>
                </c:pt>
                <c:pt idx="6">
                  <c:v>592.6</c:v>
                </c:pt>
                <c:pt idx="7">
                  <c:v>628.1</c:v>
                </c:pt>
                <c:pt idx="8">
                  <c:v>661.6</c:v>
                </c:pt>
                <c:pt idx="9">
                  <c:v>685.7</c:v>
                </c:pt>
                <c:pt idx="10">
                  <c:v>696.7</c:v>
                </c:pt>
                <c:pt idx="11">
                  <c:v>650.70000000000005</c:v>
                </c:pt>
                <c:pt idx="12">
                  <c:v>774.7</c:v>
                </c:pt>
                <c:pt idx="13">
                  <c:v>857.7</c:v>
                </c:pt>
                <c:pt idx="14">
                  <c:v>888.8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E-4034-B2DB-FD5DC7706FF8}"/>
            </c:ext>
          </c:extLst>
        </c:ser>
        <c:ser>
          <c:idx val="0"/>
          <c:order val="3"/>
          <c:tx>
            <c:strRef>
              <c:f>'A.36 I&amp;E'!$A$33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rgbClr val="B3B3B3"/>
            </a:solidFill>
            <a:ln>
              <a:noFill/>
            </a:ln>
            <a:effectLst/>
          </c:spPr>
          <c:invertIfNegative val="0"/>
          <c:cat>
            <c:strRef>
              <c:f>'A.36 I&amp;E'!$B$31:$P$31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'A.36 I&amp;E'!$B$33:$P$33</c:f>
              <c:numCache>
                <c:formatCode>_-* #,##0.0_-;\(#,##0.0\);_-* "-"??_-;_-@_-</c:formatCode>
                <c:ptCount val="15"/>
                <c:pt idx="0">
                  <c:v>47.1</c:v>
                </c:pt>
                <c:pt idx="1">
                  <c:v>48.8</c:v>
                </c:pt>
                <c:pt idx="2">
                  <c:v>51.1</c:v>
                </c:pt>
                <c:pt idx="3">
                  <c:v>53.6</c:v>
                </c:pt>
                <c:pt idx="4">
                  <c:v>58.1</c:v>
                </c:pt>
                <c:pt idx="5">
                  <c:v>93.2</c:v>
                </c:pt>
                <c:pt idx="6">
                  <c:v>101.3</c:v>
                </c:pt>
                <c:pt idx="7">
                  <c:v>92.7</c:v>
                </c:pt>
                <c:pt idx="8">
                  <c:v>102.893809</c:v>
                </c:pt>
                <c:pt idx="9">
                  <c:v>109.9</c:v>
                </c:pt>
                <c:pt idx="10">
                  <c:v>116.6</c:v>
                </c:pt>
                <c:pt idx="11">
                  <c:v>80.8</c:v>
                </c:pt>
                <c:pt idx="12">
                  <c:v>106.9</c:v>
                </c:pt>
                <c:pt idx="13">
                  <c:v>116.8</c:v>
                </c:pt>
                <c:pt idx="14">
                  <c:v>131.1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E-4034-B2DB-FD5DC770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9349344"/>
        <c:axId val="289355616"/>
      </c:barChart>
      <c:lineChart>
        <c:grouping val="standard"/>
        <c:varyColors val="0"/>
        <c:ser>
          <c:idx val="4"/>
          <c:order val="4"/>
          <c:tx>
            <c:strRef>
              <c:f>'A.36 I&amp;E'!$A$36</c:f>
              <c:strCache>
                <c:ptCount val="1"/>
                <c:pt idx="0">
                  <c:v>Net expenditure on public services</c:v>
                </c:pt>
              </c:strCache>
            </c:strRef>
          </c:tx>
          <c:spPr>
            <a:ln w="28575" cap="rnd">
              <a:solidFill>
                <a:srgbClr val="191919"/>
              </a:solidFill>
              <a:round/>
            </a:ln>
            <a:effectLst/>
          </c:spPr>
          <c:marker>
            <c:symbol val="none"/>
          </c:marker>
          <c:cat>
            <c:strRef>
              <c:f>'A.36 I&amp;E'!$F$31:$L$31</c:f>
              <c:strCache>
                <c:ptCount val="7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</c:strCache>
            </c:strRef>
          </c:cat>
          <c:val>
            <c:numRef>
              <c:f>'A.36 I&amp;E'!$B$36:$P$36</c:f>
              <c:numCache>
                <c:formatCode>_-* #,##0.0_-;\(#,##0.0\);_-* "-"??_-;_-@_-</c:formatCode>
                <c:ptCount val="15"/>
                <c:pt idx="0">
                  <c:v>-83.800000000000068</c:v>
                </c:pt>
                <c:pt idx="1">
                  <c:v>-10.899999999999977</c:v>
                </c:pt>
                <c:pt idx="2">
                  <c:v>-98.5</c:v>
                </c:pt>
                <c:pt idx="3">
                  <c:v>-96.600000000000023</c:v>
                </c:pt>
                <c:pt idx="4">
                  <c:v>-65.500000000000114</c:v>
                </c:pt>
                <c:pt idx="5">
                  <c:v>-91.399999999999864</c:v>
                </c:pt>
                <c:pt idx="6">
                  <c:v>-48.300000000000068</c:v>
                </c:pt>
                <c:pt idx="7">
                  <c:v>-39.899999999999864</c:v>
                </c:pt>
                <c:pt idx="8">
                  <c:v>-44.291399999999953</c:v>
                </c:pt>
                <c:pt idx="9">
                  <c:v>-56.199999999999932</c:v>
                </c:pt>
                <c:pt idx="10">
                  <c:v>-105.39999999999986</c:v>
                </c:pt>
                <c:pt idx="11">
                  <c:v>-331.49999999999977</c:v>
                </c:pt>
                <c:pt idx="12">
                  <c:v>-162.80000000000007</c:v>
                </c:pt>
                <c:pt idx="13">
                  <c:v>-159.09999999999991</c:v>
                </c:pt>
                <c:pt idx="14">
                  <c:v>-56.4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AE-4034-B2DB-FD5DC7706FF8}"/>
            </c:ext>
          </c:extLst>
        </c:ser>
        <c:ser>
          <c:idx val="5"/>
          <c:order val="5"/>
          <c:tx>
            <c:strRef>
              <c:f>'A.36 I&amp;E'!$A$37</c:f>
              <c:strCache>
                <c:ptCount val="1"/>
                <c:pt idx="0">
                  <c:v>Total net expenditure</c:v>
                </c:pt>
              </c:strCache>
            </c:strRef>
          </c:tx>
          <c:spPr>
            <a:ln w="28575" cap="rnd">
              <a:solidFill>
                <a:srgbClr val="C40012"/>
              </a:solidFill>
              <a:round/>
            </a:ln>
            <a:effectLst/>
          </c:spPr>
          <c:marker>
            <c:symbol val="none"/>
          </c:marker>
          <c:cat>
            <c:strRef>
              <c:f>'A.36 I&amp;E'!$F$31:$L$31</c:f>
              <c:strCache>
                <c:ptCount val="7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</c:strCache>
            </c:strRef>
          </c:cat>
          <c:val>
            <c:numRef>
              <c:f>'A.36 I&amp;E'!$B$37:$P$37</c:f>
              <c:numCache>
                <c:formatCode>_-* #,##0.0_-;\(#,##0.0\);_-* "-"??_-;_-@_-</c:formatCode>
                <c:ptCount val="15"/>
                <c:pt idx="0">
                  <c:v>-162.70000000000005</c:v>
                </c:pt>
                <c:pt idx="1">
                  <c:v>-94.399999999999977</c:v>
                </c:pt>
                <c:pt idx="2">
                  <c:v>-185.3</c:v>
                </c:pt>
                <c:pt idx="3">
                  <c:v>-178.70000000000005</c:v>
                </c:pt>
                <c:pt idx="4">
                  <c:v>-145.7000000000001</c:v>
                </c:pt>
                <c:pt idx="5">
                  <c:v>-151.99999999999986</c:v>
                </c:pt>
                <c:pt idx="6">
                  <c:v>-243.80000000000007</c:v>
                </c:pt>
                <c:pt idx="7">
                  <c:v>-97.799999999999869</c:v>
                </c:pt>
                <c:pt idx="8">
                  <c:v>-202.79139999999995</c:v>
                </c:pt>
                <c:pt idx="9">
                  <c:v>1.5000000000000711</c:v>
                </c:pt>
                <c:pt idx="10">
                  <c:v>-191.79999999999987</c:v>
                </c:pt>
                <c:pt idx="11">
                  <c:v>-404.39999999999975</c:v>
                </c:pt>
                <c:pt idx="12">
                  <c:v>-359.6</c:v>
                </c:pt>
                <c:pt idx="13">
                  <c:v>14.600000000000108</c:v>
                </c:pt>
                <c:pt idx="14">
                  <c:v>-146.6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AE-4034-B2DB-FD5DC770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49344"/>
        <c:axId val="289355616"/>
      </c:lineChart>
      <c:catAx>
        <c:axId val="2893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289355616"/>
        <c:crosses val="autoZero"/>
        <c:auto val="1"/>
        <c:lblAlgn val="ctr"/>
        <c:lblOffset val="100"/>
        <c:noMultiLvlLbl val="0"/>
      </c:catAx>
      <c:valAx>
        <c:axId val="289355616"/>
        <c:scaling>
          <c:orientation val="minMax"/>
          <c:max val="1250"/>
          <c:min val="-1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latin typeface="Montserrat" pitchFamily="2" charset="0"/>
                  </a:rPr>
                  <a:t>£</a:t>
                </a:r>
                <a:r>
                  <a:rPr lang="en-GB" sz="900" baseline="0">
                    <a:latin typeface="Montserrat" pitchFamily="2" charset="0"/>
                  </a:rPr>
                  <a:t> billion</a:t>
                </a:r>
                <a:endParaRPr lang="en-GB" sz="900">
                  <a:latin typeface="Montserrat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_-* #,##0_-;\-#,##0\ ;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289349344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165293683534025"/>
          <c:y val="0.15318932218635906"/>
          <c:w val="0.29405470295400116"/>
          <c:h val="0.71822342692494567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'A.37 Income'!$A$28</c:f>
              <c:strCache>
                <c:ptCount val="1"/>
                <c:pt idx="0">
                  <c:v>Taxation revenue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'A.37 Income'!$B$27:$P$27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'A.37 Income'!$B$28:$P$28</c:f>
              <c:numCache>
                <c:formatCode>_-* #,##0_-;\-* #,##0_-;_-* "-"??_-;_-@_-</c:formatCode>
                <c:ptCount val="15"/>
                <c:pt idx="0">
                  <c:v>536.29999999999995</c:v>
                </c:pt>
                <c:pt idx="1">
                  <c:v>565.20000000000005</c:v>
                </c:pt>
                <c:pt idx="2">
                  <c:v>565.5</c:v>
                </c:pt>
                <c:pt idx="3">
                  <c:v>567.1</c:v>
                </c:pt>
                <c:pt idx="4">
                  <c:v>594.79999999999995</c:v>
                </c:pt>
                <c:pt idx="5">
                  <c:v>566.70000000000005</c:v>
                </c:pt>
                <c:pt idx="6">
                  <c:v>592.6</c:v>
                </c:pt>
                <c:pt idx="7">
                  <c:v>628.1</c:v>
                </c:pt>
                <c:pt idx="8">
                  <c:v>661.6</c:v>
                </c:pt>
                <c:pt idx="9">
                  <c:v>685.7</c:v>
                </c:pt>
                <c:pt idx="10">
                  <c:v>696.7</c:v>
                </c:pt>
                <c:pt idx="11">
                  <c:v>650.70000000000005</c:v>
                </c:pt>
                <c:pt idx="12">
                  <c:v>774.7</c:v>
                </c:pt>
                <c:pt idx="13">
                  <c:v>857.7</c:v>
                </c:pt>
                <c:pt idx="14">
                  <c:v>888.8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4-4B44-A688-9B454E8AF034}"/>
            </c:ext>
          </c:extLst>
        </c:ser>
        <c:ser>
          <c:idx val="1"/>
          <c:order val="1"/>
          <c:tx>
            <c:strRef>
              <c:f>'A.37 Income'!$A$29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'A.37 Income'!$B$27:$P$27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'A.37 Income'!$B$29:$P$29</c:f>
              <c:numCache>
                <c:formatCode>_-* #,##0_-;\-* #,##0_-;_-* "-"??_-;_-@_-</c:formatCode>
                <c:ptCount val="15"/>
                <c:pt idx="0">
                  <c:v>47.1</c:v>
                </c:pt>
                <c:pt idx="1">
                  <c:v>48.8</c:v>
                </c:pt>
                <c:pt idx="2">
                  <c:v>51.1</c:v>
                </c:pt>
                <c:pt idx="3">
                  <c:v>53.6</c:v>
                </c:pt>
                <c:pt idx="4">
                  <c:v>58.1</c:v>
                </c:pt>
                <c:pt idx="5">
                  <c:v>93.2</c:v>
                </c:pt>
                <c:pt idx="6">
                  <c:v>101.3</c:v>
                </c:pt>
                <c:pt idx="7">
                  <c:v>92.7</c:v>
                </c:pt>
                <c:pt idx="8">
                  <c:v>102.893809</c:v>
                </c:pt>
                <c:pt idx="9">
                  <c:v>109.9</c:v>
                </c:pt>
                <c:pt idx="10">
                  <c:v>116.6</c:v>
                </c:pt>
                <c:pt idx="11">
                  <c:v>80.8</c:v>
                </c:pt>
                <c:pt idx="12">
                  <c:v>106.9</c:v>
                </c:pt>
                <c:pt idx="13">
                  <c:v>116.8</c:v>
                </c:pt>
                <c:pt idx="14">
                  <c:v>131.1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4-4B44-A688-9B454E8A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350912"/>
        <c:axId val="542970120"/>
      </c:barChart>
      <c:catAx>
        <c:axId val="2893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42970120"/>
        <c:crosses val="autoZero"/>
        <c:auto val="1"/>
        <c:lblAlgn val="ctr"/>
        <c:lblOffset val="100"/>
        <c:noMultiLvlLbl val="0"/>
      </c:catAx>
      <c:valAx>
        <c:axId val="5429701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28935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'A.37 Income'!$B$33</c:f>
              <c:strCache>
                <c:ptCount val="1"/>
                <c:pt idx="0">
                  <c:v>2017-18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A25-49C1-8B4D-F1FA2298C1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E4-428E-AD66-4C09FFEF3C8B}"/>
              </c:ext>
            </c:extLst>
          </c:dPt>
          <c:dLbls>
            <c:dLbl>
              <c:idx val="0"/>
              <c:layout>
                <c:manualLayout>
                  <c:x val="-0.1321533432175808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5-49C1-8B4D-F1FA2298C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'A.37 Income'!$A$34:$A$35</c:f>
              <c:strCache>
                <c:ptCount val="2"/>
                <c:pt idx="0">
                  <c:v>Taxation revenue</c:v>
                </c:pt>
                <c:pt idx="1">
                  <c:v>Other revenue</c:v>
                </c:pt>
              </c:strCache>
            </c:strRef>
          </c:cat>
          <c:val>
            <c:numRef>
              <c:f>'A.37 Income'!$B$34:$B$35</c:f>
              <c:numCache>
                <c:formatCode>_-* #,##0_-;\-* #,##0_-;_-* "-"??_-;_-@_-</c:formatCode>
                <c:ptCount val="2"/>
                <c:pt idx="0">
                  <c:v>661.5</c:v>
                </c:pt>
                <c:pt idx="1">
                  <c:v>99.3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5-49C1-8B4D-F1FA2298C15B}"/>
            </c:ext>
          </c:extLst>
        </c:ser>
        <c:ser>
          <c:idx val="1"/>
          <c:order val="1"/>
          <c:tx>
            <c:strRef>
              <c:f>'A.37 Income'!$C$33</c:f>
              <c:strCache>
                <c:ptCount val="1"/>
                <c:pt idx="0">
                  <c:v>2018-19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25-49C1-8B4D-F1FA2298C1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A25-49C1-8B4D-F1FA2298C15B}"/>
              </c:ext>
            </c:extLst>
          </c:dPt>
          <c:dLbls>
            <c:dLbl>
              <c:idx val="0"/>
              <c:layout>
                <c:manualLayout>
                  <c:x val="-0.17699108466640301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5-49C1-8B4D-F1FA2298C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'A.37 Income'!$A$34:$A$35</c:f>
              <c:strCache>
                <c:ptCount val="2"/>
                <c:pt idx="0">
                  <c:v>Taxation revenue</c:v>
                </c:pt>
                <c:pt idx="1">
                  <c:v>Other revenue</c:v>
                </c:pt>
              </c:strCache>
            </c:strRef>
          </c:cat>
          <c:val>
            <c:numRef>
              <c:f>'A.37 Income'!$C$34:$C$35</c:f>
              <c:numCache>
                <c:formatCode>_-* #,##0_-;\-* #,##0_-;_-* "-"??_-;_-@_-</c:formatCode>
                <c:ptCount val="2"/>
                <c:pt idx="0">
                  <c:v>685.740365</c:v>
                </c:pt>
                <c:pt idx="1">
                  <c:v>109.934755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5-49C1-8B4D-F1FA2298C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WGA Income £'bn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'A.37 Income'!$A$34</c:f>
              <c:strCache>
                <c:ptCount val="1"/>
                <c:pt idx="0">
                  <c:v>Taxation revenue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'A.37 Income'!$B$33:$C$33</c:f>
              <c:strCache>
                <c:ptCount val="2"/>
                <c:pt idx="0">
                  <c:v>2017-18</c:v>
                </c:pt>
                <c:pt idx="1">
                  <c:v>2018-19</c:v>
                </c:pt>
              </c:strCache>
            </c:strRef>
          </c:cat>
          <c:val>
            <c:numRef>
              <c:f>'A.37 Income'!$B$34:$C$34</c:f>
              <c:numCache>
                <c:formatCode>_-* #,##0_-;\-* #,##0_-;_-* "-"??_-;_-@_-</c:formatCode>
                <c:ptCount val="2"/>
                <c:pt idx="0">
                  <c:v>661.5</c:v>
                </c:pt>
                <c:pt idx="1">
                  <c:v>685.740365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7-4CA1-AF0D-32FA06961997}"/>
            </c:ext>
          </c:extLst>
        </c:ser>
        <c:ser>
          <c:idx val="1"/>
          <c:order val="1"/>
          <c:tx>
            <c:strRef>
              <c:f>'A.37 Income'!$A$35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'A.37 Income'!$B$33:$C$33</c:f>
              <c:strCache>
                <c:ptCount val="2"/>
                <c:pt idx="0">
                  <c:v>2017-18</c:v>
                </c:pt>
                <c:pt idx="1">
                  <c:v>2018-19</c:v>
                </c:pt>
              </c:strCache>
            </c:strRef>
          </c:cat>
          <c:val>
            <c:numRef>
              <c:f>'A.37 Income'!$B$35:$C$35</c:f>
              <c:numCache>
                <c:formatCode>_-* #,##0_-;\-* #,##0_-;_-* "-"??_-;_-@_-</c:formatCode>
                <c:ptCount val="2"/>
                <c:pt idx="0">
                  <c:v>99.3</c:v>
                </c:pt>
                <c:pt idx="1">
                  <c:v>109.934755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7-4CA1-AF0D-32FA0696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9068248"/>
        <c:axId val="489068576"/>
      </c:barChart>
      <c:catAx>
        <c:axId val="489068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umnst777 Lt BT" panose="020B0402030504020204" pitchFamily="34" charset="0"/>
                <a:ea typeface="+mn-ea"/>
                <a:cs typeface="+mn-cs"/>
              </a:defRPr>
            </a:pPr>
            <a:endParaRPr lang="en-US"/>
          </a:p>
        </c:txPr>
        <c:crossAx val="489068576"/>
        <c:crosses val="autoZero"/>
        <c:auto val="1"/>
        <c:lblAlgn val="ctr"/>
        <c:lblOffset val="100"/>
        <c:noMultiLvlLbl val="0"/>
      </c:catAx>
      <c:valAx>
        <c:axId val="489068576"/>
        <c:scaling>
          <c:orientation val="minMax"/>
          <c:max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umnst777 Lt BT" panose="020B0402030504020204" pitchFamily="34" charset="0"/>
                <a:ea typeface="+mn-ea"/>
                <a:cs typeface="+mn-cs"/>
              </a:defRPr>
            </a:pPr>
            <a:endParaRPr lang="en-US"/>
          </a:p>
        </c:txPr>
        <c:crossAx val="489068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umnst777 Lt BT" panose="020B0402030504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Taxation revenue</a:t>
            </a:r>
          </a:p>
          <a:p>
            <a:pPr>
              <a:defRPr/>
            </a:pPr>
            <a:r>
              <a:rPr lang="en-GB"/>
              <a:t>£bn per financial year</a:t>
            </a:r>
          </a:p>
          <a:p>
            <a:pPr>
              <a:defRPr/>
            </a:pPr>
            <a:r>
              <a:rPr lang="en-GB"/>
              <a:t>2018-19</a:t>
            </a:r>
          </a:p>
        </c:rich>
      </c:tx>
      <c:layout>
        <c:manualLayout>
          <c:xMode val="edge"/>
          <c:yMode val="edge"/>
          <c:x val="0.35914002302644477"/>
          <c:y val="0.49799196787148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4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3-480C-B9EE-FF70E8D79E78}"/>
              </c:ext>
            </c:extLst>
          </c:dPt>
          <c:dPt>
            <c:idx val="1"/>
            <c:bubble3D val="0"/>
            <c:spPr>
              <a:solidFill>
                <a:schemeClr val="accent2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3-480C-B9EE-FF70E8D79E78}"/>
              </c:ext>
            </c:extLst>
          </c:dPt>
          <c:dPt>
            <c:idx val="2"/>
            <c:bubble3D val="0"/>
            <c:spPr>
              <a:solidFill>
                <a:schemeClr val="accent2">
                  <a:shade val="8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9D53-480C-B9EE-FF70E8D79E78}"/>
              </c:ext>
            </c:extLst>
          </c:dPt>
          <c:dPt>
            <c:idx val="3"/>
            <c:bubble3D val="0"/>
            <c:spPr>
              <a:solidFill>
                <a:schemeClr val="accent2">
                  <a:tint val="8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53-480C-B9EE-FF70E8D79E78}"/>
              </c:ext>
            </c:extLst>
          </c:dPt>
          <c:dPt>
            <c:idx val="4"/>
            <c:bubble3D val="0"/>
            <c:spPr>
              <a:solidFill>
                <a:schemeClr val="accent2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3-480C-B9EE-FF70E8D79E78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53-480C-B9EE-FF70E8D79E78}"/>
              </c:ext>
            </c:extLst>
          </c:dPt>
          <c:dPt>
            <c:idx val="6"/>
            <c:bubble3D val="0"/>
            <c:spPr>
              <a:solidFill>
                <a:schemeClr val="accent2">
                  <a:tint val="4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D53-480C-B9EE-FF70E8D79E78}"/>
              </c:ext>
            </c:extLst>
          </c:dPt>
          <c:dLbls>
            <c:dLbl>
              <c:idx val="0"/>
              <c:layout>
                <c:manualLayout>
                  <c:x val="0.17307689395704726"/>
                  <c:y val="-0.11512717536813924"/>
                </c:manualLayout>
              </c:layout>
              <c:spPr>
                <a:solidFill>
                  <a:schemeClr val="bg1">
                    <a:lumMod val="50000"/>
                  </a:scheme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Humnst777 Lt BT" panose="020B0402030504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64098851857653"/>
                      <c:h val="7.21820615796519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D53-480C-B9EE-FF70E8D79E78}"/>
                </c:ext>
              </c:extLst>
            </c:dLbl>
            <c:dLbl>
              <c:idx val="1"/>
              <c:layout>
                <c:manualLayout>
                  <c:x val="0.16025638329356226"/>
                  <c:y val="3.480589022757687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3-480C-B9EE-FF70E8D79E78}"/>
                </c:ext>
              </c:extLst>
            </c:dLbl>
            <c:dLbl>
              <c:idx val="2"/>
              <c:layout>
                <c:manualLayout>
                  <c:x val="-0.14316236907558233"/>
                  <c:y val="5.622489959839347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3-480C-B9EE-FF70E8D79E78}"/>
                </c:ext>
              </c:extLst>
            </c:dLbl>
            <c:dLbl>
              <c:idx val="3"/>
              <c:layout>
                <c:manualLayout>
                  <c:x val="-0.15811963151631478"/>
                  <c:y val="-8.0321285140562745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3-480C-B9EE-FF70E8D79E78}"/>
                </c:ext>
              </c:extLst>
            </c:dLbl>
            <c:dLbl>
              <c:idx val="4"/>
              <c:layout>
                <c:manualLayout>
                  <c:x val="-0.1526244779890171"/>
                  <c:y val="-0.2164850628611182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242525701170048"/>
                      <c:h val="7.18607764390896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9D53-480C-B9EE-FF70E8D79E78}"/>
                </c:ext>
              </c:extLst>
            </c:dLbl>
            <c:dLbl>
              <c:idx val="5"/>
              <c:layout>
                <c:manualLayout>
                  <c:x val="-0.17307689395704726"/>
                  <c:y val="4.913412924044087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3-480C-B9EE-FF70E8D79E78}"/>
                </c:ext>
              </c:extLst>
            </c:dLbl>
            <c:dLbl>
              <c:idx val="6"/>
              <c:layout>
                <c:manualLayout>
                  <c:x val="-7.905981575815739E-2"/>
                  <c:y val="-9.103078982597054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3-480C-B9EE-FF70E8D79E78}"/>
                </c:ext>
              </c:extLst>
            </c:dLbl>
            <c:spPr>
              <a:solidFill>
                <a:schemeClr val="bg1">
                  <a:lumMod val="50000"/>
                </a:schemeClr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Humnst777 Lt BT" panose="020B0402030504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'A.38 Tax revenue'!$A$28:$A$34</c:f>
              <c:strCache>
                <c:ptCount val="7"/>
                <c:pt idx="0">
                  <c:v>   Income tax </c:v>
                </c:pt>
                <c:pt idx="1">
                  <c:v>   National Insurance </c:v>
                </c:pt>
                <c:pt idx="2">
                  <c:v>   VAT </c:v>
                </c:pt>
                <c:pt idx="3">
                  <c:v>   Corporation tax </c:v>
                </c:pt>
                <c:pt idx="4">
                  <c:v>   Hydrocarbon oil duty </c:v>
                </c:pt>
                <c:pt idx="5">
                  <c:v>   Local government taxes </c:v>
                </c:pt>
                <c:pt idx="6">
                  <c:v>   Other </c:v>
                </c:pt>
              </c:strCache>
            </c:strRef>
          </c:cat>
          <c:val>
            <c:numRef>
              <c:f>'A.38 Tax revenue'!$K$28:$K$34</c:f>
              <c:numCache>
                <c:formatCode>_-* #,##0_-;\-* #,##0_-;_-* "-"??_-;_-@_-</c:formatCode>
                <c:ptCount val="7"/>
                <c:pt idx="0">
                  <c:v>194</c:v>
                </c:pt>
                <c:pt idx="1">
                  <c:v>120.4</c:v>
                </c:pt>
                <c:pt idx="2">
                  <c:v>135.6</c:v>
                </c:pt>
                <c:pt idx="3">
                  <c:v>53.1</c:v>
                </c:pt>
                <c:pt idx="4">
                  <c:v>28</c:v>
                </c:pt>
                <c:pt idx="5">
                  <c:v>66.81311500000001</c:v>
                </c:pt>
                <c:pt idx="6">
                  <c:v>87.800000000000011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3-480C-B9EE-FF70E8D79E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'A.38 Tax revenue'!$A$28</c:f>
              <c:strCache>
                <c:ptCount val="1"/>
                <c:pt idx="0">
                  <c:v>   Income tax </c:v>
                </c:pt>
              </c:strCache>
            </c:strRef>
          </c:tx>
          <c:spPr>
            <a:solidFill>
              <a:schemeClr val="accent2">
                <a:shade val="47000"/>
              </a:schemeClr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revenue'!$B$28:$P$28</c:f>
              <c:numCache>
                <c:formatCode>_-* #,##0_-;\-* #,##0_-;_-* "-"??_-;_-@_-</c:formatCode>
                <c:ptCount val="15"/>
                <c:pt idx="0">
                  <c:v>152.6</c:v>
                </c:pt>
                <c:pt idx="1">
                  <c:v>158.1</c:v>
                </c:pt>
                <c:pt idx="2">
                  <c:v>151.80000000000001</c:v>
                </c:pt>
                <c:pt idx="3">
                  <c:v>150.9</c:v>
                </c:pt>
                <c:pt idx="4">
                  <c:v>162.1</c:v>
                </c:pt>
                <c:pt idx="5">
                  <c:v>163.1</c:v>
                </c:pt>
                <c:pt idx="6">
                  <c:v>169.5</c:v>
                </c:pt>
                <c:pt idx="7">
                  <c:v>173.8</c:v>
                </c:pt>
                <c:pt idx="8">
                  <c:v>186</c:v>
                </c:pt>
                <c:pt idx="9">
                  <c:v>194</c:v>
                </c:pt>
                <c:pt idx="10">
                  <c:v>194.2</c:v>
                </c:pt>
                <c:pt idx="11">
                  <c:v>191.9</c:v>
                </c:pt>
                <c:pt idx="12">
                  <c:v>233.4</c:v>
                </c:pt>
                <c:pt idx="13">
                  <c:v>258</c:v>
                </c:pt>
                <c:pt idx="14">
                  <c:v>286.2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2-4A2D-B463-4EB68410309F}"/>
            </c:ext>
          </c:extLst>
        </c:ser>
        <c:ser>
          <c:idx val="1"/>
          <c:order val="1"/>
          <c:tx>
            <c:strRef>
              <c:f>'A.38 Tax revenue'!$A$29</c:f>
              <c:strCache>
                <c:ptCount val="1"/>
                <c:pt idx="0">
                  <c:v>   National Insurance </c:v>
                </c:pt>
              </c:strCache>
            </c:strRef>
          </c:tx>
          <c:spPr>
            <a:solidFill>
              <a:schemeClr val="accent2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revenue'!$B$29:$P$29</c:f>
              <c:numCache>
                <c:formatCode>_-* #,##0_-;\-* #,##0_-;_-* "-"??_-;_-@_-</c:formatCode>
                <c:ptCount val="15"/>
                <c:pt idx="0">
                  <c:v>90.4</c:v>
                </c:pt>
                <c:pt idx="1">
                  <c:v>85.5</c:v>
                </c:pt>
                <c:pt idx="2">
                  <c:v>90.9</c:v>
                </c:pt>
                <c:pt idx="3">
                  <c:v>90.7</c:v>
                </c:pt>
                <c:pt idx="4">
                  <c:v>97.3</c:v>
                </c:pt>
                <c:pt idx="5">
                  <c:v>97.2</c:v>
                </c:pt>
                <c:pt idx="6">
                  <c:v>102.1</c:v>
                </c:pt>
                <c:pt idx="7">
                  <c:v>108.6</c:v>
                </c:pt>
                <c:pt idx="8">
                  <c:v>118.4</c:v>
                </c:pt>
                <c:pt idx="9">
                  <c:v>120.4</c:v>
                </c:pt>
                <c:pt idx="10">
                  <c:v>126.6</c:v>
                </c:pt>
                <c:pt idx="11">
                  <c:v>125.8</c:v>
                </c:pt>
                <c:pt idx="12">
                  <c:v>142.1</c:v>
                </c:pt>
                <c:pt idx="13">
                  <c:v>158.30000000000001</c:v>
                </c:pt>
                <c:pt idx="14">
                  <c:v>157.6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2-4A2D-B463-4EB68410309F}"/>
            </c:ext>
          </c:extLst>
        </c:ser>
        <c:ser>
          <c:idx val="2"/>
          <c:order val="2"/>
          <c:tx>
            <c:strRef>
              <c:f>'A.38 Tax revenue'!$A$30</c:f>
              <c:strCache>
                <c:ptCount val="1"/>
                <c:pt idx="0">
                  <c:v>   VAT </c:v>
                </c:pt>
              </c:strCache>
            </c:strRef>
          </c:tx>
          <c:spPr>
            <a:solidFill>
              <a:schemeClr val="accent2">
                <a:shade val="82000"/>
              </a:schemeClr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revenue'!$B$30:$P$30</c:f>
              <c:numCache>
                <c:formatCode>_-* #,##0_-;\-* #,##0_-;_-* "-"??_-;_-@_-</c:formatCode>
                <c:ptCount val="15"/>
                <c:pt idx="0">
                  <c:v>76.099999999999994</c:v>
                </c:pt>
                <c:pt idx="1">
                  <c:v>88.2</c:v>
                </c:pt>
                <c:pt idx="2">
                  <c:v>97.7</c:v>
                </c:pt>
                <c:pt idx="3">
                  <c:v>99.1</c:v>
                </c:pt>
                <c:pt idx="4">
                  <c:v>108.2</c:v>
                </c:pt>
                <c:pt idx="5">
                  <c:v>113.9</c:v>
                </c:pt>
                <c:pt idx="6">
                  <c:v>116.1</c:v>
                </c:pt>
                <c:pt idx="7">
                  <c:v>124.4</c:v>
                </c:pt>
                <c:pt idx="8">
                  <c:v>128.6</c:v>
                </c:pt>
                <c:pt idx="9">
                  <c:v>135.6</c:v>
                </c:pt>
                <c:pt idx="10">
                  <c:v>137.19999999999999</c:v>
                </c:pt>
                <c:pt idx="11">
                  <c:v>122.1</c:v>
                </c:pt>
                <c:pt idx="12">
                  <c:v>148.69999999999999</c:v>
                </c:pt>
                <c:pt idx="13">
                  <c:v>166.8</c:v>
                </c:pt>
                <c:pt idx="14">
                  <c:v>165.5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2-4A2D-B463-4EB68410309F}"/>
            </c:ext>
          </c:extLst>
        </c:ser>
        <c:ser>
          <c:idx val="3"/>
          <c:order val="3"/>
          <c:tx>
            <c:strRef>
              <c:f>'A.38 Tax revenue'!$A$31</c:f>
              <c:strCache>
                <c:ptCount val="1"/>
                <c:pt idx="0">
                  <c:v>   Corporation tax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revenue'!$B$31:$P$31</c:f>
              <c:numCache>
                <c:formatCode>_-* #,##0_-;\-* #,##0_-;_-* "-"??_-;_-@_-</c:formatCode>
                <c:ptCount val="15"/>
                <c:pt idx="0">
                  <c:v>37.799999999999997</c:v>
                </c:pt>
                <c:pt idx="1">
                  <c:v>45.7</c:v>
                </c:pt>
                <c:pt idx="2">
                  <c:v>40</c:v>
                </c:pt>
                <c:pt idx="3">
                  <c:v>38.9</c:v>
                </c:pt>
                <c:pt idx="4">
                  <c:v>39.6</c:v>
                </c:pt>
                <c:pt idx="5">
                  <c:v>40.299999999999997</c:v>
                </c:pt>
                <c:pt idx="6">
                  <c:v>45.2</c:v>
                </c:pt>
                <c:pt idx="7">
                  <c:v>52.4</c:v>
                </c:pt>
                <c:pt idx="8">
                  <c:v>55.1</c:v>
                </c:pt>
                <c:pt idx="9">
                  <c:v>53.1</c:v>
                </c:pt>
                <c:pt idx="10">
                  <c:v>52.4</c:v>
                </c:pt>
                <c:pt idx="11">
                  <c:v>53.7</c:v>
                </c:pt>
                <c:pt idx="12">
                  <c:v>68.3</c:v>
                </c:pt>
                <c:pt idx="13">
                  <c:v>80.400000000000006</c:v>
                </c:pt>
                <c:pt idx="14">
                  <c:v>89.6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2-4A2D-B463-4EB68410309F}"/>
            </c:ext>
          </c:extLst>
        </c:ser>
        <c:ser>
          <c:idx val="4"/>
          <c:order val="4"/>
          <c:tx>
            <c:strRef>
              <c:f>'A.38 Tax revenue'!$A$32</c:f>
              <c:strCache>
                <c:ptCount val="1"/>
                <c:pt idx="0">
                  <c:v>   Hydrocarbon oil duty </c:v>
                </c:pt>
              </c:strCache>
            </c:strRef>
          </c:tx>
          <c:spPr>
            <a:solidFill>
              <a:schemeClr val="accent2">
                <a:tint val="83000"/>
              </a:schemeClr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revenue'!$B$32:$P$32</c:f>
              <c:numCache>
                <c:formatCode>_-* #,##0_-;\-* #,##0_-;_-* "-"??_-;_-@_-</c:formatCode>
                <c:ptCount val="15"/>
                <c:pt idx="0">
                  <c:v>26.3</c:v>
                </c:pt>
                <c:pt idx="1">
                  <c:v>27.2</c:v>
                </c:pt>
                <c:pt idx="2">
                  <c:v>26.9</c:v>
                </c:pt>
                <c:pt idx="3">
                  <c:v>26.5</c:v>
                </c:pt>
                <c:pt idx="4">
                  <c:v>26.9</c:v>
                </c:pt>
                <c:pt idx="5">
                  <c:v>27.2</c:v>
                </c:pt>
                <c:pt idx="6">
                  <c:v>27.7</c:v>
                </c:pt>
                <c:pt idx="7">
                  <c:v>28</c:v>
                </c:pt>
                <c:pt idx="8">
                  <c:v>27.9</c:v>
                </c:pt>
                <c:pt idx="9">
                  <c:v>28</c:v>
                </c:pt>
                <c:pt idx="10">
                  <c:v>27.3</c:v>
                </c:pt>
                <c:pt idx="11">
                  <c:v>21.3</c:v>
                </c:pt>
                <c:pt idx="12">
                  <c:v>25.8</c:v>
                </c:pt>
                <c:pt idx="13">
                  <c:v>25</c:v>
                </c:pt>
                <c:pt idx="14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32-4A2D-B463-4EB68410309F}"/>
            </c:ext>
          </c:extLst>
        </c:ser>
        <c:ser>
          <c:idx val="5"/>
          <c:order val="5"/>
          <c:tx>
            <c:strRef>
              <c:f>'A.38 Tax revenue'!$A$33</c:f>
              <c:strCache>
                <c:ptCount val="1"/>
                <c:pt idx="0">
                  <c:v>   Local government taxes </c:v>
                </c:pt>
              </c:strCache>
            </c:strRef>
          </c:tx>
          <c:spPr>
            <a:solidFill>
              <a:schemeClr val="accent2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revenue'!$B$33:$P$33</c:f>
              <c:numCache>
                <c:formatCode>_-* #,##0_-;\-* #,##0_-;_-* "-"??_-;_-@_-</c:formatCode>
                <c:ptCount val="15"/>
                <c:pt idx="0">
                  <c:v>52.099999999999994</c:v>
                </c:pt>
                <c:pt idx="1">
                  <c:v>52.8</c:v>
                </c:pt>
                <c:pt idx="2">
                  <c:v>54.8</c:v>
                </c:pt>
                <c:pt idx="3">
                  <c:v>55.9</c:v>
                </c:pt>
                <c:pt idx="4">
                  <c:v>52.8</c:v>
                </c:pt>
                <c:pt idx="5">
                  <c:v>53.9</c:v>
                </c:pt>
                <c:pt idx="6">
                  <c:v>56.900000000000006</c:v>
                </c:pt>
                <c:pt idx="7">
                  <c:v>59</c:v>
                </c:pt>
                <c:pt idx="8">
                  <c:v>62.2</c:v>
                </c:pt>
                <c:pt idx="9">
                  <c:v>66.81311500000001</c:v>
                </c:pt>
                <c:pt idx="10">
                  <c:v>68.900000000000006</c:v>
                </c:pt>
                <c:pt idx="11">
                  <c:v>49.8</c:v>
                </c:pt>
                <c:pt idx="12">
                  <c:v>51.5</c:v>
                </c:pt>
                <c:pt idx="13">
                  <c:v>52.2</c:v>
                </c:pt>
                <c:pt idx="14">
                  <c:v>54.8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32-4A2D-B463-4EB68410309F}"/>
            </c:ext>
          </c:extLst>
        </c:ser>
        <c:ser>
          <c:idx val="6"/>
          <c:order val="6"/>
          <c:tx>
            <c:strRef>
              <c:f>'A.38 Tax revenue'!$A$34</c:f>
              <c:strCache>
                <c:ptCount val="1"/>
                <c:pt idx="0">
                  <c:v>   Other </c:v>
                </c:pt>
              </c:strCache>
            </c:strRef>
          </c:tx>
          <c:spPr>
            <a:solidFill>
              <a:schemeClr val="accent2">
                <a:tint val="48000"/>
              </a:schemeClr>
            </a:solidFill>
            <a:ln>
              <a:noFill/>
            </a:ln>
            <a:effectLst/>
          </c:spPr>
          <c:invertIfNegative val="0"/>
          <c:cat>
            <c:strRef>
              <c:f>'A.38 Tax revenue'!$B$27:$P$27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'A.38 Tax revenue'!$B$34:$P$34</c:f>
              <c:numCache>
                <c:formatCode>_-* #,##0_-;\-* #,##0_-;_-* "-"??_-;_-@_-</c:formatCode>
                <c:ptCount val="15"/>
                <c:pt idx="0">
                  <c:v>50</c:v>
                </c:pt>
                <c:pt idx="1">
                  <c:v>57.900000000000006</c:v>
                </c:pt>
                <c:pt idx="2">
                  <c:v>61.5</c:v>
                </c:pt>
                <c:pt idx="3">
                  <c:v>62.4</c:v>
                </c:pt>
                <c:pt idx="4">
                  <c:v>68.900000000000006</c:v>
                </c:pt>
                <c:pt idx="5">
                  <c:v>71.099999999999994</c:v>
                </c:pt>
                <c:pt idx="6">
                  <c:v>75.099999999999994</c:v>
                </c:pt>
                <c:pt idx="7">
                  <c:v>81.900000000000006</c:v>
                </c:pt>
                <c:pt idx="8">
                  <c:v>83.399999999999991</c:v>
                </c:pt>
                <c:pt idx="9">
                  <c:v>87.800000000000011</c:v>
                </c:pt>
                <c:pt idx="10">
                  <c:v>90.1</c:v>
                </c:pt>
                <c:pt idx="11">
                  <c:v>86.1</c:v>
                </c:pt>
                <c:pt idx="12">
                  <c:v>104.89999999999999</c:v>
                </c:pt>
                <c:pt idx="13">
                  <c:v>117</c:v>
                </c:pt>
                <c:pt idx="14">
                  <c:v>110.19999999999999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32-4A2D-B463-4EB684103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9307576"/>
        <c:axId val="1309316216"/>
      </c:barChart>
      <c:catAx>
        <c:axId val="130930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309316216"/>
        <c:crosses val="autoZero"/>
        <c:auto val="1"/>
        <c:lblAlgn val="ctr"/>
        <c:lblOffset val="100"/>
        <c:noMultiLvlLbl val="0"/>
      </c:catAx>
      <c:valAx>
        <c:axId val="1309316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309307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'A.44 Expenditure on PS'!$A$31</c:f>
              <c:strCache>
                <c:ptCount val="1"/>
                <c:pt idx="0">
                  <c:v>Social security benefits</c:v>
                </c:pt>
              </c:strCache>
            </c:strRef>
          </c:tx>
          <c:spPr>
            <a:solidFill>
              <a:schemeClr val="accent2">
                <a:shade val="50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'A.44 Expenditure on PS'!$B$30:$P$30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'A.44 Expenditure on PS'!$B$31:$P$31</c:f>
              <c:numCache>
                <c:formatCode>_-* #,##0_-;\-* #,##0_-;_-* "-"??_-;_-@_-</c:formatCode>
                <c:ptCount val="15"/>
                <c:pt idx="0">
                  <c:v>197.1</c:v>
                </c:pt>
                <c:pt idx="1">
                  <c:v>204</c:v>
                </c:pt>
                <c:pt idx="2">
                  <c:v>209.7</c:v>
                </c:pt>
                <c:pt idx="3">
                  <c:v>215</c:v>
                </c:pt>
                <c:pt idx="4">
                  <c:v>213.4</c:v>
                </c:pt>
                <c:pt idx="5">
                  <c:v>217.7</c:v>
                </c:pt>
                <c:pt idx="6">
                  <c:v>222.5</c:v>
                </c:pt>
                <c:pt idx="7">
                  <c:v>223.7</c:v>
                </c:pt>
                <c:pt idx="8">
                  <c:v>225.88080600000001</c:v>
                </c:pt>
                <c:pt idx="9">
                  <c:v>230.3</c:v>
                </c:pt>
                <c:pt idx="10">
                  <c:v>240</c:v>
                </c:pt>
                <c:pt idx="11">
                  <c:v>258.39999999999998</c:v>
                </c:pt>
                <c:pt idx="12">
                  <c:v>259.7</c:v>
                </c:pt>
                <c:pt idx="13">
                  <c:v>276.10000000000002</c:v>
                </c:pt>
                <c:pt idx="14">
                  <c:v>311.39999999999998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29-4A1C-A10E-185C97073F4B}"/>
            </c:ext>
          </c:extLst>
        </c:ser>
        <c:ser>
          <c:idx val="1"/>
          <c:order val="1"/>
          <c:tx>
            <c:strRef>
              <c:f>'A.44 Expenditure on PS'!$A$32</c:f>
              <c:strCache>
                <c:ptCount val="1"/>
                <c:pt idx="0">
                  <c:v>Staff costs</c:v>
                </c:pt>
              </c:strCache>
            </c:strRef>
          </c:tx>
          <c:spPr>
            <a:solidFill>
              <a:schemeClr val="accent2">
                <a:shade val="70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'A.44 Expenditure on PS'!$B$30:$P$30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'A.44 Expenditure on PS'!$B$32:$P$32</c:f>
              <c:numCache>
                <c:formatCode>_-* #,##0_-;\-* #,##0_-;_-* "-"??_-;_-@_-</c:formatCode>
                <c:ptCount val="15"/>
                <c:pt idx="0">
                  <c:v>179.7</c:v>
                </c:pt>
                <c:pt idx="1">
                  <c:v>193.1</c:v>
                </c:pt>
                <c:pt idx="2">
                  <c:v>183.2</c:v>
                </c:pt>
                <c:pt idx="3">
                  <c:v>183.6</c:v>
                </c:pt>
                <c:pt idx="4">
                  <c:v>187.8</c:v>
                </c:pt>
                <c:pt idx="5">
                  <c:v>185.5</c:v>
                </c:pt>
                <c:pt idx="6">
                  <c:v>193.3</c:v>
                </c:pt>
                <c:pt idx="7">
                  <c:v>191.1</c:v>
                </c:pt>
                <c:pt idx="8">
                  <c:v>215.8</c:v>
                </c:pt>
                <c:pt idx="9">
                  <c:v>255.7</c:v>
                </c:pt>
                <c:pt idx="10">
                  <c:v>235.3</c:v>
                </c:pt>
                <c:pt idx="11">
                  <c:v>253.5</c:v>
                </c:pt>
                <c:pt idx="12">
                  <c:v>284.5</c:v>
                </c:pt>
                <c:pt idx="13">
                  <c:v>306.7</c:v>
                </c:pt>
                <c:pt idx="14">
                  <c:v>240.5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29-4A1C-A10E-185C97073F4B}"/>
            </c:ext>
          </c:extLst>
        </c:ser>
        <c:ser>
          <c:idx val="2"/>
          <c:order val="2"/>
          <c:tx>
            <c:strRef>
              <c:f>'A.44 Expenditure on PS'!$A$33</c:f>
              <c:strCache>
                <c:ptCount val="1"/>
                <c:pt idx="0">
                  <c:v>Purchases of goods, services and other expenditure</c:v>
                </c:pt>
              </c:strCache>
            </c:strRef>
          </c:tx>
          <c:spPr>
            <a:solidFill>
              <a:schemeClr val="accent2">
                <a:shade val="90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'A.44 Expenditure on PS'!$B$30:$P$30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'A.44 Expenditure on PS'!$B$33:$P$33</c:f>
              <c:numCache>
                <c:formatCode>_-* #,##0_-;\-* #,##0_-;_-* "-"??_-;_-@_-</c:formatCode>
                <c:ptCount val="15"/>
                <c:pt idx="0">
                  <c:v>160.9</c:v>
                </c:pt>
                <c:pt idx="1">
                  <c:v>159.19999999999999</c:v>
                </c:pt>
                <c:pt idx="2">
                  <c:v>153.80000000000001</c:v>
                </c:pt>
                <c:pt idx="3">
                  <c:v>182.3</c:v>
                </c:pt>
                <c:pt idx="4">
                  <c:v>190.6</c:v>
                </c:pt>
                <c:pt idx="5">
                  <c:v>191.7</c:v>
                </c:pt>
                <c:pt idx="6">
                  <c:v>192.1</c:v>
                </c:pt>
                <c:pt idx="7">
                  <c:v>194.8</c:v>
                </c:pt>
                <c:pt idx="8">
                  <c:v>207.38529</c:v>
                </c:pt>
                <c:pt idx="9">
                  <c:v>206.5</c:v>
                </c:pt>
                <c:pt idx="10">
                  <c:v>223.6</c:v>
                </c:pt>
                <c:pt idx="11">
                  <c:v>238.7</c:v>
                </c:pt>
                <c:pt idx="12">
                  <c:v>256.2</c:v>
                </c:pt>
                <c:pt idx="13">
                  <c:v>254.3</c:v>
                </c:pt>
                <c:pt idx="14">
                  <c:v>263.7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29-4A1C-A10E-185C97073F4B}"/>
            </c:ext>
          </c:extLst>
        </c:ser>
        <c:ser>
          <c:idx val="3"/>
          <c:order val="3"/>
          <c:tx>
            <c:strRef>
              <c:f>'A.44 Expenditure on PS'!$A$34</c:f>
              <c:strCache>
                <c:ptCount val="1"/>
                <c:pt idx="0">
                  <c:v>Grants and subsidies</c:v>
                </c:pt>
              </c:strCache>
            </c:strRef>
          </c:tx>
          <c:spPr>
            <a:solidFill>
              <a:schemeClr val="accent2">
                <a:tint val="90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'A.44 Expenditure on PS'!$B$30:$P$30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'A.44 Expenditure on PS'!$B$34:$P$34</c:f>
              <c:numCache>
                <c:formatCode>_-* #,##0_-;\-* #,##0_-;_-* "-"??_-;_-@_-</c:formatCode>
                <c:ptCount val="15"/>
                <c:pt idx="0">
                  <c:v>66.2</c:v>
                </c:pt>
                <c:pt idx="1">
                  <c:v>68.400000000000006</c:v>
                </c:pt>
                <c:pt idx="2">
                  <c:v>61.6</c:v>
                </c:pt>
                <c:pt idx="3">
                  <c:v>56.3</c:v>
                </c:pt>
                <c:pt idx="4">
                  <c:v>56</c:v>
                </c:pt>
                <c:pt idx="5">
                  <c:v>57.4</c:v>
                </c:pt>
                <c:pt idx="6">
                  <c:v>54.1</c:v>
                </c:pt>
                <c:pt idx="7">
                  <c:v>53.6</c:v>
                </c:pt>
                <c:pt idx="8">
                  <c:v>51.205145999999999</c:v>
                </c:pt>
                <c:pt idx="9">
                  <c:v>58.8</c:v>
                </c:pt>
                <c:pt idx="10">
                  <c:v>62.2</c:v>
                </c:pt>
                <c:pt idx="11">
                  <c:v>197.2</c:v>
                </c:pt>
                <c:pt idx="12">
                  <c:v>121</c:v>
                </c:pt>
                <c:pt idx="13">
                  <c:v>122.4</c:v>
                </c:pt>
                <c:pt idx="14">
                  <c:v>104.1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29-4A1C-A10E-185C97073F4B}"/>
            </c:ext>
          </c:extLst>
        </c:ser>
        <c:ser>
          <c:idx val="4"/>
          <c:order val="4"/>
          <c:tx>
            <c:strRef>
              <c:f>'A.44 Expenditure on PS'!$A$35</c:f>
              <c:strCache>
                <c:ptCount val="1"/>
                <c:pt idx="0">
                  <c:v>Depreciation and impairment</c:v>
                </c:pt>
              </c:strCache>
            </c:strRef>
          </c:tx>
          <c:spPr>
            <a:solidFill>
              <a:schemeClr val="accent2">
                <a:tint val="70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'A.44 Expenditure on PS'!$B$30:$P$30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'A.44 Expenditure on PS'!$B$35:$P$35</c:f>
              <c:numCache>
                <c:formatCode>_-* #,##0_-;\-* #,##0_-;_-* "-"??_-;_-@_-</c:formatCode>
                <c:ptCount val="15"/>
                <c:pt idx="0">
                  <c:v>51.6</c:v>
                </c:pt>
                <c:pt idx="1">
                  <c:v>80.400000000000006</c:v>
                </c:pt>
                <c:pt idx="2">
                  <c:v>64.400000000000006</c:v>
                </c:pt>
                <c:pt idx="3">
                  <c:v>51.1</c:v>
                </c:pt>
                <c:pt idx="4">
                  <c:v>51.1</c:v>
                </c:pt>
                <c:pt idx="5">
                  <c:v>45.4</c:v>
                </c:pt>
                <c:pt idx="6">
                  <c:v>42.7</c:v>
                </c:pt>
                <c:pt idx="7">
                  <c:v>47.1</c:v>
                </c:pt>
                <c:pt idx="8">
                  <c:v>56.500745999999999</c:v>
                </c:pt>
                <c:pt idx="9">
                  <c:v>47.9</c:v>
                </c:pt>
                <c:pt idx="10">
                  <c:v>51.5</c:v>
                </c:pt>
                <c:pt idx="11">
                  <c:v>61.9</c:v>
                </c:pt>
                <c:pt idx="12">
                  <c:v>47.9</c:v>
                </c:pt>
                <c:pt idx="13">
                  <c:v>52.8</c:v>
                </c:pt>
                <c:pt idx="14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29-4A1C-A10E-185C97073F4B}"/>
            </c:ext>
          </c:extLst>
        </c:ser>
        <c:ser>
          <c:idx val="5"/>
          <c:order val="5"/>
          <c:tx>
            <c:strRef>
              <c:f>'A.44 Expenditure on PS'!$A$36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tint val="50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'A.44 Expenditure on PS'!$B$30:$P$30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'A.44 Expenditure on PS'!$B$36:$P$36</c:f>
              <c:numCache>
                <c:formatCode>_-* #,##0_-;\-* #,##0_-;_-* "-"??_-;_-@_-</c:formatCode>
                <c:ptCount val="15"/>
                <c:pt idx="0">
                  <c:v>11</c:v>
                </c:pt>
                <c:pt idx="1">
                  <c:v>45.8</c:v>
                </c:pt>
                <c:pt idx="2">
                  <c:v>41.4</c:v>
                </c:pt>
                <c:pt idx="3">
                  <c:v>29</c:v>
                </c:pt>
                <c:pt idx="4">
                  <c:v>19.5</c:v>
                </c:pt>
                <c:pt idx="5">
                  <c:v>53.6</c:v>
                </c:pt>
                <c:pt idx="6">
                  <c:v>37.5</c:v>
                </c:pt>
                <c:pt idx="7">
                  <c:v>50.400000000000006</c:v>
                </c:pt>
                <c:pt idx="8">
                  <c:v>52.013220999999994</c:v>
                </c:pt>
                <c:pt idx="9">
                  <c:v>52.6</c:v>
                </c:pt>
                <c:pt idx="10">
                  <c:v>106.1</c:v>
                </c:pt>
                <c:pt idx="11">
                  <c:v>53.3</c:v>
                </c:pt>
                <c:pt idx="12">
                  <c:v>75.099999999999994</c:v>
                </c:pt>
                <c:pt idx="13">
                  <c:v>121.3</c:v>
                </c:pt>
                <c:pt idx="14">
                  <c:v>92.399999999999977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29-4A1C-A10E-185C97073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350912"/>
        <c:axId val="542970120"/>
      </c:barChart>
      <c:catAx>
        <c:axId val="2893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42970120"/>
        <c:crosses val="autoZero"/>
        <c:auto val="1"/>
        <c:lblAlgn val="ctr"/>
        <c:lblOffset val="100"/>
        <c:noMultiLvlLbl val="0"/>
      </c:catAx>
      <c:valAx>
        <c:axId val="5429701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289350912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'A.45 A.46 Social Benefits'!$C$36</c:f>
              <c:strCache>
                <c:ptCount val="1"/>
                <c:pt idx="0">
                  <c:v>Pensioner</c:v>
                </c:pt>
              </c:strCache>
            </c:strRef>
          </c:tx>
          <c:spPr>
            <a:solidFill>
              <a:schemeClr val="accent2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'A.45 A.46 Social Benefits'!$B$37:$B$51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'A.45 A.46 Social Benefits'!$C$37:$C$51</c:f>
              <c:numCache>
                <c:formatCode>General</c:formatCode>
                <c:ptCount val="15"/>
                <c:pt idx="0">
                  <c:v>79.600000000000009</c:v>
                </c:pt>
                <c:pt idx="1">
                  <c:v>82.399999999999991</c:v>
                </c:pt>
                <c:pt idx="2">
                  <c:v>86.5</c:v>
                </c:pt>
                <c:pt idx="3">
                  <c:v>91.7</c:v>
                </c:pt>
                <c:pt idx="4" formatCode="_-* #,##0.0_-;\(#,##0.0\);_-* &quot;-&quot;??_-;_-@_-">
                  <c:v>92.3</c:v>
                </c:pt>
                <c:pt idx="5" formatCode="_-* #,##0.0_-;\(#,##0.0\);_-* &quot;-&quot;??_-;_-@_-">
                  <c:v>95.899999999999991</c:v>
                </c:pt>
                <c:pt idx="6" formatCode="_-* #,##0.0_-;\(#,##0.0\);_-* &quot;-&quot;??_-;_-@_-">
                  <c:v>98.3</c:v>
                </c:pt>
                <c:pt idx="7" formatCode="_-* #,##0.0_-;\(#,##0.0\);_-* &quot;-&quot;??_-;_-@_-">
                  <c:v>100.39999999999999</c:v>
                </c:pt>
                <c:pt idx="8" formatCode="_-* #,##0.0_-;\(#,##0.0\);_-* &quot;-&quot;??_-;_-@_-">
                  <c:v>102.5</c:v>
                </c:pt>
                <c:pt idx="9" formatCode="_-* #,##0.0_-;\(#,##0.0\);_-* &quot;-&quot;??_-;_-@_-">
                  <c:v>104.93590400000001</c:v>
                </c:pt>
                <c:pt idx="10" formatCode="_-* #,##0.0_-;\(#,##0.0\);_-* &quot;-&quot;??_-;_-@_-">
                  <c:v>106.8</c:v>
                </c:pt>
                <c:pt idx="11" formatCode="_-* #,##0.0_-;\(#,##0.0\);_-* &quot;-&quot;??_-;_-@_-">
                  <c:v>108.8</c:v>
                </c:pt>
                <c:pt idx="12" formatCode="_-* #,##0.0_-;\(#,##0.0\);_-* &quot;-&quot;??_-;_-@_-">
                  <c:v>111.89999999999999</c:v>
                </c:pt>
                <c:pt idx="13" formatCode="_-* #,##0.0_-;\(#,##0.0\);_-* &quot;-&quot;??_-;_-@_-">
                  <c:v>117.8</c:v>
                </c:pt>
                <c:pt idx="14" formatCode="_-* #,##0.0_-;\(#,##0.0\);_-* &quot;-&quot;??_-;_-@_-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9-4451-B39E-61FD8AA3FFA2}"/>
            </c:ext>
          </c:extLst>
        </c:ser>
        <c:ser>
          <c:idx val="1"/>
          <c:order val="1"/>
          <c:tx>
            <c:strRef>
              <c:f>'A.45 A.46 Social Benefits'!$D$36</c:f>
              <c:strCache>
                <c:ptCount val="1"/>
                <c:pt idx="0">
                  <c:v>Disability and carers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'A.45 A.46 Social Benefits'!$B$37:$B$51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'A.45 A.46 Social Benefits'!$D$37:$D$51</c:f>
              <c:numCache>
                <c:formatCode>General</c:formatCode>
                <c:ptCount val="15"/>
                <c:pt idx="0">
                  <c:v>25.6</c:v>
                </c:pt>
                <c:pt idx="1">
                  <c:v>26.500000000000004</c:v>
                </c:pt>
                <c:pt idx="2">
                  <c:v>26.9</c:v>
                </c:pt>
                <c:pt idx="3">
                  <c:v>26.4</c:v>
                </c:pt>
                <c:pt idx="4" formatCode="_-* #,##0.0_-;\(#,##0.0\);_-* &quot;-&quot;??_-;_-@_-">
                  <c:v>24.6</c:v>
                </c:pt>
                <c:pt idx="5" formatCode="_-* #,##0.0_-;\(#,##0.0\);_-* &quot;-&quot;??_-;_-@_-">
                  <c:v>24.4</c:v>
                </c:pt>
                <c:pt idx="6" formatCode="_-* #,##0.0_-;\(#,##0.0\);_-* &quot;-&quot;??_-;_-@_-">
                  <c:v>25.7</c:v>
                </c:pt>
                <c:pt idx="7" formatCode="_-* #,##0.0_-;\(#,##0.0\);_-* &quot;-&quot;??_-;_-@_-">
                  <c:v>26.099999999999998</c:v>
                </c:pt>
                <c:pt idx="8" formatCode="_-* #,##0.0_-;\(#,##0.0\);_-* &quot;-&quot;??_-;_-@_-">
                  <c:v>27.3</c:v>
                </c:pt>
                <c:pt idx="9" formatCode="_-* #,##0.0_-;\(#,##0.0\);_-* &quot;-&quot;??_-;_-@_-">
                  <c:v>28.970030000000001</c:v>
                </c:pt>
                <c:pt idx="10" formatCode="_-* #,##0.0_-;\(#,##0.0\);_-* &quot;-&quot;??_-;_-@_-">
                  <c:v>31</c:v>
                </c:pt>
                <c:pt idx="11" formatCode="_-* #,##0.0_-;\(#,##0.0\);_-* &quot;-&quot;??_-;_-@_-">
                  <c:v>32.799999999999997</c:v>
                </c:pt>
                <c:pt idx="12" formatCode="_-* #,##0.0_-;\(#,##0.0\);_-* &quot;-&quot;??_-;_-@_-">
                  <c:v>34.200000000000003</c:v>
                </c:pt>
                <c:pt idx="13" formatCode="_-* #,##0.0_-;\(#,##0.0\);_-* &quot;-&quot;??_-;_-@_-">
                  <c:v>34.400000000000006</c:v>
                </c:pt>
                <c:pt idx="14" formatCode="_-* #,##0.0_-;\(#,##0.0\);_-* &quot;-&quot;??_-;_-@_-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9-4451-B39E-61FD8AA3FFA2}"/>
            </c:ext>
          </c:extLst>
        </c:ser>
        <c:ser>
          <c:idx val="2"/>
          <c:order val="2"/>
          <c:tx>
            <c:strRef>
              <c:f>'A.45 A.46 Social Benefits'!$E$36</c:f>
              <c:strCache>
                <c:ptCount val="1"/>
                <c:pt idx="0">
                  <c:v>Working 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'A.45 A.46 Social Benefits'!$B$37:$B$51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'A.45 A.46 Social Benefits'!$E$37:$E$51</c:f>
              <c:numCache>
                <c:formatCode>General</c:formatCode>
                <c:ptCount val="15"/>
                <c:pt idx="0">
                  <c:v>14.799999999999999</c:v>
                </c:pt>
                <c:pt idx="1">
                  <c:v>15.200000000000001</c:v>
                </c:pt>
                <c:pt idx="2">
                  <c:v>16.100000000000001</c:v>
                </c:pt>
                <c:pt idx="3">
                  <c:v>17.8</c:v>
                </c:pt>
                <c:pt idx="4" formatCode="_-* #,##0.0_-;\(#,##0.0\);_-* &quot;-&quot;??_-;_-@_-">
                  <c:v>19.399999999999999</c:v>
                </c:pt>
                <c:pt idx="5" formatCode="_-* #,##0.0_-;\(#,##0.0\);_-* &quot;-&quot;??_-;_-@_-">
                  <c:v>25.2</c:v>
                </c:pt>
                <c:pt idx="6" formatCode="_-* #,##0.0_-;\(#,##0.0\);_-* &quot;-&quot;??_-;_-@_-">
                  <c:v>25.799999999999997</c:v>
                </c:pt>
                <c:pt idx="7" formatCode="_-* #,##0.0_-;\(#,##0.0\);_-* &quot;-&quot;??_-;_-@_-">
                  <c:v>25.1</c:v>
                </c:pt>
                <c:pt idx="8" formatCode="_-* #,##0.0_-;\(#,##0.0\);_-* &quot;-&quot;??_-;_-@_-">
                  <c:v>26.7</c:v>
                </c:pt>
                <c:pt idx="9" formatCode="_-* #,##0.0_-;\(#,##0.0\);_-* &quot;-&quot;??_-;_-@_-">
                  <c:v>30.694390000000002</c:v>
                </c:pt>
                <c:pt idx="10" formatCode="_-* #,##0.0_-;\(#,##0.0\);_-* &quot;-&quot;??_-;_-@_-">
                  <c:v>38.599999999999994</c:v>
                </c:pt>
                <c:pt idx="11" formatCode="_-* #,##0.0_-;\(#,##0.0\);_-* &quot;-&quot;??_-;_-@_-">
                  <c:v>59.3</c:v>
                </c:pt>
                <c:pt idx="12" formatCode="_-* #,##0.0_-;\(#,##0.0\);_-* &quot;-&quot;??_-;_-@_-">
                  <c:v>60</c:v>
                </c:pt>
                <c:pt idx="13" formatCode="_-* #,##0.0_-;\(#,##0.0\);_-* &quot;-&quot;??_-;_-@_-">
                  <c:v>61.300000000000004</c:v>
                </c:pt>
                <c:pt idx="14" formatCode="_-* #,##0.0_-;\(#,##0.0\);_-* &quot;-&quot;??_-;_-@_-">
                  <c:v>71.7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B9-4451-B39E-61FD8AA3FFA2}"/>
            </c:ext>
          </c:extLst>
        </c:ser>
        <c:ser>
          <c:idx val="3"/>
          <c:order val="3"/>
          <c:tx>
            <c:strRef>
              <c:f>'A.45 A.46 Social Benefits'!$F$36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'A.45 A.46 Social Benefits'!$B$37:$B$51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'A.45 A.46 Social Benefits'!$F$37:$F$51</c:f>
              <c:numCache>
                <c:formatCode>General</c:formatCode>
                <c:ptCount val="15"/>
                <c:pt idx="0">
                  <c:v>27.9</c:v>
                </c:pt>
                <c:pt idx="1">
                  <c:v>29.3</c:v>
                </c:pt>
                <c:pt idx="2">
                  <c:v>30</c:v>
                </c:pt>
                <c:pt idx="3">
                  <c:v>28.5</c:v>
                </c:pt>
                <c:pt idx="4" formatCode="_-* #,##0.0_-;\(#,##0.0\);_-* &quot;-&quot;??_-;_-@_-">
                  <c:v>27.3</c:v>
                </c:pt>
                <c:pt idx="5" formatCode="_-* #,##0.0_-;\(#,##0.0\);_-* &quot;-&quot;??_-;_-@_-">
                  <c:v>27.6</c:v>
                </c:pt>
                <c:pt idx="6" formatCode="_-* #,##0.0_-;\(#,##0.0\);_-* &quot;-&quot;??_-;_-@_-">
                  <c:v>28</c:v>
                </c:pt>
                <c:pt idx="7" formatCode="_-* #,##0.0_-;\(#,##0.0\);_-* &quot;-&quot;??_-;_-@_-">
                  <c:v>27.4</c:v>
                </c:pt>
                <c:pt idx="8" formatCode="_-* #,##0.0_-;\(#,##0.0\);_-* &quot;-&quot;??_-;_-@_-">
                  <c:v>25.8</c:v>
                </c:pt>
                <c:pt idx="9" formatCode="_-* #,##0.0_-;\(#,##0.0\);_-* &quot;-&quot;??_-;_-@_-">
                  <c:v>24.326332000000001</c:v>
                </c:pt>
                <c:pt idx="10" formatCode="_-* #,##0.0_-;\(#,##0.0\);_-* &quot;-&quot;??_-;_-@_-">
                  <c:v>21.8</c:v>
                </c:pt>
                <c:pt idx="11" formatCode="_-* #,##0.0_-;\(#,##0.0\);_-* &quot;-&quot;??_-;_-@_-">
                  <c:v>15.5</c:v>
                </c:pt>
                <c:pt idx="12" formatCode="_-* #,##0.0_-;\(#,##0.0\);_-* &quot;-&quot;??_-;_-@_-">
                  <c:v>13.9</c:v>
                </c:pt>
                <c:pt idx="13" formatCode="_-* #,##0.0_-;\(#,##0.0\);_-* &quot;-&quot;??_-;_-@_-">
                  <c:v>11.9</c:v>
                </c:pt>
                <c:pt idx="14" formatCode="_-* #,##0.0_-;\(#,##0.0\);_-* &quot;-&quot;??_-;_-@_-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B9-4451-B39E-61FD8AA3FFA2}"/>
            </c:ext>
          </c:extLst>
        </c:ser>
        <c:ser>
          <c:idx val="4"/>
          <c:order val="4"/>
          <c:tx>
            <c:strRef>
              <c:f>'A.45 A.46 Social Benefits'!$G$36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'A.45 A.46 Social Benefits'!$B$37:$B$51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'A.45 A.46 Social Benefits'!$G$37:$G$51</c:f>
              <c:numCache>
                <c:formatCode>General</c:formatCode>
                <c:ptCount val="15"/>
                <c:pt idx="0">
                  <c:v>49.2</c:v>
                </c:pt>
                <c:pt idx="1">
                  <c:v>50.6</c:v>
                </c:pt>
                <c:pt idx="2">
                  <c:v>50.2</c:v>
                </c:pt>
                <c:pt idx="3">
                  <c:v>50.6</c:v>
                </c:pt>
                <c:pt idx="4" formatCode="_-* #,##0.0_-;\(#,##0.0\);_-* &quot;-&quot;??_-;_-@_-">
                  <c:v>49.8</c:v>
                </c:pt>
                <c:pt idx="5" formatCode="_-* #,##0.0_-;\(#,##0.0\);_-* &quot;-&quot;??_-;_-@_-">
                  <c:v>44.6</c:v>
                </c:pt>
                <c:pt idx="6" formatCode="_-* #,##0.0_-;\(#,##0.0\);_-* &quot;-&quot;??_-;_-@_-">
                  <c:v>44.7</c:v>
                </c:pt>
                <c:pt idx="7" formatCode="_-* #,##0.0_-;\(#,##0.0\);_-* &quot;-&quot;??_-;_-@_-">
                  <c:v>44.7</c:v>
                </c:pt>
                <c:pt idx="8" formatCode="_-* #,##0.0_-;\(#,##0.0\);_-* &quot;-&quot;??_-;_-@_-">
                  <c:v>43.599999999999994</c:v>
                </c:pt>
                <c:pt idx="9" formatCode="_-* #,##0.0_-;\(#,##0.0\);_-* &quot;-&quot;??_-;_-@_-">
                  <c:v>41.406182000000001</c:v>
                </c:pt>
                <c:pt idx="10" formatCode="_-* #,##0.0_-;\(#,##0.0\);_-* &quot;-&quot;??_-;_-@_-">
                  <c:v>41.8</c:v>
                </c:pt>
                <c:pt idx="11" formatCode="_-* #,##0.0_-;\(#,##0.0\);_-* &quot;-&quot;??_-;_-@_-">
                  <c:v>42</c:v>
                </c:pt>
                <c:pt idx="12" formatCode="_-* #,##0.0_-;\(#,##0.0\);_-* &quot;-&quot;??_-;_-@_-">
                  <c:v>39.700000000000003</c:v>
                </c:pt>
                <c:pt idx="13" formatCode="_-* #,##0.0_-;\(#,##0.0\);_-* &quot;-&quot;??_-;_-@_-">
                  <c:v>50.7</c:v>
                </c:pt>
                <c:pt idx="14" formatCode="_-* #,##0.0_-;\(#,##0.0\);_-* &quot;-&quot;??_-;_-@_-">
                  <c:v>53.400000000000006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B9-4451-B39E-61FD8AA3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99934520"/>
        <c:axId val="536809456"/>
      </c:barChart>
      <c:catAx>
        <c:axId val="399934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36809456"/>
        <c:crosses val="autoZero"/>
        <c:auto val="1"/>
        <c:lblAlgn val="ctr"/>
        <c:lblOffset val="100"/>
        <c:noMultiLvlLbl val="0"/>
      </c:catAx>
      <c:valAx>
        <c:axId val="536809456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layout>
            <c:manualLayout>
              <c:xMode val="edge"/>
              <c:yMode val="edge"/>
              <c:x val="1.3566220111921316E-2"/>
              <c:y val="0.42434524525210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#,##0\ ;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399934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348268839103873"/>
          <c:y val="0.9397387944839265"/>
          <c:w val="0.53777309150001873"/>
          <c:h val="4.4796676189321628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'A.45 A.46 Social Benefits'!$B$51</c:f>
              <c:strCache>
                <c:ptCount val="1"/>
                <c:pt idx="0">
                  <c:v>2023-24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4-4720-BC76-BAF673A4E0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4-4720-BC76-BAF673A4E0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4-4720-BC76-BAF673A4E0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4-4720-BC76-BAF673A4E0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4-4720-BC76-BAF673A4E0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'A.45 A.46 Social Benefits'!$C$36:$G$36</c:f>
              <c:strCache>
                <c:ptCount val="5"/>
                <c:pt idx="0">
                  <c:v>Pensioner</c:v>
                </c:pt>
                <c:pt idx="1">
                  <c:v>Disability and carers</c:v>
                </c:pt>
                <c:pt idx="2">
                  <c:v>Working age</c:v>
                </c:pt>
                <c:pt idx="3">
                  <c:v>Housing</c:v>
                </c:pt>
                <c:pt idx="4">
                  <c:v>Other</c:v>
                </c:pt>
              </c:strCache>
            </c:strRef>
          </c:cat>
          <c:val>
            <c:numRef>
              <c:f>'A.45 A.46 Social Benefits'!$C$51:$G$51</c:f>
              <c:numCache>
                <c:formatCode>_-* #,##0.0_-;\(#,##0.0\);_-* "-"??_-;_-@_-</c:formatCode>
                <c:ptCount val="5"/>
                <c:pt idx="0">
                  <c:v>133</c:v>
                </c:pt>
                <c:pt idx="1">
                  <c:v>41.4</c:v>
                </c:pt>
                <c:pt idx="2">
                  <c:v>71.7</c:v>
                </c:pt>
                <c:pt idx="3">
                  <c:v>11.9</c:v>
                </c:pt>
                <c:pt idx="4">
                  <c:v>53.400000000000006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7-43EA-9731-CCD01CA3FD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'A.11 Assets'!$A$8</c:f>
              <c:strCache>
                <c:ptCount val="1"/>
                <c:pt idx="0">
                  <c:v>Property, plant and equipment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'A.11 Assets'!$B$4:$P$4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'A.11 Assets'!$B$8:$P$8</c:f>
              <c:numCache>
                <c:formatCode>_-* #,##0_-;\-* #,##0_-;_-* "-"??_-;_-@_-</c:formatCode>
                <c:ptCount val="15"/>
                <c:pt idx="0">
                  <c:v>712.8</c:v>
                </c:pt>
                <c:pt idx="1">
                  <c:v>714</c:v>
                </c:pt>
                <c:pt idx="2">
                  <c:v>744.5</c:v>
                </c:pt>
                <c:pt idx="3">
                  <c:v>746.8</c:v>
                </c:pt>
                <c:pt idx="4">
                  <c:v>812.3</c:v>
                </c:pt>
                <c:pt idx="5">
                  <c:v>1075.8</c:v>
                </c:pt>
                <c:pt idx="6">
                  <c:v>1120.2</c:v>
                </c:pt>
                <c:pt idx="7">
                  <c:v>1167.5999999999999</c:v>
                </c:pt>
                <c:pt idx="8">
                  <c:v>1208.4000000000001</c:v>
                </c:pt>
                <c:pt idx="9">
                  <c:v>1268</c:v>
                </c:pt>
                <c:pt idx="10">
                  <c:v>1313.3</c:v>
                </c:pt>
                <c:pt idx="11">
                  <c:v>1270.3</c:v>
                </c:pt>
                <c:pt idx="12">
                  <c:v>1340.4</c:v>
                </c:pt>
                <c:pt idx="13">
                  <c:v>1435.3</c:v>
                </c:pt>
                <c:pt idx="14">
                  <c:v>1539.1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B1-4457-BF51-2236F9A19203}"/>
            </c:ext>
          </c:extLst>
        </c:ser>
        <c:ser>
          <c:idx val="1"/>
          <c:order val="1"/>
          <c:tx>
            <c:strRef>
              <c:f>'A.11 Assets'!$A$6</c:f>
              <c:strCache>
                <c:ptCount val="1"/>
                <c:pt idx="0">
                  <c:v>Trade and other receivables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'A.11 Assets'!$B$4:$P$4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'A.11 Assets'!$B$6:$P$6</c:f>
              <c:numCache>
                <c:formatCode>_-* #,##0_-;\-* #,##0_-;_-* "-"??_-;_-@_-</c:formatCode>
                <c:ptCount val="15"/>
                <c:pt idx="0">
                  <c:v>14.4</c:v>
                </c:pt>
                <c:pt idx="1">
                  <c:v>15.1</c:v>
                </c:pt>
                <c:pt idx="2">
                  <c:v>15.9</c:v>
                </c:pt>
                <c:pt idx="3">
                  <c:v>16.600000000000001</c:v>
                </c:pt>
                <c:pt idx="4">
                  <c:v>17.7</c:v>
                </c:pt>
                <c:pt idx="5">
                  <c:v>12.7</c:v>
                </c:pt>
                <c:pt idx="6">
                  <c:v>14.4</c:v>
                </c:pt>
                <c:pt idx="7">
                  <c:v>15.2</c:v>
                </c:pt>
                <c:pt idx="8">
                  <c:v>19.100000000000001</c:v>
                </c:pt>
                <c:pt idx="9">
                  <c:v>17.899999999999999</c:v>
                </c:pt>
                <c:pt idx="10">
                  <c:v>22.3</c:v>
                </c:pt>
                <c:pt idx="11">
                  <c:v>20.6</c:v>
                </c:pt>
                <c:pt idx="12">
                  <c:v>22.4</c:v>
                </c:pt>
                <c:pt idx="13">
                  <c:v>22.7</c:v>
                </c:pt>
                <c:pt idx="14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1-4457-BF51-2236F9A19203}"/>
            </c:ext>
          </c:extLst>
        </c:ser>
        <c:ser>
          <c:idx val="2"/>
          <c:order val="2"/>
          <c:tx>
            <c:strRef>
              <c:f>'A.11 Assets'!$A$7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'A.11 Assets'!$B$4:$P$4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'A.11 Assets'!$B$7:$P$7</c:f>
              <c:numCache>
                <c:formatCode>_-* #,##0_-;\-* #,##0_-;_-* "-"??_-;_-@_-</c:formatCode>
                <c:ptCount val="15"/>
                <c:pt idx="0">
                  <c:v>214.00000000000006</c:v>
                </c:pt>
                <c:pt idx="1">
                  <c:v>222.59999999999991</c:v>
                </c:pt>
                <c:pt idx="2">
                  <c:v>218.89999999999992</c:v>
                </c:pt>
                <c:pt idx="3">
                  <c:v>217.90000000000003</c:v>
                </c:pt>
                <c:pt idx="4">
                  <c:v>225.79999999999984</c:v>
                </c:pt>
                <c:pt idx="5">
                  <c:v>229.30000000000018</c:v>
                </c:pt>
                <c:pt idx="6">
                  <c:v>234.80000000000007</c:v>
                </c:pt>
                <c:pt idx="7">
                  <c:v>261.30000000000007</c:v>
                </c:pt>
                <c:pt idx="8">
                  <c:v>278.69999999999982</c:v>
                </c:pt>
                <c:pt idx="9">
                  <c:v>298.00000000000011</c:v>
                </c:pt>
                <c:pt idx="10">
                  <c:v>286.70000000000005</c:v>
                </c:pt>
                <c:pt idx="11">
                  <c:v>310.0999999999998</c:v>
                </c:pt>
                <c:pt idx="12">
                  <c:v>326.70000000000005</c:v>
                </c:pt>
                <c:pt idx="13">
                  <c:v>375.20000000000016</c:v>
                </c:pt>
                <c:pt idx="14">
                  <c:v>383.1999999999997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1-4457-BF51-2236F9A19203}"/>
            </c:ext>
          </c:extLst>
        </c:ser>
        <c:ser>
          <c:idx val="0"/>
          <c:order val="3"/>
          <c:tx>
            <c:strRef>
              <c:f>'A.11 Assets'!$A$5</c:f>
              <c:strCache>
                <c:ptCount val="1"/>
                <c:pt idx="0">
                  <c:v>Other financial assets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'A.11 Assets'!$B$4:$P$4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'A.11 Assets'!$B$5:$P$5</c:f>
              <c:numCache>
                <c:formatCode>_-* #,##0_-;\-* #,##0_-;_-* "-"??_-;_-@_-</c:formatCode>
                <c:ptCount val="15"/>
                <c:pt idx="0">
                  <c:v>308.3</c:v>
                </c:pt>
                <c:pt idx="1">
                  <c:v>282.60000000000002</c:v>
                </c:pt>
                <c:pt idx="2">
                  <c:v>291.3</c:v>
                </c:pt>
                <c:pt idx="3">
                  <c:v>316.2</c:v>
                </c:pt>
                <c:pt idx="4">
                  <c:v>359.1</c:v>
                </c:pt>
                <c:pt idx="5">
                  <c:v>365.5</c:v>
                </c:pt>
                <c:pt idx="6">
                  <c:v>373</c:v>
                </c:pt>
                <c:pt idx="7">
                  <c:v>458.9</c:v>
                </c:pt>
                <c:pt idx="8">
                  <c:v>507.6</c:v>
                </c:pt>
                <c:pt idx="9">
                  <c:v>514.90000000000009</c:v>
                </c:pt>
                <c:pt idx="10">
                  <c:v>516.20000000000005</c:v>
                </c:pt>
                <c:pt idx="11">
                  <c:v>605.70000000000005</c:v>
                </c:pt>
                <c:pt idx="12">
                  <c:v>724.8</c:v>
                </c:pt>
                <c:pt idx="13">
                  <c:v>721.1</c:v>
                </c:pt>
                <c:pt idx="14">
                  <c:v>707.6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1-4457-BF51-2236F9A19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2228832"/>
        <c:axId val="492224872"/>
      </c:barChart>
      <c:catAx>
        <c:axId val="4922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24872"/>
        <c:crosses val="autoZero"/>
        <c:auto val="1"/>
        <c:lblAlgn val="ctr"/>
        <c:lblOffset val="100"/>
        <c:noMultiLvlLbl val="0"/>
      </c:catAx>
      <c:valAx>
        <c:axId val="49222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2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'A.47 State Pension'!$A$31</c:f>
              <c:strCache>
                <c:ptCount val="1"/>
                <c:pt idx="0">
                  <c:v>State Pension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'A.47 State Pension'!$B$29:$P$29</c:f>
              <c:strCache>
                <c:ptCount val="15"/>
                <c:pt idx="0">
                  <c:v>2023-24</c:v>
                </c:pt>
                <c:pt idx="1">
                  <c:v>2022-23</c:v>
                </c:pt>
                <c:pt idx="2">
                  <c:v>2021-22</c:v>
                </c:pt>
                <c:pt idx="3">
                  <c:v>2020-21</c:v>
                </c:pt>
                <c:pt idx="4">
                  <c:v>2019-20</c:v>
                </c:pt>
                <c:pt idx="5">
                  <c:v>2018-19</c:v>
                </c:pt>
                <c:pt idx="6">
                  <c:v>2017-18</c:v>
                </c:pt>
                <c:pt idx="7">
                  <c:v>2016-17</c:v>
                </c:pt>
                <c:pt idx="8">
                  <c:v>2015-16</c:v>
                </c:pt>
                <c:pt idx="9">
                  <c:v>2014-15</c:v>
                </c:pt>
                <c:pt idx="10">
                  <c:v>2013-14</c:v>
                </c:pt>
                <c:pt idx="11">
                  <c:v>2012-13</c:v>
                </c:pt>
                <c:pt idx="12">
                  <c:v>2011-12</c:v>
                </c:pt>
                <c:pt idx="13">
                  <c:v>2010-11</c:v>
                </c:pt>
                <c:pt idx="14">
                  <c:v>2009-10</c:v>
                </c:pt>
              </c:strCache>
            </c:strRef>
          </c:cat>
          <c:val>
            <c:numRef>
              <c:f>'A.47 State Pension'!$B$31:$P$31</c:f>
              <c:numCache>
                <c:formatCode>General</c:formatCode>
                <c:ptCount val="15"/>
                <c:pt idx="0">
                  <c:v>127.3</c:v>
                </c:pt>
                <c:pt idx="1">
                  <c:v>112.6</c:v>
                </c:pt>
                <c:pt idx="2">
                  <c:v>106.8</c:v>
                </c:pt>
                <c:pt idx="3">
                  <c:v>103.5</c:v>
                </c:pt>
                <c:pt idx="4">
                  <c:v>101.2</c:v>
                </c:pt>
                <c:pt idx="5" formatCode="_-* #,##0.0_-;\(#,##0.0\);_-* &quot;-&quot;??_-;_-@_-">
                  <c:v>99.091688000000005</c:v>
                </c:pt>
                <c:pt idx="6" formatCode="_-* #,##0.0_-;\(#,##0.0\);_-* &quot;-&quot;??_-;_-@_-">
                  <c:v>96.1</c:v>
                </c:pt>
                <c:pt idx="7" formatCode="_-* #,##0.0_-;\(#,##0.0\);_-* &quot;-&quot;??_-;_-@_-">
                  <c:v>93.8</c:v>
                </c:pt>
                <c:pt idx="8" formatCode="_-* #,##0.0_-;\(#,##0.0\);_-* &quot;-&quot;??_-;_-@_-">
                  <c:v>91.5</c:v>
                </c:pt>
                <c:pt idx="9" formatCode="_-* #,##0.0_-;\(#,##0.0\);_-* &quot;-&quot;??_-;_-@_-">
                  <c:v>88.6</c:v>
                </c:pt>
                <c:pt idx="10" formatCode="_-* #,##0.0_-;\(#,##0.0\);_-* &quot;-&quot;??_-;_-@_-">
                  <c:v>85</c:v>
                </c:pt>
                <c:pt idx="11">
                  <c:v>83.8</c:v>
                </c:pt>
                <c:pt idx="12">
                  <c:v>78.099999999999994</c:v>
                </c:pt>
                <c:pt idx="13">
                  <c:v>74.099999999999994</c:v>
                </c:pt>
                <c:pt idx="14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2B-4FFD-97A8-370E606BC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741864"/>
        <c:axId val="636740784"/>
      </c:barChart>
      <c:catAx>
        <c:axId val="6367418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40784"/>
        <c:crosses val="autoZero"/>
        <c:auto val="1"/>
        <c:lblAlgn val="ctr"/>
        <c:lblOffset val="100"/>
        <c:noMultiLvlLbl val="0"/>
      </c:catAx>
      <c:valAx>
        <c:axId val="63674078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4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'A.48 Disability'!$C$23</c:f>
              <c:strCache>
                <c:ptCount val="1"/>
                <c:pt idx="0">
                  <c:v> Disability Living Allowance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'A.48 Disability'!$B$24:$B$38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 </c:v>
                </c:pt>
                <c:pt idx="7">
                  <c:v>2016-17 </c:v>
                </c:pt>
                <c:pt idx="8">
                  <c:v>2017-18 </c:v>
                </c:pt>
                <c:pt idx="9">
                  <c:v>2018-19 </c:v>
                </c:pt>
                <c:pt idx="10">
                  <c:v>2019-20 </c:v>
                </c:pt>
                <c:pt idx="11">
                  <c:v>2020-21 </c:v>
                </c:pt>
                <c:pt idx="12">
                  <c:v>2021-22 </c:v>
                </c:pt>
                <c:pt idx="13">
                  <c:v>2022-23 </c:v>
                </c:pt>
                <c:pt idx="14">
                  <c:v>2023-24 </c:v>
                </c:pt>
              </c:strCache>
            </c:strRef>
          </c:cat>
          <c:val>
            <c:numRef>
              <c:f>'A.48 Disability'!$C$24:$C$38</c:f>
              <c:numCache>
                <c:formatCode>_-* #,##0_-;\-* #,##0_-;_-* "-"??_-;_-@_-</c:formatCode>
                <c:ptCount val="15"/>
                <c:pt idx="0">
                  <c:v>3133</c:v>
                </c:pt>
                <c:pt idx="1">
                  <c:v>3205</c:v>
                </c:pt>
                <c:pt idx="2">
                  <c:v>3253</c:v>
                </c:pt>
                <c:pt idx="3">
                  <c:v>3307</c:v>
                </c:pt>
                <c:pt idx="4">
                  <c:v>3307</c:v>
                </c:pt>
                <c:pt idx="5">
                  <c:v>3214</c:v>
                </c:pt>
                <c:pt idx="6">
                  <c:v>3015</c:v>
                </c:pt>
                <c:pt idx="7">
                  <c:v>2628</c:v>
                </c:pt>
                <c:pt idx="8">
                  <c:v>2126</c:v>
                </c:pt>
                <c:pt idx="9">
                  <c:v>1789</c:v>
                </c:pt>
                <c:pt idx="10">
                  <c:v>1387</c:v>
                </c:pt>
                <c:pt idx="11">
                  <c:v>1232</c:v>
                </c:pt>
                <c:pt idx="12">
                  <c:v>1206</c:v>
                </c:pt>
                <c:pt idx="13">
                  <c:v>1214</c:v>
                </c:pt>
                <c:pt idx="14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E-45DB-91B3-9FB6AA99D69D}"/>
            </c:ext>
          </c:extLst>
        </c:ser>
        <c:ser>
          <c:idx val="1"/>
          <c:order val="1"/>
          <c:tx>
            <c:strRef>
              <c:f>'A.48 Disability'!$D$23</c:f>
              <c:strCache>
                <c:ptCount val="1"/>
                <c:pt idx="0">
                  <c:v> Personal Independence Payment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'A.48 Disability'!$B$24:$B$38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 </c:v>
                </c:pt>
                <c:pt idx="7">
                  <c:v>2016-17 </c:v>
                </c:pt>
                <c:pt idx="8">
                  <c:v>2017-18 </c:v>
                </c:pt>
                <c:pt idx="9">
                  <c:v>2018-19 </c:v>
                </c:pt>
                <c:pt idx="10">
                  <c:v>2019-20 </c:v>
                </c:pt>
                <c:pt idx="11">
                  <c:v>2020-21 </c:v>
                </c:pt>
                <c:pt idx="12">
                  <c:v>2021-22 </c:v>
                </c:pt>
                <c:pt idx="13">
                  <c:v>2022-23 </c:v>
                </c:pt>
                <c:pt idx="14">
                  <c:v>2023-24 </c:v>
                </c:pt>
              </c:strCache>
            </c:strRef>
          </c:cat>
          <c:val>
            <c:numRef>
              <c:f>'A.48 Disability'!$D$24:$D$38</c:f>
              <c:numCache>
                <c:formatCode>_-* #,##0_-;\-* #,##0_-;_-*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200</c:v>
                </c:pt>
                <c:pt idx="6">
                  <c:v>594</c:v>
                </c:pt>
                <c:pt idx="7">
                  <c:v>1056</c:v>
                </c:pt>
                <c:pt idx="8">
                  <c:v>1558</c:v>
                </c:pt>
                <c:pt idx="9">
                  <c:v>1919</c:v>
                </c:pt>
                <c:pt idx="10">
                  <c:v>2080</c:v>
                </c:pt>
                <c:pt idx="11">
                  <c:v>2356</c:v>
                </c:pt>
                <c:pt idx="12">
                  <c:v>2552</c:v>
                </c:pt>
                <c:pt idx="13">
                  <c:v>2858</c:v>
                </c:pt>
                <c:pt idx="14">
                  <c:v>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E-45DB-91B3-9FB6AA99D69D}"/>
            </c:ext>
          </c:extLst>
        </c:ser>
        <c:ser>
          <c:idx val="2"/>
          <c:order val="2"/>
          <c:tx>
            <c:strRef>
              <c:f>'A.48 Disability'!$E$23</c:f>
              <c:strCache>
                <c:ptCount val="1"/>
                <c:pt idx="0">
                  <c:v> Armed Forces Independence Payment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'A.48 Disability'!$B$24:$B$38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 </c:v>
                </c:pt>
                <c:pt idx="7">
                  <c:v>2016-17 </c:v>
                </c:pt>
                <c:pt idx="8">
                  <c:v>2017-18 </c:v>
                </c:pt>
                <c:pt idx="9">
                  <c:v>2018-19 </c:v>
                </c:pt>
                <c:pt idx="10">
                  <c:v>2019-20 </c:v>
                </c:pt>
                <c:pt idx="11">
                  <c:v>2020-21 </c:v>
                </c:pt>
                <c:pt idx="12">
                  <c:v>2021-22 </c:v>
                </c:pt>
                <c:pt idx="13">
                  <c:v>2022-23 </c:v>
                </c:pt>
                <c:pt idx="14">
                  <c:v>2023-24 </c:v>
                </c:pt>
              </c:strCache>
            </c:strRef>
          </c:cat>
          <c:val>
            <c:numRef>
              <c:f>'A.48 Disability'!$E$24:$E$38</c:f>
              <c:numCache>
                <c:formatCode>_-* #,##0_-;\-* #,##0_-;_-* "-"??_-;_-@_-</c:formatCode>
                <c:ptCount val="15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7E-45DB-91B3-9FB6AA99D69D}"/>
            </c:ext>
          </c:extLst>
        </c:ser>
        <c:ser>
          <c:idx val="3"/>
          <c:order val="3"/>
          <c:tx>
            <c:strRef>
              <c:f>'A.48 Disability'!$F$23</c:f>
              <c:strCache>
                <c:ptCount val="1"/>
                <c:pt idx="0">
                  <c:v> Attendance Allowance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'A.48 Disability'!$B$24:$B$38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 </c:v>
                </c:pt>
                <c:pt idx="7">
                  <c:v>2016-17 </c:v>
                </c:pt>
                <c:pt idx="8">
                  <c:v>2017-18 </c:v>
                </c:pt>
                <c:pt idx="9">
                  <c:v>2018-19 </c:v>
                </c:pt>
                <c:pt idx="10">
                  <c:v>2019-20 </c:v>
                </c:pt>
                <c:pt idx="11">
                  <c:v>2020-21 </c:v>
                </c:pt>
                <c:pt idx="12">
                  <c:v>2021-22 </c:v>
                </c:pt>
                <c:pt idx="13">
                  <c:v>2022-23 </c:v>
                </c:pt>
                <c:pt idx="14">
                  <c:v>2023-24 </c:v>
                </c:pt>
              </c:strCache>
            </c:strRef>
          </c:cat>
          <c:val>
            <c:numRef>
              <c:f>'A.48 Disability'!$F$24:$F$38</c:f>
              <c:numCache>
                <c:formatCode>_-* #,##0_-;\-* #,##0_-;_-* "-"??_-;_-@_-</c:formatCode>
                <c:ptCount val="15"/>
                <c:pt idx="0">
                  <c:v>1776</c:v>
                </c:pt>
                <c:pt idx="1">
                  <c:v>1782</c:v>
                </c:pt>
                <c:pt idx="2">
                  <c:v>1756</c:v>
                </c:pt>
                <c:pt idx="3">
                  <c:v>1710</c:v>
                </c:pt>
                <c:pt idx="4">
                  <c:v>1641</c:v>
                </c:pt>
                <c:pt idx="5">
                  <c:v>1617</c:v>
                </c:pt>
                <c:pt idx="6">
                  <c:v>1603</c:v>
                </c:pt>
                <c:pt idx="7">
                  <c:v>1594</c:v>
                </c:pt>
                <c:pt idx="8">
                  <c:v>1578</c:v>
                </c:pt>
                <c:pt idx="9">
                  <c:v>1570</c:v>
                </c:pt>
                <c:pt idx="10">
                  <c:v>1587</c:v>
                </c:pt>
                <c:pt idx="11">
                  <c:v>1382</c:v>
                </c:pt>
                <c:pt idx="12">
                  <c:v>1373</c:v>
                </c:pt>
                <c:pt idx="13">
                  <c:v>1420</c:v>
                </c:pt>
                <c:pt idx="14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E-45DB-91B3-9FB6AA99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0115096"/>
        <c:axId val="1070115816"/>
      </c:barChart>
      <c:lineChart>
        <c:grouping val="standard"/>
        <c:varyColors val="0"/>
        <c:ser>
          <c:idx val="5"/>
          <c:order val="4"/>
          <c:tx>
            <c:strRef>
              <c:f>'A.48 Disability'!$G$23</c:f>
              <c:strCache>
                <c:ptCount val="1"/>
                <c:pt idx="0">
                  <c:v> WGA Disability Benefits (£ billion)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'A.48 Disability'!$B$24:$B$38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 </c:v>
                </c:pt>
                <c:pt idx="7">
                  <c:v>2016-17 </c:v>
                </c:pt>
                <c:pt idx="8">
                  <c:v>2017-18 </c:v>
                </c:pt>
                <c:pt idx="9">
                  <c:v>2018-19 </c:v>
                </c:pt>
                <c:pt idx="10">
                  <c:v>2019-20 </c:v>
                </c:pt>
                <c:pt idx="11">
                  <c:v>2020-21 </c:v>
                </c:pt>
                <c:pt idx="12">
                  <c:v>2021-22 </c:v>
                </c:pt>
                <c:pt idx="13">
                  <c:v>2022-23 </c:v>
                </c:pt>
                <c:pt idx="14">
                  <c:v>2023-24 </c:v>
                </c:pt>
              </c:strCache>
            </c:strRef>
          </c:cat>
          <c:val>
            <c:numRef>
              <c:f>'A.48 Disability'!$G$24:$G$38</c:f>
              <c:numCache>
                <c:formatCode>_-* #,##0_-;\-* #,##0_-;_-* "-"??_-;_-@_-</c:formatCode>
                <c:ptCount val="15"/>
                <c:pt idx="0">
                  <c:v>25.6</c:v>
                </c:pt>
                <c:pt idx="1">
                  <c:v>26.5</c:v>
                </c:pt>
                <c:pt idx="2">
                  <c:v>26.9</c:v>
                </c:pt>
                <c:pt idx="3">
                  <c:v>26.4</c:v>
                </c:pt>
                <c:pt idx="4">
                  <c:v>24.6</c:v>
                </c:pt>
                <c:pt idx="5">
                  <c:v>24.4</c:v>
                </c:pt>
                <c:pt idx="6">
                  <c:v>25.7</c:v>
                </c:pt>
                <c:pt idx="7">
                  <c:v>26.1</c:v>
                </c:pt>
                <c:pt idx="8">
                  <c:v>27.3</c:v>
                </c:pt>
                <c:pt idx="9">
                  <c:v>29</c:v>
                </c:pt>
                <c:pt idx="10">
                  <c:v>31</c:v>
                </c:pt>
                <c:pt idx="11">
                  <c:v>32.799999999999997</c:v>
                </c:pt>
                <c:pt idx="12">
                  <c:v>34.200000000000003</c:v>
                </c:pt>
                <c:pt idx="13">
                  <c:v>34.4</c:v>
                </c:pt>
                <c:pt idx="14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7E-45DB-91B3-9FB6AA99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343504"/>
        <c:axId val="1076345304"/>
      </c:lineChart>
      <c:catAx>
        <c:axId val="107011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070115816"/>
        <c:crosses val="autoZero"/>
        <c:auto val="1"/>
        <c:lblAlgn val="ctr"/>
        <c:lblOffset val="100"/>
        <c:noMultiLvlLbl val="0"/>
      </c:catAx>
      <c:valAx>
        <c:axId val="10701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Claimants (thousands)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070115096"/>
        <c:crosses val="autoZero"/>
        <c:crossBetween val="between"/>
      </c:valAx>
      <c:valAx>
        <c:axId val="1076345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076343504"/>
        <c:crosses val="max"/>
        <c:crossBetween val="between"/>
      </c:valAx>
      <c:catAx>
        <c:axId val="107634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6345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'A.49 Working Age'!$G$25</c:f>
              <c:strCache>
                <c:ptCount val="1"/>
                <c:pt idx="0">
                  <c:v>Average claimant count (thousands)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'A.49 Working Age'!$F$26:$F$40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'A.49 Working Age'!$G$26:$G$40</c:f>
              <c:numCache>
                <c:formatCode>_-* #,##0_-;\-* #,##0_-;_-* "-"??_-;_-@_-</c:formatCode>
                <c:ptCount val="15"/>
                <c:pt idx="0">
                  <c:v>1502.85</c:v>
                </c:pt>
                <c:pt idx="1">
                  <c:v>1506.05</c:v>
                </c:pt>
                <c:pt idx="2">
                  <c:v>1535.1</c:v>
                </c:pt>
                <c:pt idx="3">
                  <c:v>1568.65</c:v>
                </c:pt>
                <c:pt idx="4">
                  <c:v>1341.55</c:v>
                </c:pt>
                <c:pt idx="5">
                  <c:v>983.65</c:v>
                </c:pt>
                <c:pt idx="6">
                  <c:v>790.65</c:v>
                </c:pt>
                <c:pt idx="7">
                  <c:v>774.65</c:v>
                </c:pt>
                <c:pt idx="8">
                  <c:v>818.7</c:v>
                </c:pt>
                <c:pt idx="9">
                  <c:v>957</c:v>
                </c:pt>
                <c:pt idx="10">
                  <c:v>1144.6500000000001</c:v>
                </c:pt>
                <c:pt idx="11">
                  <c:v>1931.4</c:v>
                </c:pt>
                <c:pt idx="12">
                  <c:v>2153.4499999999998</c:v>
                </c:pt>
                <c:pt idx="13">
                  <c:v>1599.4</c:v>
                </c:pt>
                <c:pt idx="14">
                  <c:v>1553.15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3-4CC7-AFF4-D4820596E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969104"/>
        <c:axId val="842965864"/>
      </c:barChart>
      <c:lineChart>
        <c:grouping val="standard"/>
        <c:varyColors val="0"/>
        <c:ser>
          <c:idx val="1"/>
          <c:order val="1"/>
          <c:tx>
            <c:strRef>
              <c:f>'A.49 Working Age'!$H$25</c:f>
              <c:strCache>
                <c:ptCount val="1"/>
                <c:pt idx="0">
                  <c:v>Working Age benefits (£ bn)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'A.49 Working Age'!$F$26:$F$40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'A.49 Working Age'!$H$26:$H$40</c:f>
              <c:numCache>
                <c:formatCode>General</c:formatCode>
                <c:ptCount val="15"/>
                <c:pt idx="0">
                  <c:v>14.8</c:v>
                </c:pt>
                <c:pt idx="1">
                  <c:v>15.2</c:v>
                </c:pt>
                <c:pt idx="2">
                  <c:v>16.100000000000001</c:v>
                </c:pt>
                <c:pt idx="3">
                  <c:v>17.8</c:v>
                </c:pt>
                <c:pt idx="4">
                  <c:v>19.399999999999999</c:v>
                </c:pt>
                <c:pt idx="5">
                  <c:v>25.2</c:v>
                </c:pt>
                <c:pt idx="6">
                  <c:v>25.8</c:v>
                </c:pt>
                <c:pt idx="7">
                  <c:v>25.1</c:v>
                </c:pt>
                <c:pt idx="8">
                  <c:v>26.7</c:v>
                </c:pt>
                <c:pt idx="9">
                  <c:v>30.7</c:v>
                </c:pt>
                <c:pt idx="10">
                  <c:v>38.6</c:v>
                </c:pt>
                <c:pt idx="11">
                  <c:v>59.3</c:v>
                </c:pt>
                <c:pt idx="12">
                  <c:v>60</c:v>
                </c:pt>
                <c:pt idx="13">
                  <c:v>61.3</c:v>
                </c:pt>
                <c:pt idx="14" formatCode="_-* #,##0_-;\-* #,##0_-;_-* &quot;-&quot;??_-;_-@_-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3-4CC7-AFF4-D4820596E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856720"/>
        <c:axId val="755854920"/>
      </c:lineChart>
      <c:catAx>
        <c:axId val="8429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842965864"/>
        <c:crosses val="autoZero"/>
        <c:auto val="1"/>
        <c:lblAlgn val="ctr"/>
        <c:lblOffset val="100"/>
        <c:noMultiLvlLbl val="0"/>
      </c:catAx>
      <c:valAx>
        <c:axId val="84296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Claimant Count (thousands)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842969104"/>
        <c:crosses val="autoZero"/>
        <c:crossBetween val="between"/>
      </c:valAx>
      <c:valAx>
        <c:axId val="7558549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Working Age Benefits (£ billion)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755856720"/>
        <c:crosses val="max"/>
        <c:crossBetween val="between"/>
      </c:valAx>
      <c:catAx>
        <c:axId val="75585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5854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'A.50 Staff Cost'!$A$24</c:f>
              <c:strCache>
                <c:ptCount val="1"/>
                <c:pt idx="0">
                  <c:v>Salaries and wages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'A.50 Staff Cost'!$B$23:$P$23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'A.50 Staff Cost'!$B$24:$P$24</c:f>
              <c:numCache>
                <c:formatCode>General</c:formatCode>
                <c:ptCount val="15"/>
                <c:pt idx="0">
                  <c:v>151.19999999999999</c:v>
                </c:pt>
                <c:pt idx="1">
                  <c:v>151.80000000000001</c:v>
                </c:pt>
                <c:pt idx="2">
                  <c:v>147.69999999999999</c:v>
                </c:pt>
                <c:pt idx="3">
                  <c:v>147.6</c:v>
                </c:pt>
                <c:pt idx="4">
                  <c:v>148.19999999999999</c:v>
                </c:pt>
                <c:pt idx="5">
                  <c:v>148.5</c:v>
                </c:pt>
                <c:pt idx="6">
                  <c:v>149.6</c:v>
                </c:pt>
                <c:pt idx="7">
                  <c:v>151</c:v>
                </c:pt>
                <c:pt idx="8">
                  <c:v>152.80000000000001</c:v>
                </c:pt>
                <c:pt idx="9">
                  <c:v>159.4</c:v>
                </c:pt>
                <c:pt idx="10">
                  <c:v>168.2</c:v>
                </c:pt>
                <c:pt idx="11">
                  <c:v>171</c:v>
                </c:pt>
                <c:pt idx="12">
                  <c:v>175.6</c:v>
                </c:pt>
                <c:pt idx="13">
                  <c:v>188.1</c:v>
                </c:pt>
                <c:pt idx="14">
                  <c:v>199.1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2-43BF-B40C-6C9D08589E96}"/>
            </c:ext>
          </c:extLst>
        </c:ser>
        <c:ser>
          <c:idx val="1"/>
          <c:order val="1"/>
          <c:tx>
            <c:strRef>
              <c:f>'A.50 Staff Cost'!$A$25</c:f>
              <c:strCache>
                <c:ptCount val="1"/>
                <c:pt idx="0">
                  <c:v>Pension 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_-* #,##0_-;\(#,##0\)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'A.50 Staff Cost'!$B$23:$P$23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'A.50 Staff Cost'!$B$25:$P$25</c:f>
              <c:numCache>
                <c:formatCode>General</c:formatCode>
                <c:ptCount val="15"/>
                <c:pt idx="0">
                  <c:v>27.7</c:v>
                </c:pt>
                <c:pt idx="1">
                  <c:v>40.1</c:v>
                </c:pt>
                <c:pt idx="2">
                  <c:v>34.300000000000004</c:v>
                </c:pt>
                <c:pt idx="3">
                  <c:v>35.199999999999996</c:v>
                </c:pt>
                <c:pt idx="4" formatCode="_-* #,##0.0_-;\(#,##0.0\);_-* &quot;-&quot;??_-;_-@_-">
                  <c:v>39</c:v>
                </c:pt>
                <c:pt idx="5" formatCode="_-* #,##0.0_-;\(#,##0.0\);_-* &quot;-&quot;??_-;_-@_-">
                  <c:v>37</c:v>
                </c:pt>
                <c:pt idx="6" formatCode="_-* #,##0.0_-;\(#,##0.0\);_-* &quot;-&quot;??_-;_-@_-">
                  <c:v>43.7</c:v>
                </c:pt>
                <c:pt idx="7" formatCode="_-* #,##0.0_-;\(#,##0.0\);_-* &quot;-&quot;??_-;_-@_-">
                  <c:v>40.1</c:v>
                </c:pt>
                <c:pt idx="8" formatCode="_-* #,##0.0_-;\(#,##0.0\);_-* &quot;-&quot;??_-;_-@_-">
                  <c:v>63</c:v>
                </c:pt>
                <c:pt idx="9" formatCode="_-* #,##0.0_-;\(#,##0.0\);_-* &quot;-&quot;??_-;_-@_-">
                  <c:v>96.26</c:v>
                </c:pt>
                <c:pt idx="10" formatCode="_-* #,##0.0_-;\(#,##0.0\);_-* &quot;-&quot;??_-;_-@_-">
                  <c:v>67.100000000000009</c:v>
                </c:pt>
                <c:pt idx="11" formatCode="_-* #,##0.0_-;\(#,##0.0\);_-* &quot;-&quot;??_-;_-@_-">
                  <c:v>82.5</c:v>
                </c:pt>
                <c:pt idx="12" formatCode="_-* #,##0.0_-;\(#,##0.0\);_-* &quot;-&quot;??_-;_-@_-">
                  <c:v>108.89999999999999</c:v>
                </c:pt>
                <c:pt idx="13" formatCode="_-* #,##0.0_-;\(#,##0.0\);_-* &quot;-&quot;??_-;_-@_-">
                  <c:v>118.59999999999998</c:v>
                </c:pt>
                <c:pt idx="14" formatCode="_-* #,##0.0_-;\(#,##0.0\);_-* &quot;-&quot;??_-;_-@_-">
                  <c:v>41.400000000000006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2-43BF-B40C-6C9D0858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6810632"/>
        <c:axId val="536808280"/>
      </c:barChart>
      <c:lineChart>
        <c:grouping val="standard"/>
        <c:varyColors val="0"/>
        <c:ser>
          <c:idx val="2"/>
          <c:order val="2"/>
          <c:tx>
            <c:strRef>
              <c:f>'A.50 Staff Cost'!$A$29</c:f>
              <c:strCache>
                <c:ptCount val="1"/>
                <c:pt idx="0">
                  <c:v>Staff numbers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'A.50 Staff Cost'!$B$23:$O$23</c:f>
              <c:strCache>
                <c:ptCount val="14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</c:strCache>
            </c:strRef>
          </c:cat>
          <c:val>
            <c:numRef>
              <c:f>'A.50 Staff Cost'!$B$29:$P$29</c:f>
              <c:numCache>
                <c:formatCode>#,##0</c:formatCode>
                <c:ptCount val="15"/>
                <c:pt idx="0">
                  <c:v>4911.3680000000004</c:v>
                </c:pt>
                <c:pt idx="1">
                  <c:v>4741.2860000000001</c:v>
                </c:pt>
                <c:pt idx="2">
                  <c:v>4719.1409999999996</c:v>
                </c:pt>
                <c:pt idx="3">
                  <c:v>4615.4589999999998</c:v>
                </c:pt>
                <c:pt idx="4">
                  <c:v>4454.4549999999999</c:v>
                </c:pt>
                <c:pt idx="5">
                  <c:v>4434.1090000000004</c:v>
                </c:pt>
                <c:pt idx="6">
                  <c:v>4461.7650000000003</c:v>
                </c:pt>
                <c:pt idx="7">
                  <c:v>4406.6049999999996</c:v>
                </c:pt>
                <c:pt idx="8">
                  <c:v>4369.7740000000003</c:v>
                </c:pt>
                <c:pt idx="9">
                  <c:v>4430.1540000000005</c:v>
                </c:pt>
                <c:pt idx="10">
                  <c:v>4512.1090000000004</c:v>
                </c:pt>
                <c:pt idx="11">
                  <c:v>4337.0969999999998</c:v>
                </c:pt>
                <c:pt idx="12">
                  <c:v>4380.107</c:v>
                </c:pt>
                <c:pt idx="13">
                  <c:v>4421.9399999999996</c:v>
                </c:pt>
                <c:pt idx="14">
                  <c:v>4470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2-43BF-B40C-6C9D0858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974040"/>
        <c:axId val="542973648"/>
      </c:lineChart>
      <c:catAx>
        <c:axId val="536810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36808280"/>
        <c:crosses val="autoZero"/>
        <c:auto val="1"/>
        <c:lblAlgn val="ctr"/>
        <c:lblOffset val="100"/>
        <c:noMultiLvlLbl val="0"/>
      </c:catAx>
      <c:valAx>
        <c:axId val="53680828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#,##0\ ;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36810632"/>
        <c:crosses val="autoZero"/>
        <c:crossBetween val="between"/>
        <c:majorUnit val="40"/>
      </c:valAx>
      <c:valAx>
        <c:axId val="542973648"/>
        <c:scaling>
          <c:orientation val="minMax"/>
          <c:max val="5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thousands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542974040"/>
        <c:crosses val="max"/>
        <c:crossBetween val="between"/>
        <c:majorUnit val="1000"/>
      </c:valAx>
      <c:catAx>
        <c:axId val="542974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2973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'A.51 Staff Total Expenditure'!$A$4</c:f>
              <c:strCache>
                <c:ptCount val="1"/>
                <c:pt idx="0">
                  <c:v>Staff costs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'A.51 Staff Total Expenditure'!$B$3:$P$3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'A.51 Staff Total Expenditure'!$B$4:$P$4</c:f>
              <c:numCache>
                <c:formatCode>_-* #,##0.0_-;\(#,##0.0\);_-* "-"??_-;_-@_-</c:formatCode>
                <c:ptCount val="15"/>
                <c:pt idx="0" formatCode="General">
                  <c:v>179.7</c:v>
                </c:pt>
                <c:pt idx="1">
                  <c:v>193.1</c:v>
                </c:pt>
                <c:pt idx="2">
                  <c:v>183.2</c:v>
                </c:pt>
                <c:pt idx="3">
                  <c:v>183.6</c:v>
                </c:pt>
                <c:pt idx="4">
                  <c:v>187.8</c:v>
                </c:pt>
                <c:pt idx="5">
                  <c:v>185.5</c:v>
                </c:pt>
                <c:pt idx="6">
                  <c:v>193.3</c:v>
                </c:pt>
                <c:pt idx="7">
                  <c:v>191.1</c:v>
                </c:pt>
                <c:pt idx="8">
                  <c:v>215.8</c:v>
                </c:pt>
                <c:pt idx="9" formatCode="0.0">
                  <c:v>255.7</c:v>
                </c:pt>
                <c:pt idx="10" formatCode="General">
                  <c:v>235.3</c:v>
                </c:pt>
                <c:pt idx="11" formatCode="General">
                  <c:v>253.5</c:v>
                </c:pt>
                <c:pt idx="12" formatCode="General">
                  <c:v>284.5</c:v>
                </c:pt>
                <c:pt idx="13" formatCode="General">
                  <c:v>306.7</c:v>
                </c:pt>
                <c:pt idx="14" formatCode="General">
                  <c:v>240.5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7-403A-BEDD-D900CA3DD268}"/>
            </c:ext>
          </c:extLst>
        </c:ser>
        <c:ser>
          <c:idx val="1"/>
          <c:order val="1"/>
          <c:tx>
            <c:strRef>
              <c:f>'A.51 Staff Total Expenditure'!$A$5</c:f>
              <c:strCache>
                <c:ptCount val="1"/>
                <c:pt idx="0">
                  <c:v>Total expenditure on public services less staff 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'A.51 Staff Total Expenditure'!$B$3:$P$3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'A.51 Staff Total Expenditure'!$B$5:$P$5</c:f>
              <c:numCache>
                <c:formatCode>_-* #,##0.0_-;\(#,##0.0\);_-* "-"??_-;_-@_-</c:formatCode>
                <c:ptCount val="15"/>
                <c:pt idx="0">
                  <c:v>487.50000000000006</c:v>
                </c:pt>
                <c:pt idx="1">
                  <c:v>431.79999999999995</c:v>
                </c:pt>
                <c:pt idx="2">
                  <c:v>531.90000000000009</c:v>
                </c:pt>
                <c:pt idx="3">
                  <c:v>533.70000000000005</c:v>
                </c:pt>
                <c:pt idx="4">
                  <c:v>530.60000000000014</c:v>
                </c:pt>
                <c:pt idx="5">
                  <c:v>565.79999999999995</c:v>
                </c:pt>
                <c:pt idx="6">
                  <c:v>548.90000000000009</c:v>
                </c:pt>
                <c:pt idx="7">
                  <c:v>569.59999999999991</c:v>
                </c:pt>
                <c:pt idx="8">
                  <c:v>592.98520899999994</c:v>
                </c:pt>
                <c:pt idx="9">
                  <c:v>596.09999999999991</c:v>
                </c:pt>
                <c:pt idx="10">
                  <c:v>683.39999999999986</c:v>
                </c:pt>
                <c:pt idx="11">
                  <c:v>809.49999999999977</c:v>
                </c:pt>
                <c:pt idx="12">
                  <c:v>759.90000000000009</c:v>
                </c:pt>
                <c:pt idx="13">
                  <c:v>826.89999999999986</c:v>
                </c:pt>
                <c:pt idx="14">
                  <c:v>835.8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9-4BC8-A2D7-7912AC227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318752"/>
        <c:axId val="852316232"/>
      </c:barChart>
      <c:catAx>
        <c:axId val="8523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852316232"/>
        <c:crosses val="autoZero"/>
        <c:auto val="1"/>
        <c:lblAlgn val="ctr"/>
        <c:lblOffset val="100"/>
        <c:noMultiLvlLbl val="0"/>
      </c:catAx>
      <c:valAx>
        <c:axId val="85231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85231875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'A.52 Staff costs by sector '!$A$23</c:f>
              <c:strCache>
                <c:ptCount val="1"/>
                <c:pt idx="0">
                  <c:v>Salaries and wages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'A.52 Staff costs by sector '!$B$21:$G$22</c:f>
              <c:multiLvlStrCache>
                <c:ptCount val="6"/>
                <c:lvl>
                  <c:pt idx="0">
                    <c:v>2023-24</c:v>
                  </c:pt>
                  <c:pt idx="1">
                    <c:v>2022-23</c:v>
                  </c:pt>
                  <c:pt idx="2">
                    <c:v>2023-24</c:v>
                  </c:pt>
                  <c:pt idx="3">
                    <c:v>2022-23</c:v>
                  </c:pt>
                  <c:pt idx="4">
                    <c:v>2023-24</c:v>
                  </c:pt>
                  <c:pt idx="5">
                    <c:v>2022-23</c:v>
                  </c:pt>
                </c:lvl>
                <c:lvl>
                  <c:pt idx="0">
                    <c:v>Central Government</c:v>
                  </c:pt>
                  <c:pt idx="2">
                    <c:v>Local Government</c:v>
                  </c:pt>
                  <c:pt idx="4">
                    <c:v>Public Corps &amp; Banks</c:v>
                  </c:pt>
                </c:lvl>
              </c:multiLvlStrCache>
            </c:multiLvlStrRef>
          </c:cat>
          <c:val>
            <c:numRef>
              <c:f>'A.52 Staff costs by sector '!$B$23:$G$23</c:f>
              <c:numCache>
                <c:formatCode>_-* #,##0_-;\-* #,##0_-;_-* "-"??_-;_-@_-</c:formatCode>
                <c:ptCount val="6"/>
                <c:pt idx="0">
                  <c:v>150.06754699999999</c:v>
                </c:pt>
                <c:pt idx="1">
                  <c:v>139</c:v>
                </c:pt>
                <c:pt idx="2">
                  <c:v>43.958095</c:v>
                </c:pt>
                <c:pt idx="3">
                  <c:v>42.680886999999998</c:v>
                </c:pt>
                <c:pt idx="4">
                  <c:v>5.0947690000000003</c:v>
                </c:pt>
                <c:pt idx="5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C-42CD-AA79-6FC35CD2A1A9}"/>
            </c:ext>
          </c:extLst>
        </c:ser>
        <c:ser>
          <c:idx val="1"/>
          <c:order val="1"/>
          <c:tx>
            <c:strRef>
              <c:f>'A.52 Staff costs by sector '!$A$24</c:f>
              <c:strCache>
                <c:ptCount val="1"/>
                <c:pt idx="0">
                  <c:v>Pension 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'A.52 Staff costs by sector '!$B$21:$G$22</c:f>
              <c:multiLvlStrCache>
                <c:ptCount val="6"/>
                <c:lvl>
                  <c:pt idx="0">
                    <c:v>2023-24</c:v>
                  </c:pt>
                  <c:pt idx="1">
                    <c:v>2022-23</c:v>
                  </c:pt>
                  <c:pt idx="2">
                    <c:v>2023-24</c:v>
                  </c:pt>
                  <c:pt idx="3">
                    <c:v>2022-23</c:v>
                  </c:pt>
                  <c:pt idx="4">
                    <c:v>2023-24</c:v>
                  </c:pt>
                  <c:pt idx="5">
                    <c:v>2022-23</c:v>
                  </c:pt>
                </c:lvl>
                <c:lvl>
                  <c:pt idx="0">
                    <c:v>Central Government</c:v>
                  </c:pt>
                  <c:pt idx="2">
                    <c:v>Local Government</c:v>
                  </c:pt>
                  <c:pt idx="4">
                    <c:v>Public Corps &amp; Banks</c:v>
                  </c:pt>
                </c:lvl>
              </c:multiLvlStrCache>
            </c:multiLvlStrRef>
          </c:cat>
          <c:val>
            <c:numRef>
              <c:f>'A.52 Staff costs by sector '!$B$24:$G$24</c:f>
              <c:numCache>
                <c:formatCode>_-* #,##0_-;\-* #,##0_-;_-* "-"??_-;_-@_-</c:formatCode>
                <c:ptCount val="6"/>
                <c:pt idx="0">
                  <c:v>34.300662000000003</c:v>
                </c:pt>
                <c:pt idx="1">
                  <c:v>104.4</c:v>
                </c:pt>
                <c:pt idx="2">
                  <c:v>6.7030380000000003</c:v>
                </c:pt>
                <c:pt idx="3">
                  <c:v>13.9</c:v>
                </c:pt>
                <c:pt idx="4">
                  <c:v>0.34071200000000001</c:v>
                </c:pt>
                <c:pt idx="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C-42CD-AA79-6FC35CD2A1A9}"/>
            </c:ext>
          </c:extLst>
        </c:ser>
        <c:ser>
          <c:idx val="2"/>
          <c:order val="2"/>
          <c:tx>
            <c:strRef>
              <c:f>'A.52 Staff costs by sector '!$A$25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'A.52 Staff costs by sector '!$B$21:$G$22</c:f>
              <c:multiLvlStrCache>
                <c:ptCount val="6"/>
                <c:lvl>
                  <c:pt idx="0">
                    <c:v>2023-24</c:v>
                  </c:pt>
                  <c:pt idx="1">
                    <c:v>2022-23</c:v>
                  </c:pt>
                  <c:pt idx="2">
                    <c:v>2023-24</c:v>
                  </c:pt>
                  <c:pt idx="3">
                    <c:v>2022-23</c:v>
                  </c:pt>
                  <c:pt idx="4">
                    <c:v>2023-24</c:v>
                  </c:pt>
                  <c:pt idx="5">
                    <c:v>2022-23</c:v>
                  </c:pt>
                </c:lvl>
                <c:lvl>
                  <c:pt idx="0">
                    <c:v>Central Government</c:v>
                  </c:pt>
                  <c:pt idx="2">
                    <c:v>Local Government</c:v>
                  </c:pt>
                  <c:pt idx="4">
                    <c:v>Public Corps &amp; Banks</c:v>
                  </c:pt>
                </c:lvl>
              </c:multiLvlStrCache>
            </c:multiLvlStrRef>
          </c:cat>
          <c:val>
            <c:numRef>
              <c:f>'A.52 Staff costs by sector '!$B$25:$G$25</c:f>
              <c:numCache>
                <c:formatCode>_-* #,##0_-;\-* #,##0_-;_-* "-"??_-;_-@_-</c:formatCode>
                <c:ptCount val="6"/>
                <c:pt idx="0">
                  <c:v>184.36820899999998</c:v>
                </c:pt>
                <c:pt idx="1">
                  <c:v>243.4</c:v>
                </c:pt>
                <c:pt idx="2">
                  <c:v>50.661133</c:v>
                </c:pt>
                <c:pt idx="3">
                  <c:v>56.580886999999997</c:v>
                </c:pt>
                <c:pt idx="4">
                  <c:v>5.4354810000000002</c:v>
                </c:pt>
                <c:pt idx="5">
                  <c:v>7.1000000000000005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FC-42CD-AA79-6FC35CD2A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7286856"/>
        <c:axId val="577285056"/>
      </c:barChart>
      <c:catAx>
        <c:axId val="57728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285056"/>
        <c:crosses val="autoZero"/>
        <c:auto val="1"/>
        <c:lblAlgn val="ctr"/>
        <c:lblOffset val="100"/>
        <c:noMultiLvlLbl val="0"/>
      </c:catAx>
      <c:valAx>
        <c:axId val="57728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286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'A.53 Staff Numbers'!$A$23</c:f>
              <c:strCache>
                <c:ptCount val="1"/>
                <c:pt idx="0">
                  <c:v>Staff Numbers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'A.53 Staff Numbers'!$B$22:$P$22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'A.53 Staff Numbers'!$B$23:$P$23</c:f>
              <c:numCache>
                <c:formatCode>_-* #,##0_-;\-* #,##0_-;_-* "-"??_-;_-@_-</c:formatCode>
                <c:ptCount val="15"/>
                <c:pt idx="0">
                  <c:v>4911368</c:v>
                </c:pt>
                <c:pt idx="1">
                  <c:v>4741286</c:v>
                </c:pt>
                <c:pt idx="2">
                  <c:v>4719141</c:v>
                </c:pt>
                <c:pt idx="3">
                  <c:v>4615459</c:v>
                </c:pt>
                <c:pt idx="4">
                  <c:v>4454455</c:v>
                </c:pt>
                <c:pt idx="5">
                  <c:v>4434109</c:v>
                </c:pt>
                <c:pt idx="6">
                  <c:v>4461765</c:v>
                </c:pt>
                <c:pt idx="7">
                  <c:v>4406605</c:v>
                </c:pt>
                <c:pt idx="8">
                  <c:v>4369774</c:v>
                </c:pt>
                <c:pt idx="9">
                  <c:v>4430154</c:v>
                </c:pt>
                <c:pt idx="10">
                  <c:v>4512109</c:v>
                </c:pt>
                <c:pt idx="11">
                  <c:v>4337097</c:v>
                </c:pt>
                <c:pt idx="12">
                  <c:v>4380107</c:v>
                </c:pt>
                <c:pt idx="13">
                  <c:v>4421940</c:v>
                </c:pt>
                <c:pt idx="14">
                  <c:v>4470000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7-4E7B-A9E6-55A276528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216215424"/>
        <c:axId val="1216208944"/>
      </c:barChart>
      <c:catAx>
        <c:axId val="12162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6208944"/>
        <c:crosses val="autoZero"/>
        <c:auto val="1"/>
        <c:lblAlgn val="ctr"/>
        <c:lblOffset val="100"/>
        <c:noMultiLvlLbl val="0"/>
      </c:catAx>
      <c:valAx>
        <c:axId val="121620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62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'A.12 PPE'!$B$29</c:f>
              <c:strCache>
                <c:ptCount val="1"/>
                <c:pt idx="0">
                  <c:v>Infrastructure assets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'A.12 PPE'!$A$30:$A$44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'A.12 PPE'!$B$30:$B$44</c:f>
              <c:numCache>
                <c:formatCode>General</c:formatCode>
                <c:ptCount val="15"/>
                <c:pt idx="0">
                  <c:v>234.3</c:v>
                </c:pt>
                <c:pt idx="1">
                  <c:v>254.1</c:v>
                </c:pt>
                <c:pt idx="2">
                  <c:v>269.10000000000002</c:v>
                </c:pt>
                <c:pt idx="3">
                  <c:v>273.39999999999998</c:v>
                </c:pt>
                <c:pt idx="4">
                  <c:v>327.9</c:v>
                </c:pt>
                <c:pt idx="5">
                  <c:v>561.20000000000005</c:v>
                </c:pt>
                <c:pt idx="6">
                  <c:v>572.6</c:v>
                </c:pt>
                <c:pt idx="7">
                  <c:v>595.6</c:v>
                </c:pt>
                <c:pt idx="8">
                  <c:v>616.6</c:v>
                </c:pt>
                <c:pt idx="9">
                  <c:v>656.7</c:v>
                </c:pt>
                <c:pt idx="10">
                  <c:v>675.9</c:v>
                </c:pt>
                <c:pt idx="11">
                  <c:v>676.7</c:v>
                </c:pt>
                <c:pt idx="12">
                  <c:v>734.4</c:v>
                </c:pt>
                <c:pt idx="13">
                  <c:v>831</c:v>
                </c:pt>
                <c:pt idx="14">
                  <c:v>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C0-47A0-BFE5-04F8F5975467}"/>
            </c:ext>
          </c:extLst>
        </c:ser>
        <c:ser>
          <c:idx val="1"/>
          <c:order val="1"/>
          <c:tx>
            <c:strRef>
              <c:f>'A.12 PPE'!$C$29</c:f>
              <c:strCache>
                <c:ptCount val="1"/>
                <c:pt idx="0">
                  <c:v>Land and buildings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'A.12 PPE'!$A$30:$A$44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'A.12 PPE'!$C$30:$C$44</c:f>
              <c:numCache>
                <c:formatCode>General</c:formatCode>
                <c:ptCount val="15"/>
                <c:pt idx="0">
                  <c:v>357.2</c:v>
                </c:pt>
                <c:pt idx="1">
                  <c:v>335.1</c:v>
                </c:pt>
                <c:pt idx="2">
                  <c:v>347.8</c:v>
                </c:pt>
                <c:pt idx="3">
                  <c:v>348</c:v>
                </c:pt>
                <c:pt idx="4">
                  <c:v>357.8</c:v>
                </c:pt>
                <c:pt idx="5">
                  <c:v>379.9</c:v>
                </c:pt>
                <c:pt idx="6">
                  <c:v>405.9</c:v>
                </c:pt>
                <c:pt idx="7">
                  <c:v>419.6</c:v>
                </c:pt>
                <c:pt idx="8">
                  <c:v>431.2</c:v>
                </c:pt>
                <c:pt idx="9">
                  <c:v>442.7</c:v>
                </c:pt>
                <c:pt idx="10">
                  <c:v>459.2</c:v>
                </c:pt>
                <c:pt idx="11">
                  <c:v>409.3</c:v>
                </c:pt>
                <c:pt idx="12">
                  <c:v>411.1</c:v>
                </c:pt>
                <c:pt idx="13">
                  <c:v>403.5</c:v>
                </c:pt>
                <c:pt idx="14">
                  <c:v>403.5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C0-47A0-BFE5-04F8F5975467}"/>
            </c:ext>
          </c:extLst>
        </c:ser>
        <c:ser>
          <c:idx val="2"/>
          <c:order val="2"/>
          <c:tx>
            <c:strRef>
              <c:f>'A.12 PPE'!$D$29</c:f>
              <c:strCache>
                <c:ptCount val="1"/>
                <c:pt idx="0">
                  <c:v>Assets under construction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'A.12 PPE'!$A$30:$A$44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'A.12 PPE'!$D$30:$D$44</c:f>
              <c:numCache>
                <c:formatCode>General</c:formatCode>
                <c:ptCount val="15"/>
                <c:pt idx="0">
                  <c:v>43.8</c:v>
                </c:pt>
                <c:pt idx="1">
                  <c:v>41.6</c:v>
                </c:pt>
                <c:pt idx="2">
                  <c:v>43.8</c:v>
                </c:pt>
                <c:pt idx="3">
                  <c:v>39</c:v>
                </c:pt>
                <c:pt idx="4">
                  <c:v>42.5</c:v>
                </c:pt>
                <c:pt idx="5">
                  <c:v>48.8</c:v>
                </c:pt>
                <c:pt idx="6">
                  <c:v>53.3</c:v>
                </c:pt>
                <c:pt idx="7">
                  <c:v>63.1</c:v>
                </c:pt>
                <c:pt idx="8">
                  <c:v>65.2</c:v>
                </c:pt>
                <c:pt idx="9">
                  <c:v>72.3</c:v>
                </c:pt>
                <c:pt idx="10">
                  <c:v>76.5</c:v>
                </c:pt>
                <c:pt idx="11">
                  <c:v>87.9</c:v>
                </c:pt>
                <c:pt idx="12">
                  <c:v>97.2</c:v>
                </c:pt>
                <c:pt idx="13">
                  <c:v>97.3</c:v>
                </c:pt>
                <c:pt idx="14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C0-47A0-BFE5-04F8F5975467}"/>
            </c:ext>
          </c:extLst>
        </c:ser>
        <c:ser>
          <c:idx val="3"/>
          <c:order val="3"/>
          <c:tx>
            <c:strRef>
              <c:f>'A.12 PPE'!$E$29</c:f>
              <c:strCache>
                <c:ptCount val="1"/>
                <c:pt idx="0">
                  <c:v>Military equipment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'A.12 PPE'!$A$30:$A$44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'A.12 PPE'!$E$30:$E$44</c:f>
              <c:numCache>
                <c:formatCode>General</c:formatCode>
                <c:ptCount val="15"/>
                <c:pt idx="0">
                  <c:v>36</c:v>
                </c:pt>
                <c:pt idx="1">
                  <c:v>35.700000000000003</c:v>
                </c:pt>
                <c:pt idx="2">
                  <c:v>34.6</c:v>
                </c:pt>
                <c:pt idx="3">
                  <c:v>35.700000000000003</c:v>
                </c:pt>
                <c:pt idx="4">
                  <c:v>33.299999999999997</c:v>
                </c:pt>
                <c:pt idx="5">
                  <c:v>31.8</c:v>
                </c:pt>
                <c:pt idx="6">
                  <c:v>33.799999999999997</c:v>
                </c:pt>
                <c:pt idx="7">
                  <c:v>33.1</c:v>
                </c:pt>
                <c:pt idx="8">
                  <c:v>37.700000000000003</c:v>
                </c:pt>
                <c:pt idx="9">
                  <c:v>37.799999999999997</c:v>
                </c:pt>
                <c:pt idx="10">
                  <c:v>41.3</c:v>
                </c:pt>
                <c:pt idx="11">
                  <c:v>40.6</c:v>
                </c:pt>
                <c:pt idx="12">
                  <c:v>44</c:v>
                </c:pt>
                <c:pt idx="13">
                  <c:v>44.8</c:v>
                </c:pt>
                <c:pt idx="14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C0-47A0-BFE5-04F8F5975467}"/>
            </c:ext>
          </c:extLst>
        </c:ser>
        <c:ser>
          <c:idx val="4"/>
          <c:order val="4"/>
          <c:tx>
            <c:strRef>
              <c:f>'A.12 PPE'!$F$29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'A.12 PPE'!$A$30:$A$44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'A.12 PPE'!$F$30:$F$44</c:f>
              <c:numCache>
                <c:formatCode>General</c:formatCode>
                <c:ptCount val="15"/>
                <c:pt idx="0">
                  <c:v>41.5</c:v>
                </c:pt>
                <c:pt idx="1">
                  <c:v>47.5</c:v>
                </c:pt>
                <c:pt idx="2">
                  <c:v>49.2</c:v>
                </c:pt>
                <c:pt idx="3">
                  <c:v>50.7</c:v>
                </c:pt>
                <c:pt idx="4">
                  <c:v>50.8</c:v>
                </c:pt>
                <c:pt idx="5">
                  <c:v>54.1</c:v>
                </c:pt>
                <c:pt idx="6">
                  <c:v>54.6</c:v>
                </c:pt>
                <c:pt idx="7">
                  <c:v>56.2</c:v>
                </c:pt>
                <c:pt idx="8">
                  <c:v>57.7</c:v>
                </c:pt>
                <c:pt idx="9">
                  <c:v>58.5</c:v>
                </c:pt>
                <c:pt idx="10">
                  <c:v>60.4</c:v>
                </c:pt>
                <c:pt idx="11">
                  <c:v>55.8</c:v>
                </c:pt>
                <c:pt idx="12">
                  <c:v>53.7</c:v>
                </c:pt>
                <c:pt idx="13">
                  <c:v>58.7</c:v>
                </c:pt>
                <c:pt idx="14">
                  <c:v>59.2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C0-47A0-BFE5-04F8F597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050034960"/>
        <c:axId val="1050033160"/>
      </c:barChart>
      <c:catAx>
        <c:axId val="105003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033160"/>
        <c:crosses val="autoZero"/>
        <c:auto val="1"/>
        <c:lblAlgn val="ctr"/>
        <c:lblOffset val="100"/>
        <c:noMultiLvlLbl val="0"/>
      </c:catAx>
      <c:valAx>
        <c:axId val="1050033160"/>
        <c:scaling>
          <c:orientation val="minMax"/>
          <c:max val="1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£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03496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557111704833275E-2"/>
          <c:y val="0.92662832227026859"/>
          <c:w val="0.86781155708903468"/>
          <c:h val="5.22116334362311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15</a:t>
            </a:r>
            <a:r>
              <a:rPr lang="en-GB" baseline="0"/>
              <a:t> Year Trend PPE by sector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'A.14 PPE by sector'!$A$30</c:f>
              <c:strCache>
                <c:ptCount val="1"/>
                <c:pt idx="0">
                  <c:v>Central 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'A.14 PPE by sector'!$B$29:$P$29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'A.14 PPE by sector'!$B$30:$P$30</c:f>
              <c:numCache>
                <c:formatCode>_-* #,##0_-;\-* #,##0_-;_-* "-"??_-;_-@_-</c:formatCode>
                <c:ptCount val="15"/>
                <c:pt idx="1">
                  <c:v>360.1</c:v>
                </c:pt>
                <c:pt idx="2">
                  <c:v>388</c:v>
                </c:pt>
                <c:pt idx="3">
                  <c:v>388.8</c:v>
                </c:pt>
                <c:pt idx="4">
                  <c:v>446.4</c:v>
                </c:pt>
                <c:pt idx="5">
                  <c:v>696.4</c:v>
                </c:pt>
                <c:pt idx="6">
                  <c:v>713.2</c:v>
                </c:pt>
                <c:pt idx="7">
                  <c:v>742.4</c:v>
                </c:pt>
                <c:pt idx="8">
                  <c:v>761.6</c:v>
                </c:pt>
                <c:pt idx="9">
                  <c:v>811.6</c:v>
                </c:pt>
                <c:pt idx="10">
                  <c:v>838.7</c:v>
                </c:pt>
                <c:pt idx="11">
                  <c:v>863.8</c:v>
                </c:pt>
                <c:pt idx="12">
                  <c:v>944</c:v>
                </c:pt>
                <c:pt idx="13">
                  <c:v>1036.5999999999999</c:v>
                </c:pt>
                <c:pt idx="14">
                  <c:v>1115.8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A-42FF-B80F-B09C04199DE6}"/>
            </c:ext>
          </c:extLst>
        </c:ser>
        <c:ser>
          <c:idx val="1"/>
          <c:order val="1"/>
          <c:tx>
            <c:strRef>
              <c:f>'A.14 PPE by sector'!$A$31</c:f>
              <c:strCache>
                <c:ptCount val="1"/>
                <c:pt idx="0">
                  <c:v>Local government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'A.14 PPE by sector'!$B$29:$P$29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'A.14 PPE by sector'!$B$31:$P$31</c:f>
              <c:numCache>
                <c:formatCode>_-* #,##0_-;\-* #,##0_-;_-* "-"??_-;_-@_-</c:formatCode>
                <c:ptCount val="15"/>
                <c:pt idx="1">
                  <c:v>297.7</c:v>
                </c:pt>
                <c:pt idx="2">
                  <c:v>300.39999999999998</c:v>
                </c:pt>
                <c:pt idx="3">
                  <c:v>296.89999999999998</c:v>
                </c:pt>
                <c:pt idx="4">
                  <c:v>306.5</c:v>
                </c:pt>
                <c:pt idx="5">
                  <c:v>319.3</c:v>
                </c:pt>
                <c:pt idx="6">
                  <c:v>336.5</c:v>
                </c:pt>
                <c:pt idx="7">
                  <c:v>353.6</c:v>
                </c:pt>
                <c:pt idx="8">
                  <c:v>367.8</c:v>
                </c:pt>
                <c:pt idx="9">
                  <c:v>374.5</c:v>
                </c:pt>
                <c:pt idx="10">
                  <c:v>389.7</c:v>
                </c:pt>
                <c:pt idx="11">
                  <c:v>319.89999999999998</c:v>
                </c:pt>
                <c:pt idx="12">
                  <c:v>309</c:v>
                </c:pt>
                <c:pt idx="13">
                  <c:v>295.5</c:v>
                </c:pt>
                <c:pt idx="14">
                  <c:v>292.8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A-42FF-B80F-B09C04199DE6}"/>
            </c:ext>
          </c:extLst>
        </c:ser>
        <c:ser>
          <c:idx val="2"/>
          <c:order val="2"/>
          <c:tx>
            <c:strRef>
              <c:f>'A.14 PPE by sector'!$A$32</c:f>
              <c:strCache>
                <c:ptCount val="1"/>
                <c:pt idx="0">
                  <c:v>Public corporations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'A.14 PPE by sector'!$B$29:$P$29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'A.14 PPE by sector'!$B$32:$P$32</c:f>
              <c:numCache>
                <c:formatCode>_-* #,##0_-;\-* #,##0_-;_-* "-"??_-;_-@_-</c:formatCode>
                <c:ptCount val="15"/>
                <c:pt idx="1">
                  <c:v>56.2</c:v>
                </c:pt>
                <c:pt idx="2">
                  <c:v>56.1</c:v>
                </c:pt>
                <c:pt idx="3">
                  <c:v>61.1</c:v>
                </c:pt>
                <c:pt idx="4">
                  <c:v>59.4</c:v>
                </c:pt>
                <c:pt idx="5">
                  <c:v>60.1</c:v>
                </c:pt>
                <c:pt idx="6">
                  <c:v>70.5</c:v>
                </c:pt>
                <c:pt idx="7">
                  <c:v>71.599999999999994</c:v>
                </c:pt>
                <c:pt idx="8">
                  <c:v>79</c:v>
                </c:pt>
                <c:pt idx="9">
                  <c:v>81.900000000000006</c:v>
                </c:pt>
                <c:pt idx="10">
                  <c:v>84.9</c:v>
                </c:pt>
                <c:pt idx="11">
                  <c:v>86.6</c:v>
                </c:pt>
                <c:pt idx="12">
                  <c:v>87.4</c:v>
                </c:pt>
                <c:pt idx="13">
                  <c:v>103.2</c:v>
                </c:pt>
                <c:pt idx="14">
                  <c:v>130.5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EA-42FF-B80F-B09C04199D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603273840"/>
        <c:axId val="603278160"/>
      </c:barChart>
      <c:catAx>
        <c:axId val="60327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278160"/>
        <c:crosses val="autoZero"/>
        <c:auto val="1"/>
        <c:lblAlgn val="ctr"/>
        <c:lblOffset val="100"/>
        <c:noMultiLvlLbl val="0"/>
      </c:catAx>
      <c:valAx>
        <c:axId val="60327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£</a:t>
                </a:r>
                <a:r>
                  <a:rPr lang="en-GB" baseline="0"/>
                  <a:t> Billion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27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Property,</a:t>
            </a:r>
            <a:r>
              <a:rPr lang="en-GB" sz="1100" baseline="0"/>
              <a:t> Plant and Equipment </a:t>
            </a:r>
          </a:p>
          <a:p>
            <a:pPr>
              <a:defRPr/>
            </a:pPr>
            <a:r>
              <a:rPr lang="en-GB" sz="1100" baseline="0"/>
              <a:t>2024 (£ billion)</a:t>
            </a:r>
            <a:endParaRPr lang="en-GB" sz="1100"/>
          </a:p>
        </c:rich>
      </c:tx>
      <c:layout>
        <c:manualLayout>
          <c:xMode val="edge"/>
          <c:yMode val="edge"/>
          <c:x val="0.17447028383991656"/>
          <c:y val="1.45852324521422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3-409C-9229-7BDC4F9A86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A3-409C-9229-7BDC4F9A86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A3-409C-9229-7BDC4F9A86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'A.14 PPE by sector'!$A$30:$A$32</c:f>
              <c:strCache>
                <c:ptCount val="3"/>
                <c:pt idx="0">
                  <c:v>Central government</c:v>
                </c:pt>
                <c:pt idx="1">
                  <c:v>Local government </c:v>
                </c:pt>
                <c:pt idx="2">
                  <c:v>Public corporations</c:v>
                </c:pt>
              </c:strCache>
            </c:strRef>
          </c:cat>
          <c:val>
            <c:numRef>
              <c:f>'A.14 PPE by sector'!$P$30:$P$32</c:f>
              <c:numCache>
                <c:formatCode>_-* #,##0_-;\-* #,##0_-;_-* "-"??_-;_-@_-</c:formatCode>
                <c:ptCount val="3"/>
                <c:pt idx="0">
                  <c:v>1115.8</c:v>
                </c:pt>
                <c:pt idx="1">
                  <c:v>292.8</c:v>
                </c:pt>
                <c:pt idx="2">
                  <c:v>130.5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F-4FD6-BB26-4E0A811FA6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>
                <a:latin typeface="Montserrat" pitchFamily="2" charset="0"/>
              </a:rPr>
              <a:t>Central Government
Property, Plant and Equipment
2024
(£ billion)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'A.14 PPE by sector'!$B$36</c:f>
              <c:strCache>
                <c:ptCount val="1"/>
                <c:pt idx="0">
                  <c:v>Central Government
Property, Plant and Equipment
2024
(£ billion)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7-4F95-BC58-B081B2522791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77-4F95-BC58-B081B25227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77-4F95-BC58-B081B25227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7-4F95-BC58-B081B2522791}"/>
              </c:ext>
            </c:extLst>
          </c:dPt>
          <c:dPt>
            <c:idx val="4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77-4F95-BC58-B081B25227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'A.14 PPE by sector'!$A$37:$A$41</c:f>
              <c:strCache>
                <c:ptCount val="5"/>
                <c:pt idx="0">
                  <c:v>Transport: DfT + TfL e.g. roads and rail</c:v>
                </c:pt>
                <c:pt idx="1">
                  <c:v>Defence: MOD e.g. military assets</c:v>
                </c:pt>
                <c:pt idx="2">
                  <c:v>Education: DfE + SARA e.g. schools</c:v>
                </c:pt>
                <c:pt idx="3">
                  <c:v>Health: DHSC e.g. hospitals</c:v>
                </c:pt>
                <c:pt idx="4">
                  <c:v>Other</c:v>
                </c:pt>
              </c:strCache>
            </c:strRef>
          </c:cat>
          <c:val>
            <c:numRef>
              <c:f>'A.14 PPE by sector'!$B$37:$B$41</c:f>
              <c:numCache>
                <c:formatCode>General</c:formatCode>
                <c:ptCount val="5"/>
                <c:pt idx="0">
                  <c:v>712</c:v>
                </c:pt>
                <c:pt idx="1">
                  <c:v>136</c:v>
                </c:pt>
                <c:pt idx="2">
                  <c:v>70</c:v>
                </c:pt>
                <c:pt idx="3">
                  <c:v>68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C-4174-AE06-BE48B58D0BB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762181478234132E-3"/>
          <c:y val="0.6685467180038619"/>
          <c:w val="0.98566600194162401"/>
          <c:h val="0.313832136621688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r>
              <a:rPr lang="en-US"/>
              <a:t>15 Year Trend of Infrastructure assets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'A.15 Yr - Infrastructure Assets'!$A$43</c:f>
              <c:strCache>
                <c:ptCount val="1"/>
                <c:pt idx="0">
                  <c:v>Infrastructure assets</c:v>
                </c:pt>
              </c:strCache>
            </c:strRef>
          </c:tx>
          <c:spPr>
            <a:solidFill>
              <a:srgbClr val="B2292E"/>
            </a:solidFill>
            <a:ln>
              <a:noFill/>
            </a:ln>
            <a:effectLst/>
          </c:spPr>
          <c:invertIfNegative val="0"/>
          <c:cat>
            <c:strRef>
              <c:f>'A.15 Yr - Infrastructure Assets'!$B$42:$P$42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'A.15 Yr - Infrastructure Assets'!$B$43:$P$43</c:f>
              <c:numCache>
                <c:formatCode>0</c:formatCode>
                <c:ptCount val="15"/>
                <c:pt idx="0">
                  <c:v>234.3</c:v>
                </c:pt>
                <c:pt idx="1">
                  <c:v>254.1</c:v>
                </c:pt>
                <c:pt idx="2">
                  <c:v>269.10000000000002</c:v>
                </c:pt>
                <c:pt idx="3">
                  <c:v>273.39999999999998</c:v>
                </c:pt>
                <c:pt idx="4">
                  <c:v>327.9</c:v>
                </c:pt>
                <c:pt idx="5">
                  <c:v>561.20000000000005</c:v>
                </c:pt>
                <c:pt idx="6">
                  <c:v>572.6</c:v>
                </c:pt>
                <c:pt idx="7">
                  <c:v>595.6</c:v>
                </c:pt>
                <c:pt idx="8">
                  <c:v>616.6</c:v>
                </c:pt>
                <c:pt idx="9">
                  <c:v>656.7</c:v>
                </c:pt>
                <c:pt idx="10">
                  <c:v>675.9</c:v>
                </c:pt>
                <c:pt idx="11">
                  <c:v>676.7</c:v>
                </c:pt>
                <c:pt idx="12">
                  <c:v>734.4</c:v>
                </c:pt>
                <c:pt idx="13">
                  <c:v>831</c:v>
                </c:pt>
                <c:pt idx="14">
                  <c:v>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6-4CAE-8DCA-83EA9ECAB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overlap val="-27"/>
        <c:axId val="1275083360"/>
        <c:axId val="1275085160"/>
      </c:barChart>
      <c:catAx>
        <c:axId val="12750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75085160"/>
        <c:crosses val="autoZero"/>
        <c:auto val="1"/>
        <c:lblAlgn val="ctr"/>
        <c:lblOffset val="100"/>
        <c:noMultiLvlLbl val="0"/>
      </c:catAx>
      <c:valAx>
        <c:axId val="1275085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Montserrat" pitchFamily="2" charset="0"/>
                    <a:ea typeface="+mn-ea"/>
                    <a:cs typeface="+mn-cs"/>
                  </a:defRPr>
                </a:pPr>
                <a:r>
                  <a:rPr lang="en-GB"/>
                  <a:t>£ Billion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Montserrat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ontserrat" pitchFamily="2" charset="0"/>
                <a:ea typeface="+mn-ea"/>
                <a:cs typeface="+mn-cs"/>
              </a:defRPr>
            </a:pPr>
            <a:endParaRPr lang="en-US"/>
          </a:p>
        </c:txPr>
        <c:crossAx val="127508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ontserra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Montserra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val">
        <cx:f>_xlchart.v1.2</cx:f>
      </cx:numDim>
    </cx:data>
  </cx:chartData>
  <cx:chart>
    <cx:title pos="t" align="ctr" overlay="0">
      <cx:tx>
        <cx:txData>
          <cx:v>Movements in PPE: 15 Years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 sz="1100">
              <a:latin typeface="Calibri (Body)"/>
              <a:ea typeface="Calibri (Body)"/>
              <a:cs typeface="Calibri (Body)"/>
            </a:defRPr>
          </a:pPr>
          <a:r>
            <a:rPr lang="en-US" sz="1100">
              <a:latin typeface="Calibri (Body)"/>
            </a:rPr>
            <a:t>Movements in PPE: 15 Years</a:t>
          </a:r>
        </a:p>
      </cx:txPr>
    </cx:title>
    <cx:plotArea>
      <cx:plotAreaRegion>
        <cx:series layoutId="waterfall" uniqueId="{614A7FF6-ED76-48F2-A4B3-9988787E3B1A}">
          <cx:tx>
            <cx:txData>
              <cx:f>_xlchart.v1.0</cx:f>
              <cx:v/>
            </cx:txData>
          </cx:tx>
          <cx:dataLabels pos="outEnd">
            <cx:spPr>
              <a:ln>
                <a:noFill/>
              </a:ln>
            </cx:spPr>
            <cx:txPr>
              <a:bodyPr spcFirstLastPara="1" vertOverflow="ellipsis" wrap="square" lIns="0" tIns="0" rIns="0" bIns="0" anchor="ctr" anchorCtr="1"/>
              <a:lstStyle/>
              <a:p>
                <a:pPr>
                  <a:defRPr sz="1000">
                    <a:latin typeface="Calibri (Body)"/>
                    <a:ea typeface="Calibri (Body)"/>
                    <a:cs typeface="Calibri (Body)"/>
                  </a:defRPr>
                </a:pPr>
                <a:endParaRPr lang="en-US" sz="1000">
                  <a:latin typeface="Calibri (Body)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0"/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wrap="square" lIns="0" tIns="0" rIns="0" bIns="0" anchor="ctr" anchorCtr="1"/>
          <a:lstStyle/>
          <a:p>
            <a:pPr>
              <a:defRPr sz="1050">
                <a:latin typeface="Calibri (Body)"/>
                <a:ea typeface="Calibri (Body)"/>
                <a:cs typeface="Calibri (Body)"/>
              </a:defRPr>
            </a:pPr>
            <a:endParaRPr lang="en-US" sz="1050">
              <a:latin typeface="Calibri (Body)"/>
            </a:endParaRPr>
          </a:p>
        </cx:txPr>
      </cx:axis>
      <cx:axis id="1">
        <cx:valScaling min="0"/>
        <cx:title>
          <cx:tx>
            <cx:txData>
              <cx:v>£ Billion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>
                  <a:latin typeface="Calibri (Body)"/>
                  <a:ea typeface="Calibri (Body)"/>
                  <a:cs typeface="Calibri (Body)"/>
                </a:defRPr>
              </a:pPr>
              <a:r>
                <a:rPr lang="en-GB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 (Body)"/>
                </a:rPr>
                <a:t>£ Billion</a:t>
              </a:r>
            </a:p>
          </cx:txPr>
        </cx:title>
        <cx:majorGridlines>
          <cx:spPr>
            <a:ln>
              <a:noFill/>
            </a:ln>
          </cx:spPr>
        </cx:majorGridlines>
        <cx:majorTickMarks type="out"/>
        <cx:tickLabels/>
        <cx:numFmt formatCode="_-* #,##0_-;(#,##0);_-* &quot;-&quot;??_-;_-@_-" sourceLinked="0"/>
        <cx:txPr>
          <a:bodyPr spcFirstLastPara="1" vertOverflow="ellipsis" wrap="square" lIns="0" tIns="0" rIns="0" bIns="0" anchor="ctr" anchorCtr="1"/>
          <a:lstStyle/>
          <a:p>
            <a:pPr>
              <a:defRPr sz="1100">
                <a:latin typeface="Calibri (Body)"/>
                <a:ea typeface="Calibri (Body)"/>
                <a:cs typeface="Calibri (Body)"/>
              </a:defRPr>
            </a:pPr>
            <a:endParaRPr lang="en-US" sz="1100">
              <a:latin typeface="Calibri (Body)"/>
            </a:endParaRPr>
          </a:p>
        </cx:txPr>
      </cx:axis>
    </cx:plotArea>
    <cx:legend pos="b" align="ctr" overlay="0">
      <cx:spPr>
        <a:ln>
          <a:noFill/>
        </a:ln>
      </cx:spPr>
      <cx:txPr>
        <a:bodyPr spcFirstLastPara="1" vertOverflow="ellipsis" wrap="square" lIns="0" tIns="0" rIns="0" bIns="0" anchor="ctr" anchorCtr="1"/>
        <a:lstStyle/>
        <a:p>
          <a:pPr>
            <a:defRPr sz="1100">
              <a:latin typeface="Calibri (Body)"/>
              <a:ea typeface="Calibri (Body)"/>
              <a:cs typeface="Calibri (Body)"/>
            </a:defRPr>
          </a:pPr>
          <a:endParaRPr lang="en-US" sz="1100">
            <a:latin typeface="Calibri (Body)"/>
          </a:endParaRPr>
        </a:p>
      </cx:txPr>
    </cx:legend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txData>
          <cx:v>15 Year Trend of Infrastructure Assets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 sz="1200">
              <a:latin typeface="Montserrat" pitchFamily="2" charset="0"/>
              <a:ea typeface="Montserrat" pitchFamily="2" charset="0"/>
              <a:cs typeface="Montserrat" pitchFamily="2" charset="0"/>
            </a:defRPr>
          </a:pPr>
          <a:r>
            <a:rPr lang="en-US" sz="1200">
              <a:latin typeface="Montserrat" pitchFamily="2" charset="0"/>
            </a:rPr>
            <a:t>15 Year Trend of Infrastructure Assets</a:t>
          </a:r>
        </a:p>
      </cx:txPr>
    </cx:title>
    <cx:plotArea>
      <cx:plotAreaRegion>
        <cx:series layoutId="waterfall" uniqueId="{614A7FF6-ED76-48F2-A4B3-9988787E3B1A}">
          <cx:tx>
            <cx:txData>
              <cx:f>_xlchart.v1.3</cx:f>
              <cx:v/>
            </cx:txData>
          </cx:tx>
          <cx:dataLabels pos="outEnd">
            <cx:spPr>
              <a:ln>
                <a:noFill/>
              </a:ln>
            </cx:spPr>
            <cx:txPr>
              <a:bodyPr spcFirstLastPara="1" vertOverflow="ellipsis" wrap="square" lIns="0" tIns="0" rIns="0" bIns="0" anchor="ctr" anchorCtr="1"/>
              <a:lstStyle/>
              <a:p>
                <a:pPr>
                  <a:defRPr sz="1000">
                    <a:latin typeface="Montserrat" pitchFamily="2" charset="0"/>
                    <a:ea typeface="Montserrat" pitchFamily="2" charset="0"/>
                    <a:cs typeface="Montserrat" pitchFamily="2" charset="0"/>
                  </a:defRPr>
                </a:pPr>
                <a:endParaRPr lang="en-US" sz="1000">
                  <a:latin typeface="Montserrat" pitchFamily="2" charset="0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0"/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wrap="square" lIns="0" tIns="0" rIns="0" bIns="0" anchor="ctr" anchorCtr="1"/>
          <a:lstStyle/>
          <a:p>
            <a:pPr>
              <a:defRPr sz="1050">
                <a:latin typeface="Montserrat" pitchFamily="2" charset="0"/>
                <a:ea typeface="Montserrat" pitchFamily="2" charset="0"/>
                <a:cs typeface="Montserrat" pitchFamily="2" charset="0"/>
              </a:defRPr>
            </a:pPr>
            <a:endParaRPr lang="en-US" sz="1050">
              <a:latin typeface="Montserrat" pitchFamily="2" charset="0"/>
            </a:endParaRPr>
          </a:p>
        </cx:txPr>
      </cx:axis>
      <cx:axis id="1">
        <cx:valScaling min="0"/>
        <cx:title>
          <cx:tx>
            <cx:txData>
              <cx:v>£ Billion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>
                  <a:latin typeface="Montserrat" pitchFamily="2" charset="0"/>
                  <a:ea typeface="Montserrat" pitchFamily="2" charset="0"/>
                  <a:cs typeface="Montserrat" pitchFamily="2" charset="0"/>
                </a:defRPr>
              </a:pPr>
              <a:r>
                <a:rPr lang="en-GB" sz="10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Montserrat" pitchFamily="2" charset="0"/>
                </a:rPr>
                <a:t>£ Billion</a:t>
              </a:r>
            </a:p>
          </cx:txPr>
        </cx:title>
        <cx:majorGridlines>
          <cx:spPr>
            <a:ln>
              <a:noFill/>
            </a:ln>
          </cx:spPr>
        </cx:majorGridlines>
        <cx:majorTickMarks type="out"/>
        <cx:tickLabels/>
        <cx:numFmt formatCode="_-* #,##0_-;(#,##0);_-* &quot;-&quot;??_-;_-@_-" sourceLinked="0"/>
        <cx:txPr>
          <a:bodyPr spcFirstLastPara="1" vertOverflow="ellipsis" wrap="square" lIns="0" tIns="0" rIns="0" bIns="0" anchor="ctr" anchorCtr="1"/>
          <a:lstStyle/>
          <a:p>
            <a:pPr>
              <a:defRPr sz="1100">
                <a:latin typeface="Montserrat" pitchFamily="2" charset="0"/>
                <a:ea typeface="Montserrat" pitchFamily="2" charset="0"/>
                <a:cs typeface="Montserrat" pitchFamily="2" charset="0"/>
              </a:defRPr>
            </a:pPr>
            <a:endParaRPr lang="en-US" sz="1100">
              <a:latin typeface="Montserrat" pitchFamily="2" charset="0"/>
            </a:endParaRPr>
          </a:p>
        </cx:txPr>
      </cx:axis>
    </cx:plotArea>
    <cx:legend pos="b" align="ctr" overlay="0">
      <cx:spPr>
        <a:ln>
          <a:noFill/>
        </a:ln>
      </cx:spPr>
      <cx:txPr>
        <a:bodyPr spcFirstLastPara="1" vertOverflow="ellipsis" wrap="square" lIns="0" tIns="0" rIns="0" bIns="0" anchor="ctr" anchorCtr="1"/>
        <a:lstStyle/>
        <a:p>
          <a:pPr>
            <a:defRPr sz="1100">
              <a:latin typeface="Montserrat" pitchFamily="2" charset="0"/>
              <a:ea typeface="Montserrat" pitchFamily="2" charset="0"/>
              <a:cs typeface="Montserrat" pitchFamily="2" charset="0"/>
            </a:defRPr>
          </a:pPr>
          <a:endParaRPr lang="en-US" sz="1100">
            <a:latin typeface="Montserrat" pitchFamily="2" charset="0"/>
          </a:endParaRPr>
        </a:p>
      </cx:txPr>
    </cx:legend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</cx:f>
      </cx:strDim>
      <cx:numDim type="val">
        <cx:f>_xlchart.v1.8</cx:f>
      </cx:numDim>
    </cx:data>
  </cx:chartData>
  <cx:chart>
    <cx:title pos="t" align="ctr" overlay="0">
      <cx:tx>
        <cx:txData>
          <cx:v>15 Year Trend of Land and Buildings 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 sz="1100"/>
          </a:pPr>
          <a:r>
            <a:rPr lang="en-US" sz="1100">
              <a:latin typeface="Humnst777 Lt BT" panose="020B0402030504020204" pitchFamily="34" charset="0"/>
            </a:rPr>
            <a:t>15 Year Trend of Land and Buildings </a:t>
          </a:r>
        </a:p>
      </cx:txPr>
    </cx:title>
    <cx:plotArea>
      <cx:plotAreaRegion>
        <cx:series layoutId="waterfall" uniqueId="{614A7FF6-ED76-48F2-A4B3-9988787E3B1A}">
          <cx:tx>
            <cx:txData>
              <cx:f>_xlchart.v1.6</cx:f>
              <cx:v/>
            </cx:txData>
          </cx:tx>
          <cx:dataLabels pos="outEnd">
            <cx:spPr>
              <a:ln>
                <a:noFill/>
              </a:ln>
            </cx:spPr>
            <cx:txPr>
              <a:bodyPr spcFirstLastPara="1" vertOverflow="ellipsis" wrap="square" lIns="0" tIns="0" rIns="0" bIns="0" anchor="ctr" anchorCtr="1"/>
              <a:lstStyle/>
              <a:p>
                <a:pPr>
                  <a:defRPr sz="1000">
                    <a:latin typeface="Humnst777 Lt BT" panose="020B0402030504020204" pitchFamily="34" charset="0"/>
                    <a:ea typeface="Humnst777 Lt BT" panose="020B0402030504020204" pitchFamily="34" charset="0"/>
                    <a:cs typeface="Humnst777 Lt BT" panose="020B0402030504020204" pitchFamily="34" charset="0"/>
                  </a:defRPr>
                </a:pPr>
                <a:endParaRPr lang="en-US" sz="1000">
                  <a:latin typeface="Humnst777 Lt BT" panose="020B0402030504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0"/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wrap="square" lIns="0" tIns="0" rIns="0" bIns="0" anchor="ctr" anchorCtr="1"/>
          <a:lstStyle/>
          <a:p>
            <a:pPr>
              <a:defRPr sz="1050">
                <a:latin typeface="Humnst777 Lt BT" panose="020B0402030504020204" pitchFamily="34" charset="0"/>
                <a:ea typeface="Humnst777 Lt BT" panose="020B0402030504020204" pitchFamily="34" charset="0"/>
                <a:cs typeface="Humnst777 Lt BT" panose="020B0402030504020204" pitchFamily="34" charset="0"/>
              </a:defRPr>
            </a:pPr>
            <a:endParaRPr lang="en-US" sz="1050">
              <a:latin typeface="Humnst777 Lt BT" panose="020B0402030504020204" pitchFamily="34" charset="0"/>
            </a:endParaRPr>
          </a:p>
        </cx:txPr>
      </cx:axis>
      <cx:axis id="1">
        <cx:valScaling min="0"/>
        <cx:majorGridlines>
          <cx:spPr>
            <a:ln>
              <a:noFill/>
            </a:ln>
          </cx:spPr>
        </cx:majorGridlines>
        <cx:majorTickMarks type="out"/>
        <cx:tickLabels/>
        <cx:numFmt formatCode="_-* #,##0_-;(#,##0);_-* &quot;-&quot;??_-;_-@_-" sourceLinked="0"/>
        <cx:txPr>
          <a:bodyPr spcFirstLastPara="1" vertOverflow="ellipsis" wrap="square" lIns="0" tIns="0" rIns="0" bIns="0" anchor="ctr" anchorCtr="1"/>
          <a:lstStyle/>
          <a:p>
            <a:pPr>
              <a:defRPr sz="1100">
                <a:latin typeface="Humnst777 Lt BT" panose="020B0402030504020204" pitchFamily="34" charset="0"/>
                <a:ea typeface="Humnst777 Lt BT" panose="020B0402030504020204" pitchFamily="34" charset="0"/>
                <a:cs typeface="Humnst777 Lt BT" panose="020B0402030504020204" pitchFamily="34" charset="0"/>
              </a:defRPr>
            </a:pPr>
            <a:endParaRPr lang="en-US" sz="1100">
              <a:latin typeface="Humnst777 Lt BT" panose="020B0402030504020204" pitchFamily="34" charset="0"/>
            </a:endParaRPr>
          </a:p>
        </cx:txPr>
      </cx:axis>
    </cx:plotArea>
    <cx:legend pos="b" align="ctr" overlay="0">
      <cx:spPr>
        <a:ln>
          <a:solidFill>
            <a:sysClr val="windowText" lastClr="000000"/>
          </a:solidFill>
        </a:ln>
      </cx:spPr>
      <cx:txPr>
        <a:bodyPr spcFirstLastPara="1" vertOverflow="ellipsis" wrap="square" lIns="0" tIns="0" rIns="0" bIns="0" anchor="ctr" anchorCtr="1"/>
        <a:lstStyle/>
        <a:p>
          <a:pPr>
            <a:defRPr sz="1100">
              <a:latin typeface="Humnst777 Lt BT" panose="020B0402030504020204" pitchFamily="34" charset="0"/>
              <a:ea typeface="Humnst777 Lt BT" panose="020B0402030504020204" pitchFamily="34" charset="0"/>
              <a:cs typeface="Humnst777 Lt BT" panose="020B0402030504020204" pitchFamily="34" charset="0"/>
            </a:defRPr>
          </a:pPr>
          <a:endParaRPr lang="en-US" sz="1100">
            <a:latin typeface="Humnst777 Lt BT" panose="020B0402030504020204" pitchFamily="34" charset="0"/>
          </a:endParaRPr>
        </a:p>
      </cx:txPr>
    </cx:legend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txData>
          <cx:v>Student Loans: 10 Year Trend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 sz="1100">
              <a:latin typeface="Calibri (Body)"/>
              <a:ea typeface="Calibri (Body)"/>
              <a:cs typeface="Calibri (Body)"/>
            </a:defRPr>
          </a:pPr>
          <a:r>
            <a:rPr lang="en-US" sz="1100">
              <a:latin typeface="Calibri (Body)"/>
            </a:rPr>
            <a:t>Student Loans: 10 Year Trend</a:t>
          </a:r>
        </a:p>
      </cx:txPr>
    </cx:title>
    <cx:plotArea>
      <cx:plotAreaRegion>
        <cx:series layoutId="waterfall" uniqueId="{614A7FF6-ED76-48F2-A4B3-9988787E3B1A}">
          <cx:tx>
            <cx:txData>
              <cx:f>_xlchart.v1.9</cx:f>
              <cx:v/>
            </cx:txData>
          </cx:tx>
          <cx:dataLabels pos="outEnd">
            <cx:spPr>
              <a:ln>
                <a:noFill/>
              </a:ln>
            </cx:spPr>
            <cx:txPr>
              <a:bodyPr spcFirstLastPara="1" vertOverflow="ellipsis" wrap="square" lIns="0" tIns="0" rIns="0" bIns="0" anchor="ctr" anchorCtr="1"/>
              <a:lstStyle/>
              <a:p>
                <a:pPr>
                  <a:defRPr sz="1000">
                    <a:latin typeface="Calibri (Body)"/>
                    <a:ea typeface="Calibri (Body)"/>
                    <a:cs typeface="Calibri (Body)"/>
                  </a:defRPr>
                </a:pPr>
                <a:endParaRPr lang="en-US" sz="1000">
                  <a:latin typeface="Calibri (Body)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0"/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wrap="square" lIns="0" tIns="0" rIns="0" bIns="0" anchor="ctr" anchorCtr="1"/>
          <a:lstStyle/>
          <a:p>
            <a:pPr>
              <a:defRPr sz="800">
                <a:latin typeface="Calibri (Body)"/>
                <a:ea typeface="Calibri (Body)"/>
                <a:cs typeface="Calibri (Body)"/>
              </a:defRPr>
            </a:pPr>
            <a:endParaRPr lang="en-US" sz="800">
              <a:latin typeface="Calibri (Body)"/>
            </a:endParaRPr>
          </a:p>
        </cx:txPr>
      </cx:axis>
      <cx:axis id="1">
        <cx:valScaling min="0"/>
        <cx:title>
          <cx:tx>
            <cx:txData>
              <cx:v>£ Billion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>
                  <a:latin typeface="Calibri (Body)"/>
                  <a:ea typeface="Calibri (Body)"/>
                  <a:cs typeface="Calibri (Body)"/>
                </a:defRPr>
              </a:pPr>
              <a:r>
                <a:rPr lang="en-GB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 (Body)"/>
                </a:rPr>
                <a:t>£ Billion</a:t>
              </a:r>
            </a:p>
          </cx:txPr>
        </cx:title>
        <cx:majorGridlines>
          <cx:spPr>
            <a:ln>
              <a:noFill/>
            </a:ln>
          </cx:spPr>
        </cx:majorGridlines>
        <cx:majorTickMarks type="out"/>
        <cx:tickLabels/>
        <cx:numFmt formatCode="_-* #,##0_-;(#,##0);_-* &quot;-&quot;??_-;_-@_-" sourceLinked="0"/>
        <cx:txPr>
          <a:bodyPr spcFirstLastPara="1" vertOverflow="ellipsis" wrap="square" lIns="0" tIns="0" rIns="0" bIns="0" anchor="ctr" anchorCtr="1"/>
          <a:lstStyle/>
          <a:p>
            <a:pPr>
              <a:defRPr sz="1100">
                <a:latin typeface="Calibri (Body)"/>
                <a:ea typeface="Calibri (Body)"/>
                <a:cs typeface="Calibri (Body)"/>
              </a:defRPr>
            </a:pPr>
            <a:endParaRPr lang="en-US" sz="1100">
              <a:latin typeface="Calibri (Body)"/>
            </a:endParaRPr>
          </a:p>
        </cx:txPr>
      </cx:axis>
    </cx:plotArea>
    <cx:legend pos="b" align="ctr" overlay="0">
      <cx:spPr>
        <a:ln>
          <a:noFill/>
        </a:ln>
      </cx:spPr>
      <cx:txPr>
        <a:bodyPr spcFirstLastPara="1" vertOverflow="ellipsis" wrap="square" lIns="0" tIns="0" rIns="0" bIns="0" anchor="ctr" anchorCtr="1"/>
        <a:lstStyle/>
        <a:p>
          <a:pPr>
            <a:defRPr sz="1100">
              <a:latin typeface="Calibri (Body)"/>
              <a:ea typeface="Calibri (Body)"/>
              <a:cs typeface="Calibri (Body)"/>
            </a:defRPr>
          </a:pPr>
          <a:endParaRPr lang="en-US" sz="1100">
            <a:latin typeface="Calibri (Body)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480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customXml" Target="../ink/ink1.xml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chart" Target="../charts/chart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10" Type="http://schemas.openxmlformats.org/officeDocument/2006/relationships/chart" Target="../charts/chart25.xml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9.xml"/><Relationship Id="rId6" Type="http://schemas.openxmlformats.org/officeDocument/2006/relationships/image" Target="../media/image5.png"/><Relationship Id="rId11" Type="http://schemas.openxmlformats.org/officeDocument/2006/relationships/chart" Target="../charts/chart10.xml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66674</xdr:rowOff>
    </xdr:from>
    <xdr:to>
      <xdr:col>7</xdr:col>
      <xdr:colOff>266700</xdr:colOff>
      <xdr:row>29</xdr:row>
      <xdr:rowOff>38099</xdr:rowOff>
    </xdr:to>
    <xdr:graphicFrame macro="">
      <xdr:nvGraphicFramePr>
        <xdr:cNvPr id="51" name="Chart 1">
          <a:extLst>
            <a:ext uri="{FF2B5EF4-FFF2-40B4-BE49-F238E27FC236}">
              <a16:creationId xmlns:a16="http://schemas.microsoft.com/office/drawing/2014/main" id="{16960EC1-4D46-63D4-1BD0-CE78FA0A28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1</xdr:row>
      <xdr:rowOff>44450</xdr:rowOff>
    </xdr:from>
    <xdr:to>
      <xdr:col>11</xdr:col>
      <xdr:colOff>384500</xdr:colOff>
      <xdr:row>25</xdr:row>
      <xdr:rowOff>97250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9AFFF7-9157-45B2-85E4-91C6581D7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</xdr:row>
      <xdr:rowOff>76200</xdr:rowOff>
    </xdr:from>
    <xdr:to>
      <xdr:col>11</xdr:col>
      <xdr:colOff>317500</xdr:colOff>
      <xdr:row>21</xdr:row>
      <xdr:rowOff>99787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7E01831-EE0E-4911-8034-BC35A61510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" y="241300"/>
              <a:ext cx="8296276" cy="31985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15345</xdr:rowOff>
    </xdr:from>
    <xdr:to>
      <xdr:col>12</xdr:col>
      <xdr:colOff>63500</xdr:colOff>
      <xdr:row>21</xdr:row>
      <xdr:rowOff>101600</xdr:rowOff>
    </xdr:to>
    <xdr:graphicFrame macro="">
      <xdr:nvGraphicFramePr>
        <xdr:cNvPr id="13" name="Chart 5">
          <a:extLst>
            <a:ext uri="{FF2B5EF4-FFF2-40B4-BE49-F238E27FC236}">
              <a16:creationId xmlns:a16="http://schemas.microsoft.com/office/drawing/2014/main" id="{175C5103-D1E3-9B0F-3190-9269C0AD0CCD}"/>
            </a:ext>
            <a:ext uri="{147F2762-F138-4A5C-976F-8EAC2B608ADB}">
              <a16:predDERef xmlns:a16="http://schemas.microsoft.com/office/drawing/2014/main" pre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139700</xdr:rowOff>
    </xdr:from>
    <xdr:to>
      <xdr:col>8</xdr:col>
      <xdr:colOff>492450</xdr:colOff>
      <xdr:row>26</xdr:row>
      <xdr:rowOff>14700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B191B3-523E-38A8-1C2C-5834AA4FB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</xdr:row>
      <xdr:rowOff>76200</xdr:rowOff>
    </xdr:from>
    <xdr:to>
      <xdr:col>11</xdr:col>
      <xdr:colOff>317500</xdr:colOff>
      <xdr:row>21</xdr:row>
      <xdr:rowOff>99787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64A3A3F-F90D-40D4-A497-6EDE3CFD47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" y="241300"/>
              <a:ext cx="8296276" cy="31985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127000</xdr:rowOff>
    </xdr:from>
    <xdr:to>
      <xdr:col>8</xdr:col>
      <xdr:colOff>619450</xdr:colOff>
      <xdr:row>26</xdr:row>
      <xdr:rowOff>2000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8149C81-AEB9-4D3F-88FE-C09972B1B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155574</xdr:rowOff>
    </xdr:from>
    <xdr:to>
      <xdr:col>8</xdr:col>
      <xdr:colOff>498800</xdr:colOff>
      <xdr:row>25</xdr:row>
      <xdr:rowOff>151224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43FD2C6-2580-0A4A-C817-5E3E9696B2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50800</xdr:rowOff>
    </xdr:from>
    <xdr:to>
      <xdr:col>8</xdr:col>
      <xdr:colOff>467050</xdr:colOff>
      <xdr:row>25</xdr:row>
      <xdr:rowOff>103600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E468C79-2708-743F-D655-AC07FE190E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339726</xdr:colOff>
      <xdr:row>5</xdr:row>
      <xdr:rowOff>28575</xdr:rowOff>
    </xdr:from>
    <xdr:to>
      <xdr:col>6</xdr:col>
      <xdr:colOff>358776</xdr:colOff>
      <xdr:row>24</xdr:row>
      <xdr:rowOff>85725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7ED85E45-202D-C5F4-FA9A-6C3FE9A18E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488950</xdr:colOff>
      <xdr:row>3</xdr:row>
      <xdr:rowOff>139700</xdr:rowOff>
    </xdr:from>
    <xdr:to>
      <xdr:col>6</xdr:col>
      <xdr:colOff>6350</xdr:colOff>
      <xdr:row>25</xdr:row>
      <xdr:rowOff>31750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80314402-C303-211D-3C66-37E9F37EC4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</xdr:colOff>
      <xdr:row>2</xdr:row>
      <xdr:rowOff>76200</xdr:rowOff>
    </xdr:from>
    <xdr:to>
      <xdr:col>11</xdr:col>
      <xdr:colOff>378150</xdr:colOff>
      <xdr:row>26</xdr:row>
      <xdr:rowOff>129000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1A0C88-7D74-3E56-706E-2256E183FB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114300</xdr:rowOff>
    </xdr:from>
    <xdr:to>
      <xdr:col>9</xdr:col>
      <xdr:colOff>434975</xdr:colOff>
      <xdr:row>27</xdr:row>
      <xdr:rowOff>3175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3417DAC7-AD00-5282-12D4-FCDB9CC8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</xdr:row>
      <xdr:rowOff>76200</xdr:rowOff>
    </xdr:from>
    <xdr:to>
      <xdr:col>9</xdr:col>
      <xdr:colOff>400050</xdr:colOff>
      <xdr:row>33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742691-FFF5-5209-40D4-D26141C71B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62017</xdr:colOff>
      <xdr:row>41</xdr:row>
      <xdr:rowOff>135060</xdr:rowOff>
    </xdr:from>
    <xdr:to>
      <xdr:col>4</xdr:col>
      <xdr:colOff>372768</xdr:colOff>
      <xdr:row>56</xdr:row>
      <xdr:rowOff>52799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F33D74-156A-3D4D-089E-701CE562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17" y="6905137"/>
          <a:ext cx="3059324" cy="22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11608</xdr:rowOff>
    </xdr:from>
    <xdr:to>
      <xdr:col>5</xdr:col>
      <xdr:colOff>28300</xdr:colOff>
      <xdr:row>38</xdr:row>
      <xdr:rowOff>101927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CC3C6E-9CBB-5D08-5D04-934B50E9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69762"/>
          <a:ext cx="3471954" cy="1184473"/>
        </a:xfrm>
        <a:prstGeom prst="rect">
          <a:avLst/>
        </a:prstGeom>
      </xdr:spPr>
    </xdr:pic>
    <xdr:clientData/>
  </xdr:twoCellAnchor>
  <xdr:twoCellAnchor editAs="oneCell">
    <xdr:from>
      <xdr:col>4</xdr:col>
      <xdr:colOff>613264</xdr:colOff>
      <xdr:row>42</xdr:row>
      <xdr:rowOff>38882</xdr:rowOff>
    </xdr:from>
    <xdr:to>
      <xdr:col>11</xdr:col>
      <xdr:colOff>131795</xdr:colOff>
      <xdr:row>55</xdr:row>
      <xdr:rowOff>98601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D568F9-04FC-C980-A709-EF77B9DC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8187" y="6970151"/>
          <a:ext cx="4339646" cy="209660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31</xdr:row>
      <xdr:rowOff>69654</xdr:rowOff>
    </xdr:from>
    <xdr:to>
      <xdr:col>11</xdr:col>
      <xdr:colOff>597633</xdr:colOff>
      <xdr:row>38</xdr:row>
      <xdr:rowOff>117391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2447223-6C31-9D3C-3655-DE2D579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29404" y="5227808"/>
          <a:ext cx="4444267" cy="1148241"/>
        </a:xfrm>
        <a:prstGeom prst="rect">
          <a:avLst/>
        </a:prstGeom>
      </xdr:spPr>
    </xdr:pic>
    <xdr:clientData/>
  </xdr:twoCellAnchor>
  <xdr:twoCellAnchor editAs="oneCell">
    <xdr:from>
      <xdr:col>5</xdr:col>
      <xdr:colOff>564174</xdr:colOff>
      <xdr:row>71</xdr:row>
      <xdr:rowOff>53944</xdr:rowOff>
    </xdr:from>
    <xdr:to>
      <xdr:col>11</xdr:col>
      <xdr:colOff>495839</xdr:colOff>
      <xdr:row>78</xdr:row>
      <xdr:rowOff>69946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6A9EE2C-76B5-3421-0210-A94C1C851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07828" y="9725482"/>
          <a:ext cx="4064049" cy="1110157"/>
        </a:xfrm>
        <a:prstGeom prst="rect">
          <a:avLst/>
        </a:prstGeom>
      </xdr:spPr>
    </xdr:pic>
    <xdr:clientData/>
  </xdr:twoCellAnchor>
  <xdr:twoCellAnchor editAs="oneCell">
    <xdr:from>
      <xdr:col>0</xdr:col>
      <xdr:colOff>73269</xdr:colOff>
      <xdr:row>71</xdr:row>
      <xdr:rowOff>109904</xdr:rowOff>
    </xdr:from>
    <xdr:to>
      <xdr:col>5</xdr:col>
      <xdr:colOff>353449</xdr:colOff>
      <xdr:row>77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40A76F7-30A0-DDC9-882E-A9742722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269" y="9781442"/>
          <a:ext cx="3727009" cy="920018"/>
        </a:xfrm>
        <a:prstGeom prst="rect">
          <a:avLst/>
        </a:prstGeom>
      </xdr:spPr>
    </xdr:pic>
    <xdr:clientData/>
  </xdr:twoCellAnchor>
  <xdr:twoCellAnchor editAs="oneCell">
    <xdr:from>
      <xdr:col>6</xdr:col>
      <xdr:colOff>102575</xdr:colOff>
      <xdr:row>81</xdr:row>
      <xdr:rowOff>2251</xdr:rowOff>
    </xdr:from>
    <xdr:to>
      <xdr:col>11</xdr:col>
      <xdr:colOff>619926</xdr:colOff>
      <xdr:row>87</xdr:row>
      <xdr:rowOff>124901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97E64A5-4A00-1119-9BA8-84CD93A6E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34960" y="11285713"/>
          <a:ext cx="3957829" cy="1060497"/>
        </a:xfrm>
        <a:prstGeom prst="rect">
          <a:avLst/>
        </a:prstGeom>
      </xdr:spPr>
    </xdr:pic>
    <xdr:clientData/>
  </xdr:twoCellAnchor>
  <xdr:twoCellAnchor editAs="oneCell">
    <xdr:from>
      <xdr:col>0</xdr:col>
      <xdr:colOff>125213</xdr:colOff>
      <xdr:row>81</xdr:row>
      <xdr:rowOff>57638</xdr:rowOff>
    </xdr:from>
    <xdr:to>
      <xdr:col>5</xdr:col>
      <xdr:colOff>600170</xdr:colOff>
      <xdr:row>88</xdr:row>
      <xdr:rowOff>10613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CF3B229-F73B-BEEA-71E4-1F36A22C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213" y="11341100"/>
          <a:ext cx="3915436" cy="1048839"/>
        </a:xfrm>
        <a:prstGeom prst="rect">
          <a:avLst/>
        </a:prstGeom>
      </xdr:spPr>
    </xdr:pic>
    <xdr:clientData/>
  </xdr:twoCellAnchor>
  <xdr:twoCellAnchor editAs="oneCell">
    <xdr:from>
      <xdr:col>0</xdr:col>
      <xdr:colOff>91653</xdr:colOff>
      <xdr:row>88</xdr:row>
      <xdr:rowOff>128709</xdr:rowOff>
    </xdr:from>
    <xdr:to>
      <xdr:col>6</xdr:col>
      <xdr:colOff>245343</xdr:colOff>
      <xdr:row>94</xdr:row>
      <xdr:rowOff>30550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776C303-8B6A-F427-D3B9-7C4901BA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653" y="12540517"/>
          <a:ext cx="4286075" cy="833337"/>
        </a:xfrm>
        <a:prstGeom prst="rect">
          <a:avLst/>
        </a:prstGeom>
      </xdr:spPr>
    </xdr:pic>
    <xdr:clientData/>
  </xdr:twoCellAnchor>
  <xdr:twoCellAnchor editAs="oneCell">
    <xdr:from>
      <xdr:col>0</xdr:col>
      <xdr:colOff>47137</xdr:colOff>
      <xdr:row>56</xdr:row>
      <xdr:rowOff>153867</xdr:rowOff>
    </xdr:from>
    <xdr:to>
      <xdr:col>6</xdr:col>
      <xdr:colOff>294053</xdr:colOff>
      <xdr:row>68</xdr:row>
      <xdr:rowOff>150194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76B9C59-5290-01E7-FAD2-F110AF71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137" y="9341829"/>
          <a:ext cx="4385651" cy="1876904"/>
        </a:xfrm>
        <a:prstGeom prst="rect">
          <a:avLst/>
        </a:prstGeom>
      </xdr:spPr>
    </xdr:pic>
    <xdr:clientData/>
  </xdr:twoCellAnchor>
  <xdr:twoCellAnchor editAs="oneCell">
    <xdr:from>
      <xdr:col>2</xdr:col>
      <xdr:colOff>593538</xdr:colOff>
      <xdr:row>63</xdr:row>
      <xdr:rowOff>72032</xdr:rowOff>
    </xdr:from>
    <xdr:to>
      <xdr:col>3</xdr:col>
      <xdr:colOff>504928</xdr:colOff>
      <xdr:row>63</xdr:row>
      <xdr:rowOff>95072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47354D8-40D7-EC68-0225-D94EFC9DDA2C}"/>
                </a:ext>
              </a:extLst>
            </xdr14:cNvPr>
            <xdr14:cNvContentPartPr/>
          </xdr14:nvContentPartPr>
          <xdr14:nvPr macro=""/>
          <xdr14:xfrm>
            <a:off x="1971000" y="10388340"/>
            <a:ext cx="600120" cy="23040"/>
          </xdr14:xfrm>
        </xdr:contentPart>
      </mc:Choice>
      <mc:Fallback xmlns="">
        <xdr:pic>
          <xdr:nvPicPr>
            <xdr:cNvPr id="18" name="Ink 17">
              <a:extLst>
                <a:ext uri="{FF2B5EF4-FFF2-40B4-BE49-F238E27FC236}">
                  <a16:creationId xmlns:a16="http://schemas.microsoft.com/office/drawing/2014/main" id="{547354D8-40D7-EC68-0225-D94EFC9DDA2C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899000" y="10244700"/>
              <a:ext cx="743760" cy="3106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1</xdr:row>
      <xdr:rowOff>55686</xdr:rowOff>
    </xdr:from>
    <xdr:to>
      <xdr:col>7</xdr:col>
      <xdr:colOff>512885</xdr:colOff>
      <xdr:row>22</xdr:row>
      <xdr:rowOff>44938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111125</xdr:rowOff>
    </xdr:from>
    <xdr:to>
      <xdr:col>9</xdr:col>
      <xdr:colOff>431800</xdr:colOff>
      <xdr:row>19</xdr:row>
      <xdr:rowOff>155575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513190-F6E0-8C8D-844F-E192304FFF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47626</xdr:rowOff>
    </xdr:from>
    <xdr:to>
      <xdr:col>7</xdr:col>
      <xdr:colOff>441157</xdr:colOff>
      <xdr:row>22</xdr:row>
      <xdr:rowOff>83887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C6D35A-F11D-444B-B347-B0F49D97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622301</xdr:colOff>
      <xdr:row>2</xdr:row>
      <xdr:rowOff>6351</xdr:rowOff>
    </xdr:from>
    <xdr:to>
      <xdr:col>8</xdr:col>
      <xdr:colOff>231774</xdr:colOff>
      <xdr:row>22</xdr:row>
      <xdr:rowOff>149226</xdr:rowOff>
    </xdr:to>
    <xdr:graphicFrame macro="">
      <xdr:nvGraphicFramePr>
        <xdr:cNvPr id="102" name="Chart 1">
          <a:extLst>
            <a:ext uri="{FF2B5EF4-FFF2-40B4-BE49-F238E27FC236}">
              <a16:creationId xmlns:a16="http://schemas.microsoft.com/office/drawing/2014/main" id="{83C07A77-0D03-3746-3456-C032E430D4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46</xdr:row>
      <xdr:rowOff>105168</xdr:rowOff>
    </xdr:from>
    <xdr:to>
      <xdr:col>7</xdr:col>
      <xdr:colOff>219459</xdr:colOff>
      <xdr:row>70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06D3B-3BBB-A4B5-EE20-F1A758538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8283968"/>
          <a:ext cx="6045584" cy="3800082"/>
        </a:xfrm>
        <a:prstGeom prst="rect">
          <a:avLst/>
        </a:prstGeom>
      </xdr:spPr>
    </xdr:pic>
    <xdr:clientData/>
  </xdr:twoCellAnchor>
  <xdr:twoCellAnchor editAs="oneCell">
    <xdr:from>
      <xdr:col>0</xdr:col>
      <xdr:colOff>687083</xdr:colOff>
      <xdr:row>48</xdr:row>
      <xdr:rowOff>25400</xdr:rowOff>
    </xdr:from>
    <xdr:to>
      <xdr:col>5</xdr:col>
      <xdr:colOff>173637</xdr:colOff>
      <xdr:row>64</xdr:row>
      <xdr:rowOff>7166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3ACB1D-91CF-367B-FE5D-8288A30F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083" y="8559800"/>
          <a:ext cx="4103004" cy="25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1410012</xdr:colOff>
      <xdr:row>47</xdr:row>
      <xdr:rowOff>101600</xdr:rowOff>
    </xdr:from>
    <xdr:to>
      <xdr:col>9</xdr:col>
      <xdr:colOff>131495</xdr:colOff>
      <xdr:row>75</xdr:row>
      <xdr:rowOff>67648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0C7958-E634-E6CA-756F-A8D4BBA02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0012" y="8458200"/>
          <a:ext cx="5979533" cy="4407873"/>
        </a:xfrm>
        <a:prstGeom prst="rect">
          <a:avLst/>
        </a:prstGeom>
      </xdr:spPr>
    </xdr:pic>
    <xdr:clientData/>
  </xdr:twoCellAnchor>
  <xdr:twoCellAnchor editAs="oneCell">
    <xdr:from>
      <xdr:col>0</xdr:col>
      <xdr:colOff>1921122</xdr:colOff>
      <xdr:row>48</xdr:row>
      <xdr:rowOff>57150</xdr:rowOff>
    </xdr:from>
    <xdr:to>
      <xdr:col>8</xdr:col>
      <xdr:colOff>601123</xdr:colOff>
      <xdr:row>65</xdr:row>
      <xdr:rowOff>32280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F08967-0E74-39A9-13D5-A804DD713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1122" y="8591550"/>
          <a:ext cx="5274476" cy="2670705"/>
        </a:xfrm>
        <a:prstGeom prst="rect">
          <a:avLst/>
        </a:prstGeom>
      </xdr:spPr>
    </xdr:pic>
    <xdr:clientData/>
  </xdr:twoCellAnchor>
  <xdr:twoCellAnchor editAs="oneCell">
    <xdr:from>
      <xdr:col>2</xdr:col>
      <xdr:colOff>83470</xdr:colOff>
      <xdr:row>47</xdr:row>
      <xdr:rowOff>19050</xdr:rowOff>
    </xdr:from>
    <xdr:to>
      <xdr:col>9</xdr:col>
      <xdr:colOff>343204</xdr:colOff>
      <xdr:row>75</xdr:row>
      <xdr:rowOff>115806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0C2A6C-1467-F2EC-8563-05604705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18720" y="8375650"/>
          <a:ext cx="4882534" cy="4541756"/>
        </a:xfrm>
        <a:prstGeom prst="rect">
          <a:avLst/>
        </a:prstGeom>
      </xdr:spPr>
    </xdr:pic>
    <xdr:clientData/>
  </xdr:twoCellAnchor>
  <xdr:twoCellAnchor editAs="oneCell">
    <xdr:from>
      <xdr:col>3</xdr:col>
      <xdr:colOff>70086</xdr:colOff>
      <xdr:row>48</xdr:row>
      <xdr:rowOff>31750</xdr:rowOff>
    </xdr:from>
    <xdr:to>
      <xdr:col>11</xdr:col>
      <xdr:colOff>87022</xdr:colOff>
      <xdr:row>72</xdr:row>
      <xdr:rowOff>19909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ED8BA1-4968-41D2-86C8-012CA02E2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65736" y="8566150"/>
          <a:ext cx="5303311" cy="3798159"/>
        </a:xfrm>
        <a:prstGeom prst="rect">
          <a:avLst/>
        </a:prstGeom>
      </xdr:spPr>
    </xdr:pic>
    <xdr:clientData/>
  </xdr:twoCellAnchor>
  <xdr:twoCellAnchor editAs="oneCell">
    <xdr:from>
      <xdr:col>4</xdr:col>
      <xdr:colOff>314563</xdr:colOff>
      <xdr:row>48</xdr:row>
      <xdr:rowOff>127001</xdr:rowOff>
    </xdr:from>
    <xdr:to>
      <xdr:col>12</xdr:col>
      <xdr:colOff>142875</xdr:colOff>
      <xdr:row>70</xdr:row>
      <xdr:rowOff>108794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603C93-386B-D0E7-7718-A008E0C8C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613" y="8661401"/>
          <a:ext cx="5108337" cy="3471118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48</xdr:row>
      <xdr:rowOff>12700</xdr:rowOff>
    </xdr:from>
    <xdr:to>
      <xdr:col>14</xdr:col>
      <xdr:colOff>28256</xdr:colOff>
      <xdr:row>74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21394D3-0FC1-6BE8-6077-BA0858A81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78400" y="8547100"/>
          <a:ext cx="5613081" cy="4133850"/>
        </a:xfrm>
        <a:prstGeom prst="rect">
          <a:avLst/>
        </a:prstGeom>
      </xdr:spPr>
    </xdr:pic>
    <xdr:clientData/>
  </xdr:twoCellAnchor>
  <xdr:twoCellAnchor>
    <xdr:from>
      <xdr:col>9</xdr:col>
      <xdr:colOff>355601</xdr:colOff>
      <xdr:row>1</xdr:row>
      <xdr:rowOff>149225</xdr:rowOff>
    </xdr:from>
    <xdr:to>
      <xdr:col>18</xdr:col>
      <xdr:colOff>44451</xdr:colOff>
      <xdr:row>22</xdr:row>
      <xdr:rowOff>12700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82969E95-9F40-41E8-91AF-C2FB5DFD5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1</xdr:row>
      <xdr:rowOff>158751</xdr:rowOff>
    </xdr:from>
    <xdr:to>
      <xdr:col>10</xdr:col>
      <xdr:colOff>63500</xdr:colOff>
      <xdr:row>15</xdr:row>
      <xdr:rowOff>25401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0C7C4C-4D0B-5605-50C2-28229CB338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15422</xdr:rowOff>
    </xdr:from>
    <xdr:to>
      <xdr:col>13</xdr:col>
      <xdr:colOff>136070</xdr:colOff>
      <xdr:row>17</xdr:row>
      <xdr:rowOff>154216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120</xdr:col>
      <xdr:colOff>28578</xdr:colOff>
      <xdr:row>16</xdr:row>
      <xdr:rowOff>120713</xdr:rowOff>
    </xdr:from>
    <xdr:to>
      <xdr:col>122</xdr:col>
      <xdr:colOff>2</xdr:colOff>
      <xdr:row>18</xdr:row>
      <xdr:rowOff>95249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1C908CE6-B2A6-4BF3-8246-4CD5B536726E}"/>
            </a:ext>
          </a:extLst>
        </xdr:cNvPr>
        <xdr:cNvSpPr/>
      </xdr:nvSpPr>
      <xdr:spPr bwMode="auto">
        <a:xfrm rot="16200000">
          <a:off x="68578447" y="2170144"/>
          <a:ext cx="136461" cy="1295399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GB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50800</xdr:rowOff>
    </xdr:from>
    <xdr:to>
      <xdr:col>8</xdr:col>
      <xdr:colOff>467050</xdr:colOff>
      <xdr:row>25</xdr:row>
      <xdr:rowOff>103600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83FE3EE9-2772-44D8-B5C0-1B8EDAC8C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11029</xdr:rowOff>
    </xdr:from>
    <xdr:to>
      <xdr:col>8</xdr:col>
      <xdr:colOff>450674</xdr:colOff>
      <xdr:row>28</xdr:row>
      <xdr:rowOff>70179</xdr:rowOff>
    </xdr:to>
    <xdr:graphicFrame macro="">
      <xdr:nvGraphicFramePr>
        <xdr:cNvPr id="24" name="Chart 1">
          <a:extLst>
            <a:ext uri="{FF2B5EF4-FFF2-40B4-BE49-F238E27FC236}">
              <a16:creationId xmlns:a16="http://schemas.microsoft.com/office/drawing/2014/main" id="{D9ECBE01-EC23-4DD8-BF82-73FD92EF5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194008</xdr:colOff>
      <xdr:row>43</xdr:row>
      <xdr:rowOff>68892</xdr:rowOff>
    </xdr:from>
    <xdr:to>
      <xdr:col>30</xdr:col>
      <xdr:colOff>67703</xdr:colOff>
      <xdr:row>70</xdr:row>
      <xdr:rowOff>30465</xdr:rowOff>
    </xdr:to>
    <xdr:pic>
      <xdr:nvPicPr>
        <xdr:cNvPr id="40" name="Picture 18">
          <a:extLst>
            <a:ext uri="{FF2B5EF4-FFF2-40B4-BE49-F238E27FC236}">
              <a16:creationId xmlns:a16="http://schemas.microsoft.com/office/drawing/2014/main" id="{01066AB2-40F3-74B1-79E7-C529B1F8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4403" y="7287839"/>
          <a:ext cx="6491063" cy="4292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184150</xdr:colOff>
      <xdr:row>1</xdr:row>
      <xdr:rowOff>88900</xdr:rowOff>
    </xdr:from>
    <xdr:to>
      <xdr:col>5</xdr:col>
      <xdr:colOff>469899</xdr:colOff>
      <xdr:row>23</xdr:row>
      <xdr:rowOff>63499</xdr:rowOff>
    </xdr:to>
    <xdr:graphicFrame macro="">
      <xdr:nvGraphicFramePr>
        <xdr:cNvPr id="115" name="Chart 2">
          <a:extLst>
            <a:ext uri="{FF2B5EF4-FFF2-40B4-BE49-F238E27FC236}">
              <a16:creationId xmlns:a16="http://schemas.microsoft.com/office/drawing/2014/main" id="{6F20E319-7244-3E47-5F1F-BA6A97986E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50799</xdr:colOff>
      <xdr:row>1</xdr:row>
      <xdr:rowOff>92074</xdr:rowOff>
    </xdr:from>
    <xdr:to>
      <xdr:col>9</xdr:col>
      <xdr:colOff>574674</xdr:colOff>
      <xdr:row>26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16806-DA96-7E0A-9FA9-ED1288FFE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117472</xdr:colOff>
      <xdr:row>2</xdr:row>
      <xdr:rowOff>63501</xdr:rowOff>
    </xdr:from>
    <xdr:to>
      <xdr:col>8</xdr:col>
      <xdr:colOff>495300</xdr:colOff>
      <xdr:row>28</xdr:row>
      <xdr:rowOff>57150</xdr:rowOff>
    </xdr:to>
    <xdr:graphicFrame macro="">
      <xdr:nvGraphicFramePr>
        <xdr:cNvPr id="11" name="Chart 1" title="4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42862</xdr:rowOff>
    </xdr:from>
    <xdr:to>
      <xdr:col>10</xdr:col>
      <xdr:colOff>459740</xdr:colOff>
      <xdr:row>24</xdr:row>
      <xdr:rowOff>21590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462913</xdr:colOff>
      <xdr:row>6</xdr:row>
      <xdr:rowOff>107315</xdr:rowOff>
    </xdr:from>
    <xdr:to>
      <xdr:col>27</xdr:col>
      <xdr:colOff>355600</xdr:colOff>
      <xdr:row>31</xdr:row>
      <xdr:rowOff>130810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16</xdr:col>
      <xdr:colOff>46782</xdr:colOff>
      <xdr:row>14</xdr:row>
      <xdr:rowOff>64535</xdr:rowOff>
    </xdr:from>
    <xdr:ext cx="239809" cy="469872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3756921">
          <a:off x="10218751" y="2446516"/>
          <a:ext cx="469872" cy="23980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2018</a:t>
          </a:r>
        </a:p>
      </xdr:txBody>
    </xdr:sp>
    <xdr:clientData/>
  </xdr:oneCellAnchor>
  <xdr:oneCellAnchor>
    <xdr:from>
      <xdr:col>14</xdr:col>
      <xdr:colOff>523033</xdr:colOff>
      <xdr:row>15</xdr:row>
      <xdr:rowOff>69296</xdr:rowOff>
    </xdr:from>
    <xdr:ext cx="239809" cy="469873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3756921">
          <a:off x="10009201" y="2613203"/>
          <a:ext cx="469873" cy="23980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2017</a:t>
          </a:r>
        </a:p>
      </xdr:txBody>
    </xdr:sp>
    <xdr:clientData/>
  </xdr:oneCellAnchor>
  <xdr:twoCellAnchor>
    <xdr:from>
      <xdr:col>17</xdr:col>
      <xdr:colOff>441959</xdr:colOff>
      <xdr:row>34</xdr:row>
      <xdr:rowOff>121920</xdr:rowOff>
    </xdr:from>
    <xdr:to>
      <xdr:col>24</xdr:col>
      <xdr:colOff>213359</xdr:colOff>
      <xdr:row>50</xdr:row>
      <xdr:rowOff>111125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727B57-05D5-4E60-9F89-3BA4C4FCC5F9}"/>
            </a:ext>
            <a:ext uri="{147F2762-F138-4A5C-976F-8EAC2B608ADB}">
              <a16:predDERef xmlns:a16="http://schemas.microsoft.com/office/drawing/2014/main" pre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330198</xdr:colOff>
      <xdr:row>10</xdr:row>
      <xdr:rowOff>48260</xdr:rowOff>
    </xdr:from>
    <xdr:to>
      <xdr:col>28</xdr:col>
      <xdr:colOff>101599</xdr:colOff>
      <xdr:row>34</xdr:row>
      <xdr:rowOff>146050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3DDE51A-AA34-4B58-A259-5E36928CB4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701675</xdr:colOff>
      <xdr:row>1</xdr:row>
      <xdr:rowOff>31749</xdr:rowOff>
    </xdr:from>
    <xdr:to>
      <xdr:col>11</xdr:col>
      <xdr:colOff>76200</xdr:colOff>
      <xdr:row>27</xdr:row>
      <xdr:rowOff>3174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F10E3915-A959-3BB1-0C26-DDD928DB3E2C}"/>
            </a:ext>
            <a:ext uri="{147F2762-F138-4A5C-976F-8EAC2B608ADB}">
              <a16:predDERef xmlns:a16="http://schemas.microsoft.com/office/drawing/2014/main" pred="{B3DDE51A-AA34-4B58-A259-5E36928CB4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36079</xdr:colOff>
      <xdr:row>2</xdr:row>
      <xdr:rowOff>1</xdr:rowOff>
    </xdr:from>
    <xdr:to>
      <xdr:col>11</xdr:col>
      <xdr:colOff>67348</xdr:colOff>
      <xdr:row>27</xdr:row>
      <xdr:rowOff>38485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143827</xdr:rowOff>
    </xdr:from>
    <xdr:to>
      <xdr:col>10</xdr:col>
      <xdr:colOff>427990</xdr:colOff>
      <xdr:row>30</xdr:row>
      <xdr:rowOff>82550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552449</xdr:colOff>
      <xdr:row>33</xdr:row>
      <xdr:rowOff>44451</xdr:rowOff>
    </xdr:from>
    <xdr:to>
      <xdr:col>16</xdr:col>
      <xdr:colOff>117474</xdr:colOff>
      <xdr:row>54</xdr:row>
      <xdr:rowOff>73026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20B85681-BCD0-5850-316E-760DF9811122}"/>
            </a:ext>
            <a:ext uri="{147F2762-F138-4A5C-976F-8EAC2B608ADB}">
              <a16:predDERef xmlns:a16="http://schemas.microsoft.com/office/drawing/2014/main" pre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124150</xdr:colOff>
      <xdr:row>25</xdr:row>
      <xdr:rowOff>52800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2152DC2-966D-4ECB-9D35-9912F7E20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114300</xdr:rowOff>
    </xdr:from>
    <xdr:to>
      <xdr:col>11</xdr:col>
      <xdr:colOff>520700</xdr:colOff>
      <xdr:row>21</xdr:row>
      <xdr:rowOff>127000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BFBD1A3-6C5B-4029-9633-7F07A5AE1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1</xdr:row>
      <xdr:rowOff>157163</xdr:rowOff>
    </xdr:from>
    <xdr:to>
      <xdr:col>9</xdr:col>
      <xdr:colOff>92074</xdr:colOff>
      <xdr:row>22</xdr:row>
      <xdr:rowOff>101601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54578ED-0FE5-4F24-AFF6-F4369EEDE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144461</xdr:rowOff>
    </xdr:from>
    <xdr:to>
      <xdr:col>10</xdr:col>
      <xdr:colOff>50801</xdr:colOff>
      <xdr:row>21</xdr:row>
      <xdr:rowOff>50800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61</xdr:row>
      <xdr:rowOff>0</xdr:rowOff>
    </xdr:from>
    <xdr:to>
      <xdr:col>8</xdr:col>
      <xdr:colOff>111844</xdr:colOff>
      <xdr:row>62</xdr:row>
      <xdr:rowOff>60356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46D1BFBF-88D9-BA1A-E6E8-B4E39413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10242550"/>
          <a:ext cx="5153744" cy="2191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8</xdr:row>
      <xdr:rowOff>161925</xdr:rowOff>
    </xdr:from>
    <xdr:to>
      <xdr:col>9</xdr:col>
      <xdr:colOff>635000</xdr:colOff>
      <xdr:row>24</xdr:row>
      <xdr:rowOff>60325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5BAEF5D-4DD4-FFFD-5559-6DDFB49CE7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47626</xdr:rowOff>
    </xdr:from>
    <xdr:to>
      <xdr:col>9</xdr:col>
      <xdr:colOff>404812</xdr:colOff>
      <xdr:row>25</xdr:row>
      <xdr:rowOff>95251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21A3B576-F0CD-E863-23ED-744BC3B493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92075</xdr:rowOff>
    </xdr:from>
    <xdr:to>
      <xdr:col>7</xdr:col>
      <xdr:colOff>25400</xdr:colOff>
      <xdr:row>17</xdr:row>
      <xdr:rowOff>168275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C51345-3C1A-F501-DB04-126B5BFB96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0</xdr:rowOff>
    </xdr:from>
    <xdr:to>
      <xdr:col>5</xdr:col>
      <xdr:colOff>409575</xdr:colOff>
      <xdr:row>18</xdr:row>
      <xdr:rowOff>57150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79E73733-66D1-39AE-7A2D-42057FECBA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46515</xdr:colOff>
      <xdr:row>1</xdr:row>
      <xdr:rowOff>69851</xdr:rowOff>
    </xdr:from>
    <xdr:to>
      <xdr:col>10</xdr:col>
      <xdr:colOff>674442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82BB31-63DC-3826-3D92-8F3977E8A45C}"/>
            </a:ext>
            <a:ext uri="{147F2762-F138-4A5C-976F-8EAC2B608ADB}">
              <a16:predDERef xmlns:a16="http://schemas.microsoft.com/office/drawing/2014/main" pre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132024</xdr:rowOff>
    </xdr:from>
    <xdr:to>
      <xdr:col>11</xdr:col>
      <xdr:colOff>307976</xdr:colOff>
      <xdr:row>21</xdr:row>
      <xdr:rowOff>155611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1">
              <a:extLst>
                <a:ext uri="{FF2B5EF4-FFF2-40B4-BE49-F238E27FC236}">
                  <a16:creationId xmlns:a16="http://schemas.microsoft.com/office/drawing/2014/main" id="{6931E8C9-575C-4057-AF94-53A2044447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97124"/>
              <a:ext cx="8296276" cy="31985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109537</xdr:colOff>
      <xdr:row>1</xdr:row>
      <xdr:rowOff>82550</xdr:rowOff>
    </xdr:from>
    <xdr:to>
      <xdr:col>11</xdr:col>
      <xdr:colOff>560712</xdr:colOff>
      <xdr:row>25</xdr:row>
      <xdr:rowOff>81375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CC977E-D14D-2442-C4B7-667E00AD54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400050</xdr:colOff>
      <xdr:row>4</xdr:row>
      <xdr:rowOff>158750</xdr:rowOff>
    </xdr:from>
    <xdr:to>
      <xdr:col>16</xdr:col>
      <xdr:colOff>346074</xdr:colOff>
      <xdr:row>24</xdr:row>
      <xdr:rowOff>28575</xdr:rowOff>
    </xdr:to>
    <xdr:graphicFrame macro="">
      <xdr:nvGraphicFramePr>
        <xdr:cNvPr id="14" name="Chart 4">
          <a:extLst>
            <a:ext uri="{FF2B5EF4-FFF2-40B4-BE49-F238E27FC236}">
              <a16:creationId xmlns:a16="http://schemas.microsoft.com/office/drawing/2014/main" id="{E6CB0301-1059-6CFF-0B44-842314CA5582}"/>
            </a:ext>
            <a:ext uri="{147F2762-F138-4A5C-976F-8EAC2B608ADB}">
              <a16:predDERef xmlns:a16="http://schemas.microsoft.com/office/drawing/2014/main" pred="{20CC977E-D14D-2442-C4B7-667E00AD54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139701</xdr:colOff>
      <xdr:row>34</xdr:row>
      <xdr:rowOff>12700</xdr:rowOff>
    </xdr:from>
    <xdr:to>
      <xdr:col>7</xdr:col>
      <xdr:colOff>409575</xdr:colOff>
      <xdr:row>50</xdr:row>
      <xdr:rowOff>25400</xdr:rowOff>
    </xdr:to>
    <xdr:graphicFrame macro="">
      <xdr:nvGraphicFramePr>
        <xdr:cNvPr id="22" name="Chart 3">
          <a:extLst>
            <a:ext uri="{FF2B5EF4-FFF2-40B4-BE49-F238E27FC236}">
              <a16:creationId xmlns:a16="http://schemas.microsoft.com/office/drawing/2014/main" id="{679DB746-555B-49D2-680B-DF8CE04CF7FF}"/>
            </a:ext>
            <a:ext uri="{147F2762-F138-4A5C-976F-8EAC2B608ADB}">
              <a16:predDERef xmlns:a16="http://schemas.microsoft.com/office/drawing/2014/main" pred="{E6CB0301-1059-6CFF-0B44-842314CA55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984248</xdr:colOff>
      <xdr:row>44</xdr:row>
      <xdr:rowOff>66676</xdr:rowOff>
    </xdr:from>
    <xdr:to>
      <xdr:col>10</xdr:col>
      <xdr:colOff>606425</xdr:colOff>
      <xdr:row>60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8FB007-8069-7166-F2A4-DF9A449035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41274</xdr:colOff>
      <xdr:row>3</xdr:row>
      <xdr:rowOff>36282</xdr:rowOff>
    </xdr:from>
    <xdr:to>
      <xdr:col>25</xdr:col>
      <xdr:colOff>369388</xdr:colOff>
      <xdr:row>24</xdr:row>
      <xdr:rowOff>159525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14AD9A-1EDC-39BE-0869-4237D91DA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85774" y="579207"/>
          <a:ext cx="4931864" cy="3517318"/>
        </a:xfrm>
        <a:prstGeom prst="rect">
          <a:avLst/>
        </a:prstGeom>
      </xdr:spPr>
    </xdr:pic>
    <xdr:clientData/>
  </xdr:twoCellAnchor>
  <xdr:twoCellAnchor>
    <xdr:from>
      <xdr:col>17</xdr:col>
      <xdr:colOff>6350</xdr:colOff>
      <xdr:row>25</xdr:row>
      <xdr:rowOff>85726</xdr:rowOff>
    </xdr:from>
    <xdr:to>
      <xdr:col>26</xdr:col>
      <xdr:colOff>177800</xdr:colOff>
      <xdr:row>51</xdr:row>
      <xdr:rowOff>144335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AC3848A-2AE5-E30D-5466-1612A9D7D166}"/>
            </a:ext>
          </a:extLst>
        </xdr:cNvPr>
        <xdr:cNvGrpSpPr/>
      </xdr:nvGrpSpPr>
      <xdr:grpSpPr>
        <a:xfrm>
          <a:off x="12541250" y="4073526"/>
          <a:ext cx="6115050" cy="4236909"/>
          <a:chOff x="12607925" y="4559301"/>
          <a:chExt cx="6089650" cy="458615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32AA462-298E-F957-B00B-75F51CBE53A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-1" r="-2539" b="67047"/>
          <a:stretch/>
        </xdr:blipFill>
        <xdr:spPr>
          <a:xfrm>
            <a:off x="13229608" y="4559301"/>
            <a:ext cx="5467967" cy="2336800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D19FF64-3502-4A61-A8C9-3D358C287F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-11894" t="67474"/>
          <a:stretch/>
        </xdr:blipFill>
        <xdr:spPr>
          <a:xfrm>
            <a:off x="12607925" y="6838950"/>
            <a:ext cx="5973891" cy="2306510"/>
          </a:xfrm>
          <a:prstGeom prst="rect">
            <a:avLst/>
          </a:prstGeom>
        </xdr:spPr>
      </xdr:pic>
    </xdr:grpSp>
    <xdr:clientData/>
  </xdr:twoCellAnchor>
  <xdr:twoCellAnchor editAs="oneCell">
    <xdr:from>
      <xdr:col>26</xdr:col>
      <xdr:colOff>15875</xdr:colOff>
      <xdr:row>4</xdr:row>
      <xdr:rowOff>132872</xdr:rowOff>
    </xdr:from>
    <xdr:to>
      <xdr:col>33</xdr:col>
      <xdr:colOff>64651</xdr:colOff>
      <xdr:row>23</xdr:row>
      <xdr:rowOff>89650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CC8CAF-9796-E712-9DA3-0C721106F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418175" y="856772"/>
          <a:ext cx="4652526" cy="3030178"/>
        </a:xfrm>
        <a:prstGeom prst="rect">
          <a:avLst/>
        </a:prstGeom>
      </xdr:spPr>
    </xdr:pic>
    <xdr:clientData/>
  </xdr:twoCellAnchor>
  <xdr:twoCellAnchor editAs="oneCell">
    <xdr:from>
      <xdr:col>26</xdr:col>
      <xdr:colOff>76028</xdr:colOff>
      <xdr:row>26</xdr:row>
      <xdr:rowOff>63500</xdr:rowOff>
    </xdr:from>
    <xdr:to>
      <xdr:col>32</xdr:col>
      <xdr:colOff>568326</xdr:colOff>
      <xdr:row>43</xdr:row>
      <xdr:rowOff>108274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2DC8B0-3C71-DF36-E9B9-8EE213D6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78328" y="4768850"/>
          <a:ext cx="4435648" cy="2829249"/>
        </a:xfrm>
        <a:prstGeom prst="rect">
          <a:avLst/>
        </a:prstGeom>
      </xdr:spPr>
    </xdr:pic>
    <xdr:clientData/>
  </xdr:twoCellAnchor>
  <xdr:twoCellAnchor editAs="oneCell">
    <xdr:from>
      <xdr:col>33</xdr:col>
      <xdr:colOff>454025</xdr:colOff>
      <xdr:row>3</xdr:row>
      <xdr:rowOff>97098</xdr:rowOff>
    </xdr:from>
    <xdr:to>
      <xdr:col>51</xdr:col>
      <xdr:colOff>116257</xdr:colOff>
      <xdr:row>13</xdr:row>
      <xdr:rowOff>152686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238566D-F4BB-F0F3-F89B-6BCB61D78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456900" y="640023"/>
          <a:ext cx="11492282" cy="1674838"/>
        </a:xfrm>
        <a:prstGeom prst="rect">
          <a:avLst/>
        </a:prstGeom>
      </xdr:spPr>
    </xdr:pic>
    <xdr:clientData/>
  </xdr:twoCellAnchor>
  <xdr:twoCellAnchor editAs="oneCell">
    <xdr:from>
      <xdr:col>18</xdr:col>
      <xdr:colOff>25400</xdr:colOff>
      <xdr:row>54</xdr:row>
      <xdr:rowOff>142875</xdr:rowOff>
    </xdr:from>
    <xdr:to>
      <xdr:col>24</xdr:col>
      <xdr:colOff>438758</xdr:colOff>
      <xdr:row>78</xdr:row>
      <xdr:rowOff>73557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8C2A0CC-3C61-DB78-8DC9-C620D72FC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69900" y="9734550"/>
          <a:ext cx="4356708" cy="3807357"/>
        </a:xfrm>
        <a:prstGeom prst="rect">
          <a:avLst/>
        </a:prstGeom>
      </xdr:spPr>
    </xdr:pic>
    <xdr:clientData/>
  </xdr:twoCellAnchor>
  <xdr:twoCellAnchor editAs="oneCell">
    <xdr:from>
      <xdr:col>33</xdr:col>
      <xdr:colOff>511174</xdr:colOff>
      <xdr:row>12</xdr:row>
      <xdr:rowOff>164090</xdr:rowOff>
    </xdr:from>
    <xdr:to>
      <xdr:col>42</xdr:col>
      <xdr:colOff>103218</xdr:colOff>
      <xdr:row>32</xdr:row>
      <xdr:rowOff>34925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039AFAD-4A51-16D6-2798-6C3FF063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14049" y="2335790"/>
          <a:ext cx="5513419" cy="3122035"/>
        </a:xfrm>
        <a:prstGeom prst="rect">
          <a:avLst/>
        </a:prstGeom>
      </xdr:spPr>
    </xdr:pic>
    <xdr:clientData/>
  </xdr:twoCellAnchor>
  <xdr:twoCellAnchor editAs="oneCell">
    <xdr:from>
      <xdr:col>33</xdr:col>
      <xdr:colOff>536574</xdr:colOff>
      <xdr:row>33</xdr:row>
      <xdr:rowOff>170905</xdr:rowOff>
    </xdr:from>
    <xdr:to>
      <xdr:col>41</xdr:col>
      <xdr:colOff>407699</xdr:colOff>
      <xdr:row>53</xdr:row>
      <xdr:rowOff>134166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3704BEC-8007-961A-2332-FAFF7430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539449" y="5962105"/>
          <a:ext cx="5132100" cy="3230336"/>
        </a:xfrm>
        <a:prstGeom prst="rect">
          <a:avLst/>
        </a:prstGeom>
      </xdr:spPr>
    </xdr:pic>
    <xdr:clientData/>
  </xdr:twoCellAnchor>
  <xdr:twoCellAnchor editAs="oneCell">
    <xdr:from>
      <xdr:col>33</xdr:col>
      <xdr:colOff>520700</xdr:colOff>
      <xdr:row>54</xdr:row>
      <xdr:rowOff>130397</xdr:rowOff>
    </xdr:from>
    <xdr:to>
      <xdr:col>51</xdr:col>
      <xdr:colOff>560803</xdr:colOff>
      <xdr:row>65</xdr:row>
      <xdr:rowOff>32031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8C2C18E-D19A-2B97-3E28-6C00B9F48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523575" y="9722072"/>
          <a:ext cx="11873328" cy="1670109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3</xdr:row>
      <xdr:rowOff>38099</xdr:rowOff>
    </xdr:from>
    <xdr:to>
      <xdr:col>10</xdr:col>
      <xdr:colOff>76200</xdr:colOff>
      <xdr:row>22</xdr:row>
      <xdr:rowOff>155574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567F95D0-C026-1B59-EACF-2B216ABC428C}"/>
            </a:ext>
          </a:extLst>
        </xdr:cNvPr>
        <xdr:cNvGrpSpPr/>
      </xdr:nvGrpSpPr>
      <xdr:grpSpPr>
        <a:xfrm>
          <a:off x="590550" y="527049"/>
          <a:ext cx="7397750" cy="3133725"/>
          <a:chOff x="590550" y="571499"/>
          <a:chExt cx="7404100" cy="3495675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77F8E634-798A-478C-9364-D60F1D9F1AE2}"/>
              </a:ext>
            </a:extLst>
          </xdr:cNvPr>
          <xdr:cNvGraphicFramePr>
            <a:graphicFrameLocks/>
          </xdr:cNvGraphicFramePr>
        </xdr:nvGraphicFramePr>
        <xdr:xfrm>
          <a:off x="590550" y="571499"/>
          <a:ext cx="7404100" cy="3495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cxnSp macro="">
        <xdr:nvCxnSpPr>
          <xdr:cNvPr id="17" name="Straight Connector 16">
            <a:extLst>
              <a:ext uri="{FF2B5EF4-FFF2-40B4-BE49-F238E27FC236}">
                <a16:creationId xmlns:a16="http://schemas.microsoft.com/office/drawing/2014/main" id="{3491B89F-7FCD-126A-6DB4-8B8A8BDF0571}"/>
              </a:ext>
            </a:extLst>
          </xdr:cNvPr>
          <xdr:cNvCxnSpPr/>
        </xdr:nvCxnSpPr>
        <xdr:spPr bwMode="auto">
          <a:xfrm flipV="1">
            <a:off x="3556000" y="1104900"/>
            <a:ext cx="0" cy="2082800"/>
          </a:xfrm>
          <a:prstGeom prst="line">
            <a:avLst/>
          </a:prstGeom>
          <a:solidFill>
            <a:srgbClr val="FFFFFF"/>
          </a:solidFill>
          <a:ln w="12700" cap="flat" cmpd="sng" algn="ctr">
            <a:solidFill>
              <a:srgbClr val="808080"/>
            </a:solidFill>
            <a:prstDash val="dash"/>
            <a:round/>
            <a:headEnd type="none" w="med" len="med"/>
            <a:tailEnd type="none" w="med" len="med"/>
          </a:ln>
          <a:effectLst/>
        </xdr:spPr>
      </xdr:cxn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F8B3699A-4D9C-04FE-B1BE-F503D505E367}"/>
              </a:ext>
            </a:extLst>
          </xdr:cNvPr>
          <xdr:cNvSpPr txBox="1"/>
        </xdr:nvSpPr>
        <xdr:spPr>
          <a:xfrm>
            <a:off x="3575050" y="1079500"/>
            <a:ext cx="1873250" cy="4699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 i="1">
                <a:solidFill>
                  <a:srgbClr val="808080"/>
                </a:solidFill>
                <a:latin typeface="Montserrat" pitchFamily="2" charset="0"/>
              </a:rPr>
              <a:t>Network Rail</a:t>
            </a:r>
            <a:endParaRPr lang="en-GB" sz="1100" i="1" baseline="0">
              <a:solidFill>
                <a:srgbClr val="808080"/>
              </a:solidFill>
              <a:latin typeface="Montserrat" pitchFamily="2" charset="0"/>
            </a:endParaRPr>
          </a:p>
          <a:p>
            <a:r>
              <a:rPr lang="en-GB" sz="1100" i="1" baseline="0">
                <a:solidFill>
                  <a:srgbClr val="808080"/>
                </a:solidFill>
                <a:latin typeface="Montserrat" pitchFamily="2" charset="0"/>
              </a:rPr>
              <a:t>included in WGA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</xdr:row>
      <xdr:rowOff>76200</xdr:rowOff>
    </xdr:from>
    <xdr:to>
      <xdr:col>11</xdr:col>
      <xdr:colOff>317500</xdr:colOff>
      <xdr:row>21</xdr:row>
      <xdr:rowOff>99787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1">
              <a:extLst>
                <a:ext uri="{FF2B5EF4-FFF2-40B4-BE49-F238E27FC236}">
                  <a16:creationId xmlns:a16="http://schemas.microsoft.com/office/drawing/2014/main" id="{8E7C8D2C-9DD1-48A1-B08D-15371F92F8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" y="241300"/>
              <a:ext cx="8296276" cy="31985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05-29T10:44:17.831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64,'7'0,"9"0,16 0,16 0,27 0,33 0,25 0,18 0,18 0,1 0,-4-3,-14-9,-21-1,-27 0,-24 4,-21 2,-19 3,-15 2</inkml:trace>
</inkml:ink>
</file>

<file path=xl/persons/person.xml><?xml version="1.0" encoding="utf-8"?>
<personList xmlns="http://schemas.microsoft.com/office/spreadsheetml/2018/threadedcomments" xmlns:x="http://schemas.openxmlformats.org/spreadsheetml/2006/main">
  <person displayName="Ellis, Harry - HMT" id="{3B03FEBD-A554-4962-80CF-CC39972746B3}" userId="S::Harry.Ellis@hmtreasury.gov.uk::fff04c53-888b-4835-b3ea-6beac34c8e77" providerId="AD"/>
</personList>
</file>

<file path=xl/theme/theme1.xml><?xml version="1.0" encoding="utf-8"?>
<a:theme xmlns:a="http://schemas.openxmlformats.org/drawingml/2006/main" name="Treasury Theme new">
  <a:themeElements>
    <a:clrScheme name="HMT theme">
      <a:dk1>
        <a:sysClr val="windowText" lastClr="000000"/>
      </a:dk1>
      <a:lt1>
        <a:sysClr val="window" lastClr="FFFFFF"/>
      </a:lt1>
      <a:dk2>
        <a:srgbClr val="C00000"/>
      </a:dk2>
      <a:lt2>
        <a:srgbClr val="4BACC6"/>
      </a:lt2>
      <a:accent1>
        <a:srgbClr val="000000"/>
      </a:accent1>
      <a:accent2>
        <a:srgbClr val="C00000"/>
      </a:accent2>
      <a:accent3>
        <a:srgbClr val="A5A5A5"/>
      </a:accent3>
      <a:accent4>
        <a:srgbClr val="FF9B9B"/>
      </a:accent4>
      <a:accent5>
        <a:srgbClr val="0070C0"/>
      </a:accent5>
      <a:accent6>
        <a:srgbClr val="B2DEFF"/>
      </a:accent6>
      <a:hlink>
        <a:srgbClr val="0070C0"/>
      </a:hlink>
      <a:folHlink>
        <a:srgbClr val="7030A0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17" dT="2025-02-18T15:40:56.95" personId="{3B03FEBD-A554-4962-80CF-CC39972746B3}" id="{7C58C3C5-BA52-47B9-9A0E-3381F70DCC3A}" done="1">
    <text>WGA 14-15 TABLE 1.B - reports this as 97.7 making total 523.6
WGA 11-12 and WGA 12-13 report this as 97.8 making total 523.6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www.gov.uk/government/publications/benefit-expenditure-and-caseload-tables-2024" TargetMode="External"/><Relationship Id="rId1" Type="http://schemas.openxmlformats.org/officeDocument/2006/relationships/hyperlink" Target="https://stat-xplore.dwp.gov.uk/webapi/jsf/login.xhtml" TargetMode="External"/><Relationship Id="rId4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ons.gov.uk/employmentandlabourmarket/peoplenotinwork/outofworkbenefits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03E6-6E33-49E9-9394-9CDB12013E5E}">
  <dimension ref="A1:U542"/>
  <sheetViews>
    <sheetView topLeftCell="A18" zoomScale="102" zoomScaleNormal="85" workbookViewId="0">
      <pane xSplit="1" topLeftCell="B1" activePane="topRight" state="frozen"/>
      <selection pane="topRight" activeCell="C21" sqref="C21"/>
    </sheetView>
  </sheetViews>
  <sheetFormatPr defaultColWidth="9" defaultRowHeight="12.5"/>
  <cols>
    <col min="1" max="1" width="54.83203125" style="1" customWidth="1"/>
    <col min="2" max="15" width="10.25" style="1" customWidth="1"/>
    <col min="16" max="18" width="9" style="1"/>
    <col min="19" max="19" width="9.75" style="1" bestFit="1" customWidth="1"/>
    <col min="20" max="16384" width="9" style="1"/>
  </cols>
  <sheetData>
    <row r="1" spans="1:2" ht="13" hidden="1">
      <c r="A1" s="26" t="s">
        <v>0</v>
      </c>
    </row>
    <row r="2" spans="1:2" ht="13" hidden="1">
      <c r="A2" s="26"/>
      <c r="B2" s="15" t="s">
        <v>1</v>
      </c>
    </row>
    <row r="3" spans="1:2" ht="13" hidden="1">
      <c r="A3" s="26"/>
      <c r="B3" s="15" t="s">
        <v>2</v>
      </c>
    </row>
    <row r="4" spans="1:2" ht="13" hidden="1">
      <c r="A4" s="26"/>
      <c r="B4" s="15" t="s">
        <v>3</v>
      </c>
    </row>
    <row r="5" spans="1:2" ht="13" hidden="1">
      <c r="A5" s="26"/>
      <c r="B5" s="15" t="s">
        <v>4</v>
      </c>
    </row>
    <row r="6" spans="1:2" ht="13" hidden="1">
      <c r="A6" s="26"/>
      <c r="B6" s="15" t="s">
        <v>5</v>
      </c>
    </row>
    <row r="7" spans="1:2" hidden="1">
      <c r="B7" s="15" t="s">
        <v>6</v>
      </c>
    </row>
    <row r="8" spans="1:2" hidden="1">
      <c r="B8" s="15" t="s">
        <v>7</v>
      </c>
    </row>
    <row r="9" spans="1:2" hidden="1">
      <c r="B9" s="15" t="s">
        <v>8</v>
      </c>
    </row>
    <row r="10" spans="1:2" hidden="1">
      <c r="B10" s="15" t="s">
        <v>9</v>
      </c>
    </row>
    <row r="11" spans="1:2" hidden="1">
      <c r="B11" s="15" t="s">
        <v>10</v>
      </c>
    </row>
    <row r="12" spans="1:2" hidden="1">
      <c r="B12" s="15" t="s">
        <v>11</v>
      </c>
    </row>
    <row r="13" spans="1:2" hidden="1">
      <c r="B13" s="15" t="s">
        <v>12</v>
      </c>
    </row>
    <row r="14" spans="1:2" hidden="1">
      <c r="B14" s="15" t="s">
        <v>13</v>
      </c>
    </row>
    <row r="15" spans="1:2" hidden="1">
      <c r="B15" s="15" t="s">
        <v>14</v>
      </c>
    </row>
    <row r="16" spans="1:2" hidden="1">
      <c r="B16" s="15" t="s">
        <v>15</v>
      </c>
    </row>
    <row r="17" spans="1:16" hidden="1">
      <c r="E17" s="15"/>
    </row>
    <row r="18" spans="1:16">
      <c r="O18" s="15"/>
    </row>
    <row r="19" spans="1:16" ht="13">
      <c r="A19" s="27" t="s">
        <v>16</v>
      </c>
      <c r="O19" s="15"/>
    </row>
    <row r="20" spans="1:16" ht="12.65" customHeight="1">
      <c r="L20" s="28"/>
      <c r="M20" s="29"/>
      <c r="O20" s="15"/>
    </row>
    <row r="21" spans="1:16" ht="14.15" customHeight="1">
      <c r="L21" s="28"/>
      <c r="M21" s="29"/>
    </row>
    <row r="22" spans="1:16" ht="14.5" customHeight="1" thickBot="1">
      <c r="A22" s="27"/>
      <c r="K22" s="26"/>
      <c r="L22" s="30"/>
      <c r="M22" s="31"/>
      <c r="N22" s="26"/>
    </row>
    <row r="23" spans="1:16" ht="13">
      <c r="A23" s="32"/>
      <c r="B23" s="33" t="s">
        <v>15</v>
      </c>
      <c r="C23" s="33" t="s">
        <v>14</v>
      </c>
      <c r="D23" s="33" t="s">
        <v>13</v>
      </c>
      <c r="E23" s="33" t="s">
        <v>12</v>
      </c>
      <c r="F23" s="33" t="s">
        <v>11</v>
      </c>
      <c r="G23" s="33" t="s">
        <v>10</v>
      </c>
      <c r="H23" s="33" t="s">
        <v>9</v>
      </c>
      <c r="I23" s="33" t="s">
        <v>8</v>
      </c>
      <c r="J23" s="33" t="s">
        <v>7</v>
      </c>
      <c r="K23" s="33" t="s">
        <v>6</v>
      </c>
      <c r="L23" s="33" t="s">
        <v>5</v>
      </c>
      <c r="M23" s="33" t="s">
        <v>4</v>
      </c>
      <c r="N23" s="33" t="s">
        <v>3</v>
      </c>
      <c r="O23" s="33" t="s">
        <v>2</v>
      </c>
      <c r="P23" s="33" t="s">
        <v>1</v>
      </c>
    </row>
    <row r="24" spans="1:16" ht="13">
      <c r="A24" s="34"/>
      <c r="B24" s="12" t="s">
        <v>17</v>
      </c>
      <c r="C24" s="12" t="s">
        <v>17</v>
      </c>
      <c r="D24" s="12" t="s">
        <v>17</v>
      </c>
      <c r="E24" s="12" t="s">
        <v>17</v>
      </c>
      <c r="F24" s="12" t="s">
        <v>17</v>
      </c>
      <c r="G24" s="12" t="s">
        <v>17</v>
      </c>
      <c r="H24" s="12" t="s">
        <v>17</v>
      </c>
      <c r="I24" s="12" t="s">
        <v>17</v>
      </c>
      <c r="J24" s="12" t="s">
        <v>17</v>
      </c>
      <c r="K24" s="12" t="s">
        <v>17</v>
      </c>
      <c r="L24" s="12" t="s">
        <v>17</v>
      </c>
      <c r="M24" s="12" t="s">
        <v>17</v>
      </c>
      <c r="N24" s="12" t="s">
        <v>17</v>
      </c>
      <c r="O24" s="12" t="s">
        <v>17</v>
      </c>
      <c r="P24" s="12" t="s">
        <v>17</v>
      </c>
    </row>
    <row r="25" spans="1:16" ht="13">
      <c r="A25" s="35" t="s">
        <v>18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7"/>
      <c r="M25" s="37"/>
      <c r="N25" s="37"/>
      <c r="O25" s="37"/>
    </row>
    <row r="26" spans="1:16">
      <c r="A26" s="38" t="s">
        <v>19</v>
      </c>
      <c r="B26" s="10">
        <v>712.8</v>
      </c>
      <c r="C26" s="10">
        <v>714</v>
      </c>
      <c r="D26" s="10">
        <v>744.5</v>
      </c>
      <c r="E26" s="10">
        <v>746.8</v>
      </c>
      <c r="F26" s="10">
        <v>812.3</v>
      </c>
      <c r="G26" s="10">
        <v>1075.8</v>
      </c>
      <c r="H26" s="10">
        <v>1120.2</v>
      </c>
      <c r="I26" s="10">
        <v>1167.5999999999999</v>
      </c>
      <c r="J26" s="10">
        <v>1208.4000000000001</v>
      </c>
      <c r="K26" s="39">
        <v>1268</v>
      </c>
      <c r="L26" s="40">
        <v>1313.3</v>
      </c>
      <c r="M26" s="40">
        <v>1270.3</v>
      </c>
      <c r="N26" s="41">
        <v>1340.4</v>
      </c>
      <c r="O26" s="42">
        <v>1435.3</v>
      </c>
      <c r="P26" s="42">
        <v>1539.1</v>
      </c>
    </row>
    <row r="27" spans="1:16">
      <c r="A27" s="43" t="s">
        <v>20</v>
      </c>
      <c r="B27" s="10" t="s">
        <v>21</v>
      </c>
      <c r="C27" s="10" t="s">
        <v>21</v>
      </c>
      <c r="D27" s="10" t="s">
        <v>21</v>
      </c>
      <c r="E27" s="44" t="s">
        <v>21</v>
      </c>
      <c r="F27" s="44" t="s">
        <v>21</v>
      </c>
      <c r="G27" s="44" t="s">
        <v>21</v>
      </c>
      <c r="H27" s="44" t="s">
        <v>21</v>
      </c>
      <c r="I27" s="44" t="s">
        <v>21</v>
      </c>
      <c r="J27" s="44" t="s">
        <v>21</v>
      </c>
      <c r="K27" s="44" t="s">
        <v>21</v>
      </c>
      <c r="L27" s="44" t="s">
        <v>21</v>
      </c>
      <c r="M27" s="44" t="s">
        <v>21</v>
      </c>
      <c r="N27" s="44" t="s">
        <v>21</v>
      </c>
      <c r="O27" s="42">
        <v>28.8</v>
      </c>
      <c r="P27" s="1">
        <v>28</v>
      </c>
    </row>
    <row r="28" spans="1:16">
      <c r="A28" s="38" t="s">
        <v>22</v>
      </c>
      <c r="B28" s="10">
        <v>12</v>
      </c>
      <c r="C28" s="10">
        <v>12.4</v>
      </c>
      <c r="D28" s="10">
        <v>12.6</v>
      </c>
      <c r="E28" s="10">
        <v>12.4</v>
      </c>
      <c r="F28" s="10">
        <v>13.9</v>
      </c>
      <c r="G28" s="10">
        <v>14.9</v>
      </c>
      <c r="H28" s="10">
        <v>15.8</v>
      </c>
      <c r="I28" s="10">
        <v>18.2</v>
      </c>
      <c r="J28" s="10">
        <v>20</v>
      </c>
      <c r="K28" s="39">
        <v>22.9</v>
      </c>
      <c r="L28" s="40">
        <v>24.1</v>
      </c>
      <c r="M28" s="40">
        <v>16.5</v>
      </c>
      <c r="N28" s="36">
        <v>14.8</v>
      </c>
      <c r="O28" s="40">
        <v>14.2</v>
      </c>
      <c r="P28" s="1">
        <v>14.3</v>
      </c>
    </row>
    <row r="29" spans="1:16">
      <c r="A29" s="38" t="s">
        <v>23</v>
      </c>
      <c r="B29" s="10">
        <v>36.299999999999997</v>
      </c>
      <c r="C29" s="10">
        <v>34.799999999999997</v>
      </c>
      <c r="D29" s="10">
        <v>35.200000000000003</v>
      </c>
      <c r="E29" s="10">
        <v>34.5</v>
      </c>
      <c r="F29" s="10">
        <v>31.9</v>
      </c>
      <c r="G29" s="10">
        <v>32.4</v>
      </c>
      <c r="H29" s="10">
        <v>33</v>
      </c>
      <c r="I29" s="10">
        <v>34.5</v>
      </c>
      <c r="J29" s="10">
        <v>36</v>
      </c>
      <c r="K29" s="39">
        <v>37.4</v>
      </c>
      <c r="L29" s="40">
        <v>40.200000000000003</v>
      </c>
      <c r="M29" s="40">
        <v>41</v>
      </c>
      <c r="N29" s="36">
        <v>43.7</v>
      </c>
      <c r="O29" s="40">
        <v>47.9</v>
      </c>
      <c r="P29" s="1">
        <v>52.1</v>
      </c>
    </row>
    <row r="30" spans="1:16">
      <c r="A30" s="38" t="s">
        <v>24</v>
      </c>
      <c r="B30" s="10">
        <v>14.4</v>
      </c>
      <c r="C30" s="10">
        <v>15.1</v>
      </c>
      <c r="D30" s="10">
        <v>15.9</v>
      </c>
      <c r="E30" s="10">
        <v>16.600000000000001</v>
      </c>
      <c r="F30" s="10">
        <v>17.7</v>
      </c>
      <c r="G30" s="10">
        <v>12.7</v>
      </c>
      <c r="H30" s="10">
        <v>14.4</v>
      </c>
      <c r="I30" s="10">
        <v>15.2</v>
      </c>
      <c r="J30" s="10">
        <v>19.100000000000001</v>
      </c>
      <c r="K30" s="39">
        <v>17.899999999999999</v>
      </c>
      <c r="L30" s="40">
        <v>22.3</v>
      </c>
      <c r="M30" s="40">
        <v>20.6</v>
      </c>
      <c r="N30" s="36">
        <v>22.4</v>
      </c>
      <c r="O30" s="40">
        <v>22.7</v>
      </c>
      <c r="P30" s="1">
        <v>21.4</v>
      </c>
    </row>
    <row r="31" spans="1:16" ht="13" thickBot="1">
      <c r="A31" s="38" t="s">
        <v>25</v>
      </c>
      <c r="B31" s="10">
        <v>180.3</v>
      </c>
      <c r="C31" s="10">
        <v>179.9</v>
      </c>
      <c r="D31" s="10">
        <v>165.8</v>
      </c>
      <c r="E31" s="10">
        <v>198.6</v>
      </c>
      <c r="F31" s="10">
        <v>207.6</v>
      </c>
      <c r="G31" s="10">
        <v>216.6</v>
      </c>
      <c r="H31" s="10">
        <v>208.8</v>
      </c>
      <c r="I31" s="10">
        <v>205.7</v>
      </c>
      <c r="J31" s="10">
        <v>323.3</v>
      </c>
      <c r="K31" s="39">
        <v>320.60000000000002</v>
      </c>
      <c r="L31" s="40">
        <v>299.2</v>
      </c>
      <c r="M31" s="40">
        <v>340.8</v>
      </c>
      <c r="N31" s="36">
        <v>456.9</v>
      </c>
      <c r="O31" s="40">
        <v>505.1</v>
      </c>
      <c r="P31" s="1">
        <v>470</v>
      </c>
    </row>
    <row r="32" spans="1:16">
      <c r="A32" s="38"/>
      <c r="B32" s="45">
        <f t="shared" ref="B32:G32" si="0">SUM(B26:B31)</f>
        <v>955.8</v>
      </c>
      <c r="C32" s="45">
        <f t="shared" si="0"/>
        <v>956.19999999999993</v>
      </c>
      <c r="D32" s="45">
        <f t="shared" si="0"/>
        <v>974</v>
      </c>
      <c r="E32" s="45">
        <f t="shared" si="0"/>
        <v>1008.9</v>
      </c>
      <c r="F32" s="45">
        <f t="shared" si="0"/>
        <v>1083.3999999999999</v>
      </c>
      <c r="G32" s="45">
        <f t="shared" si="0"/>
        <v>1352.4</v>
      </c>
      <c r="H32" s="45">
        <f t="shared" ref="H32" si="1">SUM(H26:H31)</f>
        <v>1392.2</v>
      </c>
      <c r="I32" s="45">
        <f t="shared" ref="I32:O32" si="2">SUM(I26:I31)</f>
        <v>1441.2</v>
      </c>
      <c r="J32" s="45">
        <f t="shared" si="2"/>
        <v>1606.8</v>
      </c>
      <c r="K32" s="45">
        <f t="shared" si="2"/>
        <v>1666.8000000000002</v>
      </c>
      <c r="L32" s="45">
        <f t="shared" si="2"/>
        <v>1699.1</v>
      </c>
      <c r="M32" s="45">
        <f t="shared" si="2"/>
        <v>1689.1999999999998</v>
      </c>
      <c r="N32" s="45">
        <f t="shared" si="2"/>
        <v>1878.2000000000003</v>
      </c>
      <c r="O32" s="45">
        <f t="shared" si="2"/>
        <v>2054</v>
      </c>
      <c r="P32" s="45">
        <f>SUM(P26:P31)</f>
        <v>2124.8999999999996</v>
      </c>
    </row>
    <row r="33" spans="1:21" ht="13">
      <c r="A33" s="35" t="s">
        <v>26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37"/>
      <c r="M33" s="37"/>
      <c r="N33" s="37"/>
      <c r="O33" s="37"/>
    </row>
    <row r="34" spans="1:21">
      <c r="A34" s="38" t="s">
        <v>27</v>
      </c>
      <c r="B34" s="10">
        <v>12</v>
      </c>
      <c r="C34" s="10">
        <v>12</v>
      </c>
      <c r="D34" s="10">
        <v>11.4</v>
      </c>
      <c r="E34" s="10">
        <v>12.1</v>
      </c>
      <c r="F34" s="10">
        <v>11.8</v>
      </c>
      <c r="G34" s="10">
        <v>11.3</v>
      </c>
      <c r="H34" s="10">
        <v>9.6</v>
      </c>
      <c r="I34" s="10">
        <v>9.1999999999999993</v>
      </c>
      <c r="J34" s="10">
        <v>9.9</v>
      </c>
      <c r="K34" s="46">
        <v>9.6999999999999993</v>
      </c>
      <c r="L34" s="40">
        <v>10.6</v>
      </c>
      <c r="M34" s="40">
        <v>15.3</v>
      </c>
      <c r="N34" s="36">
        <v>13.5</v>
      </c>
      <c r="O34" s="40">
        <v>13.2</v>
      </c>
      <c r="P34" s="1">
        <v>13.2</v>
      </c>
    </row>
    <row r="35" spans="1:21">
      <c r="A35" s="38" t="s">
        <v>24</v>
      </c>
      <c r="B35" s="10">
        <v>125</v>
      </c>
      <c r="C35" s="10">
        <v>130</v>
      </c>
      <c r="D35" s="10">
        <v>126</v>
      </c>
      <c r="E35" s="10">
        <v>122.3</v>
      </c>
      <c r="F35" s="10">
        <v>131.9</v>
      </c>
      <c r="G35" s="10">
        <v>133.19999999999999</v>
      </c>
      <c r="H35" s="10">
        <v>140.30000000000001</v>
      </c>
      <c r="I35" s="10">
        <v>158</v>
      </c>
      <c r="J35" s="10">
        <v>160.80000000000001</v>
      </c>
      <c r="K35" s="46">
        <v>172.4</v>
      </c>
      <c r="L35" s="40">
        <v>159.69999999999999</v>
      </c>
      <c r="M35" s="40">
        <v>182.3</v>
      </c>
      <c r="N35" s="36">
        <v>193.2</v>
      </c>
      <c r="O35" s="40">
        <v>210.2</v>
      </c>
      <c r="P35" s="1">
        <v>217.7</v>
      </c>
    </row>
    <row r="36" spans="1:21">
      <c r="A36" s="38" t="s">
        <v>25</v>
      </c>
      <c r="B36" s="10">
        <v>128</v>
      </c>
      <c r="C36" s="10">
        <v>102.7</v>
      </c>
      <c r="D36" s="10">
        <v>125.5</v>
      </c>
      <c r="E36" s="10">
        <v>117.6</v>
      </c>
      <c r="F36" s="10">
        <v>151.5</v>
      </c>
      <c r="G36" s="10">
        <v>148.9</v>
      </c>
      <c r="H36" s="10">
        <v>164.2</v>
      </c>
      <c r="I36" s="10">
        <v>253.2</v>
      </c>
      <c r="J36" s="10">
        <v>184.3</v>
      </c>
      <c r="K36" s="46">
        <v>194.3</v>
      </c>
      <c r="L36" s="40">
        <v>217</v>
      </c>
      <c r="M36" s="40">
        <v>264.89999999999998</v>
      </c>
      <c r="N36" s="36">
        <v>267.89999999999998</v>
      </c>
      <c r="O36" s="40">
        <v>216</v>
      </c>
      <c r="P36" s="1">
        <v>237.6</v>
      </c>
    </row>
    <row r="37" spans="1:21">
      <c r="A37" s="38" t="s">
        <v>28</v>
      </c>
      <c r="B37" s="10">
        <v>19.7</v>
      </c>
      <c r="C37" s="10">
        <v>22.5</v>
      </c>
      <c r="D37" s="10">
        <v>21.2</v>
      </c>
      <c r="E37" s="10">
        <v>24.5</v>
      </c>
      <c r="F37" s="10">
        <v>26.9</v>
      </c>
      <c r="G37" s="10">
        <v>26.8</v>
      </c>
      <c r="H37" s="10">
        <v>25.8</v>
      </c>
      <c r="I37" s="10">
        <v>28.3</v>
      </c>
      <c r="J37" s="10">
        <v>34.299999999999997</v>
      </c>
      <c r="K37" s="46">
        <v>44.2</v>
      </c>
      <c r="L37" s="40">
        <v>37.6</v>
      </c>
      <c r="M37" s="40">
        <v>39.6</v>
      </c>
      <c r="N37" s="36">
        <v>45.6</v>
      </c>
      <c r="O37" s="40">
        <v>43.9</v>
      </c>
      <c r="P37" s="1">
        <v>39.5</v>
      </c>
    </row>
    <row r="38" spans="1:21">
      <c r="A38" s="38" t="s">
        <v>29</v>
      </c>
      <c r="B38" s="10">
        <v>7.3</v>
      </c>
      <c r="C38" s="10">
        <v>9</v>
      </c>
      <c r="D38" s="10">
        <v>10.4</v>
      </c>
      <c r="E38" s="10">
        <v>10.5</v>
      </c>
      <c r="F38" s="10">
        <v>7.7</v>
      </c>
      <c r="G38" s="10">
        <v>8</v>
      </c>
      <c r="H38" s="10">
        <v>8.6</v>
      </c>
      <c r="I38" s="10">
        <v>9.9</v>
      </c>
      <c r="J38" s="10">
        <v>9.4</v>
      </c>
      <c r="K38" s="46">
        <v>9.9</v>
      </c>
      <c r="L38" s="40">
        <v>12.8</v>
      </c>
      <c r="M38" s="40">
        <v>12.3</v>
      </c>
      <c r="N38" s="36">
        <v>14.7</v>
      </c>
      <c r="O38" s="40">
        <v>16</v>
      </c>
      <c r="P38" s="1">
        <v>17.5</v>
      </c>
    </row>
    <row r="39" spans="1:21" ht="13" thickBot="1">
      <c r="A39" s="38" t="s">
        <v>30</v>
      </c>
      <c r="B39" s="10">
        <v>1.7</v>
      </c>
      <c r="C39" s="10">
        <v>1.9</v>
      </c>
      <c r="D39" s="10">
        <v>2.1</v>
      </c>
      <c r="E39" s="10">
        <v>1.6</v>
      </c>
      <c r="F39" s="10">
        <v>1.7</v>
      </c>
      <c r="G39" s="10">
        <v>2.7</v>
      </c>
      <c r="H39" s="10">
        <v>1.7</v>
      </c>
      <c r="I39" s="10">
        <v>3.2</v>
      </c>
      <c r="J39" s="10">
        <v>8.3000000000000007</v>
      </c>
      <c r="K39" s="47">
        <v>1.5</v>
      </c>
      <c r="L39" s="40">
        <v>1.7</v>
      </c>
      <c r="M39" s="40">
        <v>3.1</v>
      </c>
      <c r="N39" s="36">
        <v>1.2</v>
      </c>
      <c r="O39" s="40">
        <v>1</v>
      </c>
      <c r="P39" s="1">
        <v>0.9</v>
      </c>
    </row>
    <row r="40" spans="1:21" ht="13.5" thickBot="1">
      <c r="A40" s="35"/>
      <c r="B40" s="45">
        <f>SUM(B34:B39)</f>
        <v>293.7</v>
      </c>
      <c r="C40" s="45">
        <f>SUM(C34:C39)</f>
        <v>278.09999999999997</v>
      </c>
      <c r="D40" s="45">
        <f t="shared" ref="D40" si="3">SUM(D34:D39)</f>
        <v>296.59999999999997</v>
      </c>
      <c r="E40" s="45">
        <f>SUM(E34:E39)</f>
        <v>288.60000000000002</v>
      </c>
      <c r="F40" s="45">
        <f>SUM(F34:F39)</f>
        <v>331.5</v>
      </c>
      <c r="G40" s="45">
        <f>SUM(G34:G39)</f>
        <v>330.9</v>
      </c>
      <c r="H40" s="45">
        <f t="shared" ref="H40" si="4">SUM(H34:H39)</f>
        <v>350.20000000000005</v>
      </c>
      <c r="I40" s="45">
        <f>SUM(I34:I39)</f>
        <v>461.79999999999995</v>
      </c>
      <c r="J40" s="45">
        <f>SUM(J34:J39)</f>
        <v>407</v>
      </c>
      <c r="K40" s="45">
        <f t="shared" ref="K40" si="5">SUM(K34:K39)</f>
        <v>431.99999999999994</v>
      </c>
      <c r="L40" s="45">
        <f>SUM(L34:L39)</f>
        <v>439.4</v>
      </c>
      <c r="M40" s="45">
        <f>SUM(M34:M39)</f>
        <v>517.5</v>
      </c>
      <c r="N40" s="45">
        <f>SUM(N34:N39)</f>
        <v>536.1</v>
      </c>
      <c r="O40" s="45">
        <f>SUM(O34:O39)</f>
        <v>500.29999999999995</v>
      </c>
      <c r="P40" s="45">
        <f>SUM(P34:P39)</f>
        <v>526.4</v>
      </c>
    </row>
    <row r="41" spans="1:21" ht="13.5" thickBot="1">
      <c r="A41" s="35" t="s">
        <v>31</v>
      </c>
      <c r="B41" s="48">
        <f>B40+B32</f>
        <v>1249.5</v>
      </c>
      <c r="C41" s="48">
        <f>C40+C32</f>
        <v>1234.3</v>
      </c>
      <c r="D41" s="48">
        <f t="shared" ref="D41" si="6">D40+D32</f>
        <v>1270.5999999999999</v>
      </c>
      <c r="E41" s="48">
        <f>E40+E32</f>
        <v>1297.5</v>
      </c>
      <c r="F41" s="48">
        <f>F40+F32</f>
        <v>1414.8999999999999</v>
      </c>
      <c r="G41" s="48">
        <f>G40+G32</f>
        <v>1683.3000000000002</v>
      </c>
      <c r="H41" s="48">
        <f t="shared" ref="H41" si="7">H40+H32</f>
        <v>1742.4</v>
      </c>
      <c r="I41" s="48">
        <f>I40+I32</f>
        <v>1903</v>
      </c>
      <c r="J41" s="48">
        <f>J40+J32</f>
        <v>2013.8</v>
      </c>
      <c r="K41" s="48">
        <f>K40+K32</f>
        <v>2098.8000000000002</v>
      </c>
      <c r="L41" s="48">
        <f t="shared" ref="L41" si="8">L40+L32</f>
        <v>2138.5</v>
      </c>
      <c r="M41" s="48">
        <f>M40+M32</f>
        <v>2206.6999999999998</v>
      </c>
      <c r="N41" s="48">
        <f>N40+N32</f>
        <v>2414.3000000000002</v>
      </c>
      <c r="O41" s="48">
        <f>O40+O32</f>
        <v>2554.3000000000002</v>
      </c>
      <c r="P41" s="48">
        <f>P40+P32</f>
        <v>2651.2999999999997</v>
      </c>
    </row>
    <row r="42" spans="1:21" ht="13">
      <c r="A42" s="35" t="s">
        <v>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37"/>
      <c r="M42" s="37"/>
      <c r="N42" s="37"/>
      <c r="O42" s="37"/>
      <c r="P42" s="49"/>
      <c r="R42" s="1" t="s">
        <v>33</v>
      </c>
    </row>
    <row r="43" spans="1:21">
      <c r="A43" s="38" t="s">
        <v>34</v>
      </c>
      <c r="B43" s="10">
        <v>-103.1</v>
      </c>
      <c r="C43" s="10">
        <v>-98.6</v>
      </c>
      <c r="D43" s="10">
        <v>-103.7</v>
      </c>
      <c r="E43" s="10">
        <v>-98.3</v>
      </c>
      <c r="F43" s="10">
        <v>-107</v>
      </c>
      <c r="G43" s="10">
        <v>-108.8</v>
      </c>
      <c r="H43" s="10">
        <v>-114.7</v>
      </c>
      <c r="I43" s="10">
        <v>-122.5</v>
      </c>
      <c r="J43" s="10">
        <v>-126.8</v>
      </c>
      <c r="K43" s="49">
        <v>-133.30000000000001</v>
      </c>
      <c r="L43" s="10">
        <v>-143.19999999999999</v>
      </c>
      <c r="M43" s="10">
        <v>-169.3</v>
      </c>
      <c r="N43" s="49">
        <v>-160.80000000000001</v>
      </c>
      <c r="O43" s="49">
        <v>-168.6</v>
      </c>
      <c r="P43" s="49">
        <v>-175</v>
      </c>
      <c r="R43" s="50">
        <f>B44+B50</f>
        <v>-781.8</v>
      </c>
      <c r="S43" s="50">
        <f>P44+P50</f>
        <v>-2020</v>
      </c>
      <c r="T43" s="50">
        <f>S43-R43</f>
        <v>-1238.2</v>
      </c>
      <c r="U43" s="51">
        <f>(S43-R43)/R43</f>
        <v>1.5837810181632133</v>
      </c>
    </row>
    <row r="44" spans="1:21">
      <c r="A44" s="38" t="s">
        <v>35</v>
      </c>
      <c r="B44" s="10">
        <v>-200.9</v>
      </c>
      <c r="C44" s="10">
        <v>-217</v>
      </c>
      <c r="D44" s="10">
        <v>-224.2</v>
      </c>
      <c r="E44" s="10">
        <v>-214.3</v>
      </c>
      <c r="F44" s="10">
        <v>-212.4</v>
      </c>
      <c r="G44" s="10">
        <v>-235.2</v>
      </c>
      <c r="H44" s="10">
        <v>-274.2</v>
      </c>
      <c r="I44" s="10">
        <v>-275.5</v>
      </c>
      <c r="J44" s="10">
        <v>-275.60000000000002</v>
      </c>
      <c r="K44" s="49">
        <v>-307.2</v>
      </c>
      <c r="L44" s="10">
        <v>-344.7</v>
      </c>
      <c r="M44" s="10">
        <v>-274</v>
      </c>
      <c r="N44" s="49">
        <v>-340</v>
      </c>
      <c r="O44" s="49">
        <v>-371.9</v>
      </c>
      <c r="P44" s="49">
        <v>-407</v>
      </c>
      <c r="R44" s="50"/>
      <c r="S44" s="51"/>
    </row>
    <row r="45" spans="1:21">
      <c r="A45" s="38" t="s">
        <v>36</v>
      </c>
      <c r="B45" s="10">
        <v>-270.10000000000002</v>
      </c>
      <c r="C45" s="10">
        <v>-259.39999999999998</v>
      </c>
      <c r="D45" s="10">
        <v>-341.1</v>
      </c>
      <c r="E45" s="10">
        <v>-408.4</v>
      </c>
      <c r="F45" s="10">
        <v>-432.8</v>
      </c>
      <c r="G45" s="10">
        <v>-444.2</v>
      </c>
      <c r="H45" s="10">
        <v>-452.5</v>
      </c>
      <c r="I45" s="10">
        <v>-584.9</v>
      </c>
      <c r="J45" s="10">
        <v>-654</v>
      </c>
      <c r="K45" s="49">
        <v>-652.1</v>
      </c>
      <c r="L45" s="10">
        <v>-656.8</v>
      </c>
      <c r="M45" s="10">
        <v>-943.3</v>
      </c>
      <c r="N45" s="49">
        <v>-1030.4000000000001</v>
      </c>
      <c r="O45" s="49">
        <v>-948</v>
      </c>
      <c r="P45" s="49">
        <v>-868.5</v>
      </c>
      <c r="R45" s="50">
        <f>B45+B51</f>
        <v>-281.60000000000002</v>
      </c>
      <c r="S45" s="51">
        <f>P45+P51</f>
        <v>-1202.0999999999999</v>
      </c>
      <c r="T45" s="50">
        <f>S45-R45</f>
        <v>-920.49999999999989</v>
      </c>
      <c r="U45" s="51">
        <f>(S45-R45)/R45</f>
        <v>3.268821022727272</v>
      </c>
    </row>
    <row r="46" spans="1:21" ht="13" thickBot="1">
      <c r="A46" s="38" t="s">
        <v>37</v>
      </c>
      <c r="B46" s="10">
        <v>-15.7</v>
      </c>
      <c r="C46" s="10">
        <v>-11.6</v>
      </c>
      <c r="D46" s="10">
        <v>-13.6</v>
      </c>
      <c r="E46" s="10">
        <v>-13.4</v>
      </c>
      <c r="F46" s="10">
        <v>-17.100000000000001</v>
      </c>
      <c r="G46" s="10">
        <v>-14.9</v>
      </c>
      <c r="H46" s="10">
        <v>-14.7</v>
      </c>
      <c r="I46" s="10">
        <v>-15.6</v>
      </c>
      <c r="J46" s="10">
        <v>-16.399999999999999</v>
      </c>
      <c r="K46" s="52">
        <v>-17.7</v>
      </c>
      <c r="L46" s="10">
        <v>-30.4</v>
      </c>
      <c r="M46" s="10">
        <v>-28.4</v>
      </c>
      <c r="N46" s="49">
        <v>-29.7</v>
      </c>
      <c r="O46" s="49">
        <v>-29.8</v>
      </c>
      <c r="P46" s="49">
        <v>-22.2</v>
      </c>
      <c r="R46" s="50"/>
      <c r="S46" s="51"/>
    </row>
    <row r="47" spans="1:21" ht="13">
      <c r="A47" s="35"/>
      <c r="B47" s="45">
        <f>SUM(B43:B46)</f>
        <v>-589.80000000000007</v>
      </c>
      <c r="C47" s="45">
        <f>SUM(C43:C46)</f>
        <v>-586.6</v>
      </c>
      <c r="D47" s="45">
        <f t="shared" ref="D47" si="9">SUM(D43:D46)</f>
        <v>-682.6</v>
      </c>
      <c r="E47" s="45">
        <f>SUM(E43:E46)</f>
        <v>-734.4</v>
      </c>
      <c r="F47" s="45">
        <f>SUM(F43:F46)</f>
        <v>-769.30000000000007</v>
      </c>
      <c r="G47" s="45">
        <f>SUM(G43:G46)</f>
        <v>-803.1</v>
      </c>
      <c r="H47" s="45">
        <f t="shared" ref="H47" si="10">SUM(H43:H46)</f>
        <v>-856.1</v>
      </c>
      <c r="I47" s="45">
        <f>SUM(I43:I46)</f>
        <v>-998.5</v>
      </c>
      <c r="J47" s="45">
        <f>SUM(J43:J46)</f>
        <v>-1072.8000000000002</v>
      </c>
      <c r="K47" s="45">
        <f t="shared" ref="K47" si="11">SUM(K43:K46)</f>
        <v>-1110.3</v>
      </c>
      <c r="L47" s="45">
        <f>SUM(L43:L46)</f>
        <v>-1175.0999999999999</v>
      </c>
      <c r="M47" s="45">
        <f>SUM(M43:M46)</f>
        <v>-1415</v>
      </c>
      <c r="N47" s="45">
        <f>SUM(N43:N46)</f>
        <v>-1560.9</v>
      </c>
      <c r="O47" s="45">
        <f>SUM(O43:O46)</f>
        <v>-1518.3</v>
      </c>
      <c r="P47" s="45">
        <f>SUM(P43:P46)</f>
        <v>-1472.7</v>
      </c>
      <c r="R47" s="50"/>
      <c r="S47" s="51"/>
    </row>
    <row r="48" spans="1:21" ht="13">
      <c r="A48" s="35" t="s">
        <v>38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37"/>
      <c r="M48" s="37"/>
      <c r="N48" s="37"/>
      <c r="O48" s="37"/>
      <c r="R48" s="50"/>
      <c r="S48" s="51"/>
    </row>
    <row r="49" spans="1:20">
      <c r="A49" s="38" t="s">
        <v>34</v>
      </c>
      <c r="B49" s="10">
        <v>-74</v>
      </c>
      <c r="C49" s="10">
        <v>-49.8</v>
      </c>
      <c r="D49" s="10">
        <v>-55.2</v>
      </c>
      <c r="E49" s="10">
        <v>-55.2</v>
      </c>
      <c r="F49" s="10">
        <v>-66</v>
      </c>
      <c r="G49" s="10">
        <v>-64.099999999999994</v>
      </c>
      <c r="H49" s="10">
        <v>-65.5</v>
      </c>
      <c r="I49" s="10">
        <v>-63.1</v>
      </c>
      <c r="J49" s="10">
        <v>-64.400000000000006</v>
      </c>
      <c r="K49" s="49">
        <v>-58.6</v>
      </c>
      <c r="L49" s="10">
        <v>-57.9</v>
      </c>
      <c r="M49" s="10">
        <v>-52</v>
      </c>
      <c r="N49" s="10">
        <v>-51.8</v>
      </c>
      <c r="O49" s="10">
        <v>-47.7</v>
      </c>
      <c r="P49" s="10">
        <v>-53.3</v>
      </c>
      <c r="R49" s="50"/>
      <c r="S49" s="51"/>
    </row>
    <row r="50" spans="1:20">
      <c r="A50" s="38" t="s">
        <v>35</v>
      </c>
      <c r="B50" s="10">
        <v>-580.9</v>
      </c>
      <c r="C50" s="10">
        <v>-691.2</v>
      </c>
      <c r="D50" s="10">
        <v>-741.3</v>
      </c>
      <c r="E50" s="10">
        <v>-781.9</v>
      </c>
      <c r="F50" s="10">
        <v>-883.7</v>
      </c>
      <c r="G50" s="10">
        <v>-939.3</v>
      </c>
      <c r="H50" s="10">
        <v>-986.4</v>
      </c>
      <c r="I50" s="10">
        <v>-1013.5</v>
      </c>
      <c r="J50" s="10">
        <v>-1071.8</v>
      </c>
      <c r="K50" s="49">
        <v>-1100</v>
      </c>
      <c r="L50" s="10">
        <v>-1100.7</v>
      </c>
      <c r="M50" s="10">
        <v>-1246.3</v>
      </c>
      <c r="N50" s="10">
        <v>-1235.7</v>
      </c>
      <c r="O50" s="10">
        <v>-1382.1</v>
      </c>
      <c r="P50" s="10">
        <v>-1613</v>
      </c>
      <c r="R50" s="50"/>
      <c r="S50" s="51"/>
    </row>
    <row r="51" spans="1:20">
      <c r="A51" s="38" t="s">
        <v>36</v>
      </c>
      <c r="B51" s="10">
        <v>-11.5</v>
      </c>
      <c r="C51" s="10">
        <v>-36</v>
      </c>
      <c r="D51" s="10">
        <v>-33.200000000000003</v>
      </c>
      <c r="E51" s="10">
        <v>-64.400000000000006</v>
      </c>
      <c r="F51" s="10">
        <v>-95.9</v>
      </c>
      <c r="G51" s="10">
        <v>-98.3</v>
      </c>
      <c r="H51" s="10">
        <v>-104.9</v>
      </c>
      <c r="I51" s="10">
        <v>-107.3</v>
      </c>
      <c r="J51" s="10">
        <v>-98.8</v>
      </c>
      <c r="K51" s="49">
        <v>-98.1</v>
      </c>
      <c r="L51" s="10">
        <v>-105.1</v>
      </c>
      <c r="M51" s="10">
        <v>-175.5</v>
      </c>
      <c r="N51" s="10">
        <v>-303.60000000000002</v>
      </c>
      <c r="O51" s="10">
        <v>-303.2</v>
      </c>
      <c r="P51" s="10">
        <v>-333.6</v>
      </c>
      <c r="R51" s="50"/>
      <c r="S51" s="51"/>
      <c r="T51" s="51"/>
    </row>
    <row r="52" spans="1:20">
      <c r="A52" s="38" t="s">
        <v>37</v>
      </c>
      <c r="B52" s="10">
        <v>-86.5</v>
      </c>
      <c r="C52" s="10">
        <v>-95.4</v>
      </c>
      <c r="D52" s="10">
        <v>-99.4</v>
      </c>
      <c r="E52" s="10">
        <v>-117.6</v>
      </c>
      <c r="F52" s="10">
        <v>-137.5</v>
      </c>
      <c r="G52" s="10">
        <v>-160.4</v>
      </c>
      <c r="H52" s="10">
        <v>-290.8</v>
      </c>
      <c r="I52" s="10">
        <v>-306.60000000000002</v>
      </c>
      <c r="J52" s="10">
        <v>-406.1</v>
      </c>
      <c r="K52" s="49">
        <v>-293.7</v>
      </c>
      <c r="L52" s="10">
        <v>-344.4</v>
      </c>
      <c r="M52" s="10">
        <v>-338</v>
      </c>
      <c r="N52" s="10">
        <v>-498.1</v>
      </c>
      <c r="O52" s="10">
        <v>-277.10000000000002</v>
      </c>
      <c r="P52" s="10">
        <v>-240</v>
      </c>
      <c r="R52" s="50"/>
      <c r="S52" s="51"/>
    </row>
    <row r="53" spans="1:20" ht="13" thickBot="1">
      <c r="A53" s="38" t="s">
        <v>39</v>
      </c>
      <c r="B53" s="10">
        <v>-1134.7</v>
      </c>
      <c r="C53" s="10">
        <v>-961</v>
      </c>
      <c r="D53" s="10">
        <v>-1005.8</v>
      </c>
      <c r="E53" s="10">
        <v>-1171.9000000000001</v>
      </c>
      <c r="F53" s="10">
        <v>-1303.0999999999999</v>
      </c>
      <c r="G53" s="10">
        <v>-1493.3</v>
      </c>
      <c r="H53" s="10">
        <v>-1424.7</v>
      </c>
      <c r="I53" s="10">
        <v>-1834.7</v>
      </c>
      <c r="J53" s="10">
        <v>-1865.3</v>
      </c>
      <c r="K53" s="49">
        <v>-1893.8504840000001</v>
      </c>
      <c r="L53" s="10">
        <v>-2189.5</v>
      </c>
      <c r="M53" s="10">
        <v>-2306.1999999999998</v>
      </c>
      <c r="N53" s="10">
        <v>-2639.1</v>
      </c>
      <c r="O53" s="10">
        <v>-1415</v>
      </c>
      <c r="P53" s="10">
        <v>-1311.9</v>
      </c>
      <c r="R53" s="50"/>
      <c r="S53" s="51"/>
    </row>
    <row r="54" spans="1:20" ht="13.5" thickBot="1">
      <c r="A54" s="35"/>
      <c r="B54" s="45">
        <f>SUM(B49:B53)</f>
        <v>-1887.6</v>
      </c>
      <c r="C54" s="45">
        <f>SUM(C49:C53)</f>
        <v>-1833.4</v>
      </c>
      <c r="D54" s="45">
        <f t="shared" ref="D54" si="12">SUM(D49:D53)</f>
        <v>-1934.9</v>
      </c>
      <c r="E54" s="45">
        <f>SUM(E49:E53)</f>
        <v>-2191</v>
      </c>
      <c r="F54" s="45">
        <f>SUM(F49:F53)</f>
        <v>-2486.1999999999998</v>
      </c>
      <c r="G54" s="45">
        <f>SUM(G49:G53)</f>
        <v>-2755.4</v>
      </c>
      <c r="H54" s="45">
        <f t="shared" ref="H54" si="13">SUM(H49:H53)</f>
        <v>-2872.3</v>
      </c>
      <c r="I54" s="45">
        <f>SUM(I49:I53)</f>
        <v>-3325.2</v>
      </c>
      <c r="J54" s="45">
        <f>SUM(J49:J53)</f>
        <v>-3506.3999999999996</v>
      </c>
      <c r="K54" s="45">
        <f t="shared" ref="K54" si="14">SUM(K49:K53)</f>
        <v>-3444.2504840000001</v>
      </c>
      <c r="L54" s="45">
        <f>SUM(L49:L53)</f>
        <v>-3797.6</v>
      </c>
      <c r="M54" s="45">
        <f>SUM(M49:M53)</f>
        <v>-4118</v>
      </c>
      <c r="N54" s="45">
        <f>SUM(N49:N53)</f>
        <v>-4728.2999999999993</v>
      </c>
      <c r="O54" s="45">
        <f>SUM(O49:O53)</f>
        <v>-3425.1</v>
      </c>
      <c r="P54" s="45">
        <f>SUM(P49:P53)</f>
        <v>-3551.8</v>
      </c>
    </row>
    <row r="55" spans="1:20" ht="13.5" thickBot="1">
      <c r="A55" s="35" t="s">
        <v>40</v>
      </c>
      <c r="B55" s="53">
        <f>B54+B47</f>
        <v>-2477.4</v>
      </c>
      <c r="C55" s="53">
        <f>C54+C47</f>
        <v>-2420</v>
      </c>
      <c r="D55" s="53">
        <f t="shared" ref="D55" si="15">D54+D47</f>
        <v>-2617.5</v>
      </c>
      <c r="E55" s="53">
        <f>E54+E47</f>
        <v>-2925.4</v>
      </c>
      <c r="F55" s="53">
        <f>F54+F47</f>
        <v>-3255.5</v>
      </c>
      <c r="G55" s="53">
        <f>G54+G47</f>
        <v>-3558.5</v>
      </c>
      <c r="H55" s="53">
        <f t="shared" ref="H55" si="16">H54+H47</f>
        <v>-3728.4</v>
      </c>
      <c r="I55" s="53">
        <f>I54+I47</f>
        <v>-4323.7</v>
      </c>
      <c r="J55" s="53">
        <f>J54+J47</f>
        <v>-4579.2</v>
      </c>
      <c r="K55" s="53">
        <f t="shared" ref="K55" si="17">K54+K47</f>
        <v>-4554.5504840000003</v>
      </c>
      <c r="L55" s="53">
        <f>L54+L47</f>
        <v>-4972.7</v>
      </c>
      <c r="M55" s="53">
        <f>M54+M47</f>
        <v>-5533</v>
      </c>
      <c r="N55" s="53">
        <f>N54+N47</f>
        <v>-6289.1999999999989</v>
      </c>
      <c r="O55" s="53">
        <f>O54+O47</f>
        <v>-4943.3999999999996</v>
      </c>
      <c r="P55" s="53">
        <f>P54+P47</f>
        <v>-5024.5</v>
      </c>
    </row>
    <row r="56" spans="1:20" ht="13.5" thickBot="1">
      <c r="A56" s="35" t="s">
        <v>41</v>
      </c>
      <c r="B56" s="54">
        <f>B55+B41</f>
        <v>-1227.9000000000001</v>
      </c>
      <c r="C56" s="54">
        <f>C55+C41</f>
        <v>-1185.7</v>
      </c>
      <c r="D56" s="54">
        <f t="shared" ref="D56" si="18">D55+D41</f>
        <v>-1346.9</v>
      </c>
      <c r="E56" s="54">
        <f>E55+E41</f>
        <v>-1627.9</v>
      </c>
      <c r="F56" s="54">
        <f>F55+F41</f>
        <v>-1840.6000000000001</v>
      </c>
      <c r="G56" s="54">
        <f>G55+G41</f>
        <v>-1875.1999999999998</v>
      </c>
      <c r="H56" s="54">
        <f t="shared" ref="H56" si="19">H55+H41</f>
        <v>-1986</v>
      </c>
      <c r="I56" s="54">
        <f t="shared" ref="I56:O56" si="20">I55+I41</f>
        <v>-2420.6999999999998</v>
      </c>
      <c r="J56" s="54">
        <f t="shared" si="20"/>
        <v>-2565.3999999999996</v>
      </c>
      <c r="K56" s="54">
        <f t="shared" si="20"/>
        <v>-2455.7504840000001</v>
      </c>
      <c r="L56" s="54">
        <f t="shared" si="20"/>
        <v>-2834.2</v>
      </c>
      <c r="M56" s="54">
        <f t="shared" si="20"/>
        <v>-3326.3</v>
      </c>
      <c r="N56" s="54">
        <f t="shared" si="20"/>
        <v>-3874.8999999999987</v>
      </c>
      <c r="O56" s="54">
        <f t="shared" si="20"/>
        <v>-2389.0999999999995</v>
      </c>
      <c r="P56" s="54">
        <f>P55+P41</f>
        <v>-2373.2000000000003</v>
      </c>
    </row>
    <row r="57" spans="1:20" ht="13">
      <c r="A57" s="35" t="s">
        <v>42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37"/>
      <c r="M57" s="37"/>
      <c r="N57" s="37"/>
      <c r="O57" s="37"/>
    </row>
    <row r="58" spans="1:20">
      <c r="A58" s="38" t="s">
        <v>43</v>
      </c>
      <c r="B58" s="10">
        <v>-1426.9</v>
      </c>
      <c r="C58" s="10">
        <v>-1422.7</v>
      </c>
      <c r="D58" s="10">
        <v>-1588.9</v>
      </c>
      <c r="E58" s="10">
        <v>-1876.6</v>
      </c>
      <c r="F58" s="10">
        <v>-2099.6999999999998</v>
      </c>
      <c r="G58" s="10">
        <v>-2379.6999999999998</v>
      </c>
      <c r="H58" s="10">
        <v>-2504.4</v>
      </c>
      <c r="I58" s="10">
        <v>-2948.1</v>
      </c>
      <c r="J58" s="10">
        <v>-3134</v>
      </c>
      <c r="K58" s="10">
        <v>-3023.3</v>
      </c>
      <c r="L58" s="10">
        <v>-3436.1</v>
      </c>
      <c r="M58" s="10">
        <v>-3932.3</v>
      </c>
      <c r="N58" s="10">
        <v>-4547.6000000000004</v>
      </c>
      <c r="O58" s="10">
        <v>-3154</v>
      </c>
      <c r="P58" s="10">
        <v>-3229</v>
      </c>
    </row>
    <row r="59" spans="1:20">
      <c r="A59" s="38" t="s">
        <v>44</v>
      </c>
      <c r="B59" s="10">
        <v>-214.9</v>
      </c>
      <c r="C59" s="10">
        <v>-231.4</v>
      </c>
      <c r="D59" s="10">
        <v>-238.8</v>
      </c>
      <c r="E59" s="10">
        <v>-245</v>
      </c>
      <c r="F59" s="10">
        <v>-255.9</v>
      </c>
      <c r="G59" s="10">
        <v>501</v>
      </c>
      <c r="H59" s="10">
        <v>514.5</v>
      </c>
      <c r="I59" s="10">
        <v>482.4</v>
      </c>
      <c r="J59" s="10">
        <v>-564.5</v>
      </c>
      <c r="K59" s="49">
        <v>-563.29999999999995</v>
      </c>
      <c r="L59" s="36">
        <v>597.29999999999995</v>
      </c>
      <c r="M59" s="36">
        <v>601.79999999999995</v>
      </c>
      <c r="N59" s="36">
        <v>667.8</v>
      </c>
      <c r="O59" s="36">
        <v>759.7</v>
      </c>
      <c r="P59" s="1">
        <v>849.9</v>
      </c>
    </row>
    <row r="60" spans="1:20" ht="13" thickBot="1">
      <c r="A60" s="38" t="s">
        <v>45</v>
      </c>
      <c r="B60" s="55">
        <v>15.9</v>
      </c>
      <c r="C60" s="55">
        <v>-5.6</v>
      </c>
      <c r="D60" s="55">
        <v>-3.2</v>
      </c>
      <c r="E60" s="55">
        <v>-3.7</v>
      </c>
      <c r="F60" s="55">
        <v>-3.2</v>
      </c>
      <c r="G60" s="55">
        <v>3.5</v>
      </c>
      <c r="H60" s="55">
        <v>3.9</v>
      </c>
      <c r="I60" s="55">
        <v>45</v>
      </c>
      <c r="J60" s="55">
        <v>-4.0999999999999996</v>
      </c>
      <c r="K60" s="56">
        <v>-4.2</v>
      </c>
      <c r="L60" s="55">
        <v>4.5999999999999996</v>
      </c>
      <c r="M60" s="55">
        <v>4.2</v>
      </c>
      <c r="N60" s="55">
        <v>4.9000000000000004</v>
      </c>
      <c r="O60" s="55">
        <v>5.2</v>
      </c>
      <c r="P60" s="55">
        <v>5.9</v>
      </c>
    </row>
    <row r="61" spans="1:20" ht="20.5" customHeight="1" thickBot="1">
      <c r="A61" s="57" t="s">
        <v>46</v>
      </c>
      <c r="B61" s="55">
        <f>SUM(B58:B60)</f>
        <v>-1625.9</v>
      </c>
      <c r="C61" s="55">
        <f>SUM(C58:C60)</f>
        <v>-1659.7</v>
      </c>
      <c r="D61" s="55">
        <f>SUM(D58:D60)</f>
        <v>-1830.9</v>
      </c>
      <c r="E61" s="55">
        <f>SUM(E58:E60)</f>
        <v>-2125.2999999999997</v>
      </c>
      <c r="F61" s="55">
        <f t="shared" ref="F61" si="21">SUM(F58:F60)</f>
        <v>-2358.7999999999997</v>
      </c>
      <c r="G61" s="55">
        <f>SUM(G58:G60)</f>
        <v>-1875.1999999999998</v>
      </c>
      <c r="H61" s="55">
        <f t="shared" ref="H61" si="22">SUM(H58:H60)</f>
        <v>-1986</v>
      </c>
      <c r="I61" s="55">
        <f>SUM(I58:I60)</f>
        <v>-2420.6999999999998</v>
      </c>
      <c r="J61" s="55">
        <f>SUM(J58:J60)</f>
        <v>-3702.6</v>
      </c>
      <c r="K61" s="55">
        <f t="shared" ref="K61" si="23">SUM(K58:K60)</f>
        <v>-3590.8</v>
      </c>
      <c r="L61" s="55">
        <f>SUM(L58:L60)</f>
        <v>-2834.2000000000003</v>
      </c>
      <c r="M61" s="55">
        <f>SUM(M58:M60)</f>
        <v>-3326.3</v>
      </c>
      <c r="N61" s="55">
        <f>SUM(N58:N60)</f>
        <v>-3874.9</v>
      </c>
      <c r="O61" s="55">
        <f>SUM(O58:O60)</f>
        <v>-2389.1000000000004</v>
      </c>
      <c r="P61" s="55">
        <f>SUM(P58:P60)</f>
        <v>-2373.1999999999998</v>
      </c>
    </row>
    <row r="62" spans="1:20">
      <c r="A62" s="58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60"/>
      <c r="P62" s="61"/>
    </row>
    <row r="64" spans="1:20" ht="12.65" customHeight="1">
      <c r="L64" s="28"/>
      <c r="M64" s="28"/>
      <c r="N64" s="28"/>
    </row>
    <row r="65" spans="1:21" ht="12.65" customHeight="1">
      <c r="L65" s="62"/>
      <c r="M65" s="63"/>
      <c r="N65" s="28"/>
    </row>
    <row r="66" spans="1:21" ht="13.5" customHeight="1" thickBot="1">
      <c r="A66" s="27" t="s">
        <v>47</v>
      </c>
      <c r="B66" s="12"/>
      <c r="C66" s="12"/>
      <c r="L66" s="28"/>
      <c r="M66" s="28"/>
      <c r="N66" s="28"/>
    </row>
    <row r="67" spans="1:21" ht="13">
      <c r="A67" s="32"/>
      <c r="B67" s="33" t="s">
        <v>15</v>
      </c>
      <c r="C67" s="33" t="s">
        <v>14</v>
      </c>
      <c r="D67" s="33" t="s">
        <v>13</v>
      </c>
      <c r="E67" s="33" t="s">
        <v>12</v>
      </c>
      <c r="F67" s="33" t="s">
        <v>11</v>
      </c>
      <c r="G67" s="33" t="s">
        <v>10</v>
      </c>
      <c r="H67" s="33" t="s">
        <v>9</v>
      </c>
      <c r="I67" s="33" t="s">
        <v>8</v>
      </c>
      <c r="J67" s="33" t="s">
        <v>7</v>
      </c>
      <c r="K67" s="33" t="s">
        <v>6</v>
      </c>
      <c r="L67" s="33" t="s">
        <v>5</v>
      </c>
      <c r="M67" s="33" t="s">
        <v>4</v>
      </c>
      <c r="N67" s="33" t="s">
        <v>3</v>
      </c>
      <c r="O67" s="33" t="s">
        <v>2</v>
      </c>
      <c r="P67" s="33" t="s">
        <v>1</v>
      </c>
      <c r="S67" s="12"/>
      <c r="T67" s="12"/>
      <c r="U67" s="12"/>
    </row>
    <row r="68" spans="1:21" ht="13">
      <c r="A68" s="34"/>
      <c r="B68" s="12" t="s">
        <v>17</v>
      </c>
      <c r="C68" s="12" t="s">
        <v>17</v>
      </c>
      <c r="D68" s="12" t="s">
        <v>17</v>
      </c>
      <c r="E68" s="12" t="s">
        <v>17</v>
      </c>
      <c r="F68" s="12" t="s">
        <v>17</v>
      </c>
      <c r="G68" s="12" t="s">
        <v>17</v>
      </c>
      <c r="H68" s="12" t="s">
        <v>17</v>
      </c>
      <c r="I68" s="12" t="s">
        <v>17</v>
      </c>
      <c r="J68" s="12" t="s">
        <v>17</v>
      </c>
      <c r="K68" s="12" t="s">
        <v>17</v>
      </c>
      <c r="L68" s="12" t="s">
        <v>17</v>
      </c>
      <c r="M68" s="12" t="s">
        <v>17</v>
      </c>
      <c r="N68" s="12" t="s">
        <v>17</v>
      </c>
      <c r="O68" s="12" t="s">
        <v>17</v>
      </c>
      <c r="P68" s="12" t="s">
        <v>17</v>
      </c>
    </row>
    <row r="69" spans="1:21" ht="13">
      <c r="A69" s="64" t="s">
        <v>48</v>
      </c>
      <c r="B69" s="1">
        <v>-536.29999999999995</v>
      </c>
      <c r="C69" s="10">
        <v>-565.20000000000005</v>
      </c>
      <c r="D69" s="10">
        <v>-565.5</v>
      </c>
      <c r="E69" s="10">
        <v>-567.1</v>
      </c>
      <c r="F69" s="10">
        <v>-594.79999999999995</v>
      </c>
      <c r="G69" s="10">
        <v>-566.70000000000005</v>
      </c>
      <c r="H69" s="10">
        <v>-592.6</v>
      </c>
      <c r="I69" s="10">
        <v>-628.1</v>
      </c>
      <c r="J69" s="10">
        <v>-661.6</v>
      </c>
      <c r="K69" s="49">
        <v>-685.7</v>
      </c>
      <c r="L69" s="65">
        <v>-696.7</v>
      </c>
      <c r="M69" s="10">
        <v>-650.70000000000005</v>
      </c>
      <c r="N69" s="10">
        <v>-774.7</v>
      </c>
      <c r="O69" s="10">
        <v>-857.7</v>
      </c>
      <c r="P69" s="10">
        <v>-888.8</v>
      </c>
    </row>
    <row r="70" spans="1:21" ht="13.5" thickBot="1">
      <c r="A70" s="64" t="s">
        <v>49</v>
      </c>
      <c r="B70" s="1">
        <v>-47.1</v>
      </c>
      <c r="C70" s="10">
        <v>-48.8</v>
      </c>
      <c r="D70" s="10">
        <v>-51.1</v>
      </c>
      <c r="E70" s="10">
        <v>-53.6</v>
      </c>
      <c r="F70" s="10">
        <v>-58.1</v>
      </c>
      <c r="G70" s="10">
        <v>-93.2</v>
      </c>
      <c r="H70" s="10">
        <v>-101.3</v>
      </c>
      <c r="I70" s="10">
        <v>-92.7</v>
      </c>
      <c r="J70" s="10">
        <v>-102.893809</v>
      </c>
      <c r="K70" s="49">
        <v>-109.9</v>
      </c>
      <c r="L70" s="65">
        <v>-116.6</v>
      </c>
      <c r="M70" s="10">
        <v>-80.8</v>
      </c>
      <c r="N70" s="10">
        <v>-106.9</v>
      </c>
      <c r="O70" s="10">
        <v>-116.8</v>
      </c>
      <c r="P70" s="10">
        <v>-131.1</v>
      </c>
    </row>
    <row r="71" spans="1:21" ht="13">
      <c r="A71" s="34" t="s">
        <v>50</v>
      </c>
      <c r="B71" s="66">
        <f t="shared" ref="B71:G71" si="24">SUM(B69:B70)</f>
        <v>-583.4</v>
      </c>
      <c r="C71" s="66">
        <f t="shared" si="24"/>
        <v>-614</v>
      </c>
      <c r="D71" s="66">
        <f t="shared" si="24"/>
        <v>-616.6</v>
      </c>
      <c r="E71" s="66">
        <f t="shared" si="24"/>
        <v>-620.70000000000005</v>
      </c>
      <c r="F71" s="66">
        <f t="shared" si="24"/>
        <v>-652.9</v>
      </c>
      <c r="G71" s="66">
        <f t="shared" si="24"/>
        <v>-659.90000000000009</v>
      </c>
      <c r="H71" s="66">
        <f t="shared" ref="H71" si="25">SUM(H69:H70)</f>
        <v>-693.9</v>
      </c>
      <c r="I71" s="66">
        <f>SUM(I69:I70)</f>
        <v>-720.80000000000007</v>
      </c>
      <c r="J71" s="66">
        <f>SUM(J69:J70)</f>
        <v>-764.49380900000006</v>
      </c>
      <c r="K71" s="66">
        <f>SUM(K69:K70)</f>
        <v>-795.6</v>
      </c>
      <c r="L71" s="66">
        <f t="shared" ref="L71" si="26">SUM(L69:L70)</f>
        <v>-813.30000000000007</v>
      </c>
      <c r="M71" s="66">
        <f>SUM(M69:M70)</f>
        <v>-731.5</v>
      </c>
      <c r="N71" s="66">
        <f>SUM(N69:N70)</f>
        <v>-881.6</v>
      </c>
      <c r="O71" s="66">
        <f>SUM(O69:O70)</f>
        <v>-974.5</v>
      </c>
      <c r="P71" s="66">
        <f>SUM(P69:P70)</f>
        <v>-1019.9</v>
      </c>
    </row>
    <row r="72" spans="1:21">
      <c r="A72" s="64"/>
      <c r="C72" s="10"/>
      <c r="D72" s="10"/>
      <c r="E72" s="10"/>
      <c r="F72" s="10"/>
      <c r="G72" s="10"/>
      <c r="H72" s="10"/>
      <c r="I72" s="10"/>
      <c r="J72" s="10"/>
      <c r="K72" s="10"/>
      <c r="L72" s="36"/>
      <c r="M72" s="36"/>
      <c r="N72" s="36"/>
      <c r="O72" s="36"/>
    </row>
    <row r="73" spans="1:21" ht="13">
      <c r="A73" s="64" t="s">
        <v>51</v>
      </c>
      <c r="B73" s="1">
        <v>197.1</v>
      </c>
      <c r="C73" s="10">
        <v>204</v>
      </c>
      <c r="D73" s="10">
        <v>209.7</v>
      </c>
      <c r="E73" s="10">
        <v>215</v>
      </c>
      <c r="F73" s="10">
        <v>213.4</v>
      </c>
      <c r="G73" s="10">
        <v>217.7</v>
      </c>
      <c r="H73" s="10">
        <v>222.5</v>
      </c>
      <c r="I73" s="10">
        <v>223.7</v>
      </c>
      <c r="J73" s="10">
        <v>225.88080600000001</v>
      </c>
      <c r="K73" s="46">
        <v>230.3</v>
      </c>
      <c r="L73" s="65">
        <v>240</v>
      </c>
      <c r="M73" s="36">
        <v>258.39999999999998</v>
      </c>
      <c r="N73" s="36">
        <v>259.7</v>
      </c>
      <c r="O73" s="36">
        <v>276.10000000000002</v>
      </c>
      <c r="P73" s="1">
        <v>311.39999999999998</v>
      </c>
    </row>
    <row r="74" spans="1:21" ht="13">
      <c r="A74" s="64" t="s">
        <v>52</v>
      </c>
      <c r="B74" s="1">
        <v>179.7</v>
      </c>
      <c r="C74" s="10">
        <v>193.1</v>
      </c>
      <c r="D74" s="10">
        <v>183.2</v>
      </c>
      <c r="E74" s="10">
        <v>183.6</v>
      </c>
      <c r="F74" s="10">
        <v>187.8</v>
      </c>
      <c r="G74" s="10">
        <v>185.5</v>
      </c>
      <c r="H74" s="10">
        <v>193.3</v>
      </c>
      <c r="I74" s="10">
        <v>191.1</v>
      </c>
      <c r="J74" s="10">
        <v>215.8</v>
      </c>
      <c r="K74" s="46">
        <v>255.7</v>
      </c>
      <c r="L74" s="65">
        <v>235.3</v>
      </c>
      <c r="M74" s="36">
        <v>253.5</v>
      </c>
      <c r="N74" s="36">
        <v>284.5</v>
      </c>
      <c r="O74" s="36">
        <v>306.7</v>
      </c>
      <c r="P74" s="1">
        <v>240.5</v>
      </c>
    </row>
    <row r="75" spans="1:21">
      <c r="A75" s="64" t="s">
        <v>53</v>
      </c>
      <c r="B75" s="1">
        <v>0.7</v>
      </c>
      <c r="C75" s="10">
        <v>-126</v>
      </c>
      <c r="D75" s="10">
        <v>1</v>
      </c>
      <c r="E75" s="10" t="s">
        <v>21</v>
      </c>
      <c r="F75" s="10" t="s">
        <v>21</v>
      </c>
      <c r="G75" s="10" t="s">
        <v>21</v>
      </c>
      <c r="H75" s="10" t="s">
        <v>21</v>
      </c>
      <c r="I75" s="10" t="s">
        <v>21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</row>
    <row r="76" spans="1:21" ht="13">
      <c r="A76" s="64" t="s">
        <v>54</v>
      </c>
      <c r="B76" s="1">
        <v>160.9</v>
      </c>
      <c r="C76" s="10">
        <v>159.19999999999999</v>
      </c>
      <c r="D76" s="10">
        <v>153.80000000000001</v>
      </c>
      <c r="E76" s="10">
        <v>182.3</v>
      </c>
      <c r="F76" s="10">
        <v>190.6</v>
      </c>
      <c r="G76" s="10">
        <v>191.7</v>
      </c>
      <c r="H76" s="10">
        <v>192.1</v>
      </c>
      <c r="I76" s="10">
        <v>194.8</v>
      </c>
      <c r="J76" s="10">
        <v>207.38529</v>
      </c>
      <c r="K76" s="46">
        <v>206.5</v>
      </c>
      <c r="L76" s="65">
        <v>223.6</v>
      </c>
      <c r="M76" s="36">
        <v>238.7</v>
      </c>
      <c r="N76" s="36">
        <v>256.2</v>
      </c>
      <c r="O76" s="36">
        <v>254.3</v>
      </c>
      <c r="P76" s="1">
        <v>263.7</v>
      </c>
    </row>
    <row r="77" spans="1:21" ht="13">
      <c r="A77" s="64" t="s">
        <v>55</v>
      </c>
      <c r="B77" s="1">
        <v>66.2</v>
      </c>
      <c r="C77" s="10">
        <v>68.400000000000006</v>
      </c>
      <c r="D77" s="10">
        <v>61.6</v>
      </c>
      <c r="E77" s="10">
        <v>56.3</v>
      </c>
      <c r="F77" s="10">
        <v>56</v>
      </c>
      <c r="G77" s="10">
        <v>57.4</v>
      </c>
      <c r="H77" s="10">
        <v>54.1</v>
      </c>
      <c r="I77" s="10">
        <v>53.6</v>
      </c>
      <c r="J77" s="10">
        <v>51.205145999999999</v>
      </c>
      <c r="K77" s="46">
        <v>58.8</v>
      </c>
      <c r="L77" s="65">
        <v>62.2</v>
      </c>
      <c r="M77" s="36">
        <v>197.2</v>
      </c>
      <c r="N77" s="36">
        <v>121</v>
      </c>
      <c r="O77" s="36">
        <v>122.4</v>
      </c>
      <c r="P77" s="1">
        <v>104.1</v>
      </c>
    </row>
    <row r="78" spans="1:21" ht="13">
      <c r="A78" s="64" t="s">
        <v>56</v>
      </c>
      <c r="B78" s="1">
        <v>51.6</v>
      </c>
      <c r="C78" s="10">
        <v>80.400000000000006</v>
      </c>
      <c r="D78" s="10">
        <v>64.400000000000006</v>
      </c>
      <c r="E78" s="10">
        <v>51.1</v>
      </c>
      <c r="F78" s="10">
        <v>51.1</v>
      </c>
      <c r="G78" s="10">
        <v>45.4</v>
      </c>
      <c r="H78" s="10">
        <v>42.7</v>
      </c>
      <c r="I78" s="10">
        <v>47.1</v>
      </c>
      <c r="J78" s="10">
        <v>56.500745999999999</v>
      </c>
      <c r="K78" s="46">
        <v>47.9</v>
      </c>
      <c r="L78" s="65">
        <v>51.5</v>
      </c>
      <c r="M78" s="36">
        <v>61.9</v>
      </c>
      <c r="N78" s="36">
        <v>47.9</v>
      </c>
      <c r="O78" s="36">
        <v>52.8</v>
      </c>
      <c r="P78" s="1">
        <v>64.2</v>
      </c>
    </row>
    <row r="79" spans="1:21" ht="13">
      <c r="A79" s="64" t="s">
        <v>57</v>
      </c>
      <c r="B79" s="1" t="s">
        <v>21</v>
      </c>
      <c r="C79" s="10" t="s">
        <v>21</v>
      </c>
      <c r="D79" s="10" t="s">
        <v>21</v>
      </c>
      <c r="E79" s="10" t="s">
        <v>21</v>
      </c>
      <c r="F79" s="10" t="s">
        <v>21</v>
      </c>
      <c r="G79" s="10">
        <v>27.6</v>
      </c>
      <c r="H79" s="10">
        <v>28.3</v>
      </c>
      <c r="I79" s="10">
        <v>31.8</v>
      </c>
      <c r="J79" s="10">
        <v>36.837094999999998</v>
      </c>
      <c r="K79" s="46">
        <v>31.6</v>
      </c>
      <c r="L79" s="65">
        <v>31.8</v>
      </c>
      <c r="M79" s="36">
        <v>21.2</v>
      </c>
      <c r="N79" s="36">
        <v>47.1</v>
      </c>
      <c r="O79" s="36">
        <v>85.1</v>
      </c>
      <c r="P79" s="1">
        <v>63.4</v>
      </c>
    </row>
    <row r="80" spans="1:21">
      <c r="A80" s="64" t="s">
        <v>58</v>
      </c>
      <c r="B80" s="10">
        <v>28</v>
      </c>
      <c r="C80" s="10">
        <v>27.5</v>
      </c>
      <c r="D80" s="10">
        <v>24</v>
      </c>
      <c r="E80" s="10" t="s">
        <v>21</v>
      </c>
      <c r="F80" s="10" t="s">
        <v>21</v>
      </c>
      <c r="G80" s="10" t="s">
        <v>21</v>
      </c>
      <c r="H80" s="10" t="s">
        <v>21</v>
      </c>
      <c r="I80" s="10" t="s">
        <v>21</v>
      </c>
      <c r="J80" s="10" t="s">
        <v>21</v>
      </c>
      <c r="K80" s="10" t="s">
        <v>21</v>
      </c>
      <c r="L80" s="10" t="s">
        <v>21</v>
      </c>
      <c r="M80" s="10" t="s">
        <v>21</v>
      </c>
      <c r="N80" s="10" t="s">
        <v>21</v>
      </c>
      <c r="O80" s="10" t="s">
        <v>21</v>
      </c>
    </row>
    <row r="81" spans="1:16">
      <c r="A81" s="64" t="s">
        <v>59</v>
      </c>
      <c r="B81" s="1">
        <v>-17</v>
      </c>
      <c r="C81" s="10">
        <v>18.3</v>
      </c>
      <c r="D81" s="10">
        <v>17.399999999999999</v>
      </c>
      <c r="E81" s="10">
        <v>29</v>
      </c>
      <c r="F81" s="10">
        <v>19.5</v>
      </c>
      <c r="G81" s="10">
        <v>26</v>
      </c>
      <c r="H81" s="10">
        <v>9.1999999999999993</v>
      </c>
      <c r="I81" s="10">
        <v>18.600000000000001</v>
      </c>
      <c r="J81" s="10">
        <v>15.176125999999996</v>
      </c>
      <c r="K81" s="46">
        <v>21</v>
      </c>
      <c r="L81" s="46">
        <v>74.3</v>
      </c>
      <c r="M81" s="46">
        <v>32.1</v>
      </c>
      <c r="N81" s="46">
        <v>28</v>
      </c>
      <c r="O81" s="46">
        <v>36.200000000000003</v>
      </c>
      <c r="P81" s="1">
        <v>29</v>
      </c>
    </row>
    <row r="82" spans="1:16" ht="13.5" thickBot="1">
      <c r="A82" s="34" t="s">
        <v>60</v>
      </c>
      <c r="B82" s="67">
        <f t="shared" ref="B82:G82" si="27">SUM(B73:B81)</f>
        <v>667.2</v>
      </c>
      <c r="C82" s="67">
        <f t="shared" si="27"/>
        <v>624.9</v>
      </c>
      <c r="D82" s="67">
        <f t="shared" si="27"/>
        <v>715.1</v>
      </c>
      <c r="E82" s="67">
        <f t="shared" si="27"/>
        <v>717.30000000000007</v>
      </c>
      <c r="F82" s="67">
        <f t="shared" si="27"/>
        <v>718.40000000000009</v>
      </c>
      <c r="G82" s="67">
        <f t="shared" si="27"/>
        <v>751.3</v>
      </c>
      <c r="H82" s="67">
        <f t="shared" ref="H82" si="28">SUM(H73:H81)</f>
        <v>742.2</v>
      </c>
      <c r="I82" s="67">
        <f t="shared" ref="I82:O82" si="29">SUM(I73:I81)</f>
        <v>760.69999999999993</v>
      </c>
      <c r="J82" s="67">
        <f t="shared" si="29"/>
        <v>808.78520900000001</v>
      </c>
      <c r="K82" s="67">
        <f t="shared" si="29"/>
        <v>851.8</v>
      </c>
      <c r="L82" s="67">
        <f t="shared" si="29"/>
        <v>918.69999999999993</v>
      </c>
      <c r="M82" s="67">
        <f t="shared" si="29"/>
        <v>1062.9999999999998</v>
      </c>
      <c r="N82" s="67">
        <f t="shared" si="29"/>
        <v>1044.4000000000001</v>
      </c>
      <c r="O82" s="68">
        <f t="shared" si="29"/>
        <v>1133.5999999999999</v>
      </c>
      <c r="P82" s="68">
        <f>SUM(P73:P81)</f>
        <v>1076.3</v>
      </c>
    </row>
    <row r="83" spans="1:16" ht="13.5" thickBot="1">
      <c r="A83" s="34" t="s">
        <v>61</v>
      </c>
      <c r="B83" s="67">
        <f t="shared" ref="B83:G83" si="30">B82+B71</f>
        <v>83.800000000000068</v>
      </c>
      <c r="C83" s="67">
        <f t="shared" si="30"/>
        <v>10.899999999999977</v>
      </c>
      <c r="D83" s="67">
        <f t="shared" si="30"/>
        <v>98.5</v>
      </c>
      <c r="E83" s="67">
        <f t="shared" si="30"/>
        <v>96.600000000000023</v>
      </c>
      <c r="F83" s="67">
        <f t="shared" si="30"/>
        <v>65.500000000000114</v>
      </c>
      <c r="G83" s="67">
        <f t="shared" si="30"/>
        <v>91.399999999999864</v>
      </c>
      <c r="H83" s="67">
        <f t="shared" ref="H83" si="31">H82+H71</f>
        <v>48.300000000000068</v>
      </c>
      <c r="I83" s="67">
        <f t="shared" ref="I83:O83" si="32">I82+I71</f>
        <v>39.899999999999864</v>
      </c>
      <c r="J83" s="67">
        <f t="shared" si="32"/>
        <v>44.291399999999953</v>
      </c>
      <c r="K83" s="68">
        <f t="shared" si="32"/>
        <v>56.199999999999932</v>
      </c>
      <c r="L83" s="68">
        <f t="shared" si="32"/>
        <v>105.39999999999986</v>
      </c>
      <c r="M83" s="68">
        <f t="shared" si="32"/>
        <v>331.49999999999977</v>
      </c>
      <c r="N83" s="68">
        <f t="shared" si="32"/>
        <v>162.80000000000007</v>
      </c>
      <c r="O83" s="68">
        <f t="shared" si="32"/>
        <v>159.09999999999991</v>
      </c>
      <c r="P83" s="68">
        <f>P82+P71</f>
        <v>56.399999999999977</v>
      </c>
    </row>
    <row r="84" spans="1:16">
      <c r="A84" s="64"/>
      <c r="C84" s="10"/>
      <c r="D84" s="10"/>
      <c r="E84" s="10"/>
      <c r="F84" s="10"/>
      <c r="G84" s="10"/>
      <c r="H84" s="10"/>
      <c r="I84" s="10"/>
      <c r="J84" s="10"/>
      <c r="K84" s="10"/>
      <c r="L84" s="36"/>
      <c r="M84" s="36"/>
      <c r="N84" s="36"/>
      <c r="O84" s="36"/>
    </row>
    <row r="85" spans="1:16" ht="13">
      <c r="A85" s="64" t="s">
        <v>62</v>
      </c>
      <c r="B85" s="1">
        <v>78.599999999999994</v>
      </c>
      <c r="C85" s="10">
        <v>83.2</v>
      </c>
      <c r="D85" s="10">
        <v>88.1</v>
      </c>
      <c r="E85" s="10">
        <v>79.400000000000006</v>
      </c>
      <c r="F85" s="10">
        <v>79.900000000000006</v>
      </c>
      <c r="G85" s="10">
        <v>65.099999999999994</v>
      </c>
      <c r="H85" s="10">
        <v>187.4</v>
      </c>
      <c r="I85" s="10">
        <v>68.3</v>
      </c>
      <c r="J85" s="10">
        <v>153.69999999999999</v>
      </c>
      <c r="K85" s="49">
        <v>-56.6</v>
      </c>
      <c r="L85" s="65">
        <v>66</v>
      </c>
      <c r="M85" s="36">
        <v>55.7</v>
      </c>
      <c r="N85" s="36">
        <v>197.2</v>
      </c>
      <c r="O85" s="49">
        <v>-141.9</v>
      </c>
      <c r="P85" s="1">
        <v>82.9</v>
      </c>
    </row>
    <row r="86" spans="1:16" ht="13" thickBot="1">
      <c r="A86" s="64" t="s">
        <v>63</v>
      </c>
      <c r="B86" s="54">
        <v>0.3</v>
      </c>
      <c r="C86" s="54">
        <v>0.3</v>
      </c>
      <c r="D86" s="54">
        <v>-1.3</v>
      </c>
      <c r="E86" s="54">
        <v>2.7</v>
      </c>
      <c r="F86" s="54">
        <v>0.3</v>
      </c>
      <c r="G86" s="54">
        <v>-4.5</v>
      </c>
      <c r="H86" s="54">
        <v>8.1</v>
      </c>
      <c r="I86" s="54">
        <v>-10.4</v>
      </c>
      <c r="J86" s="54">
        <v>4.8</v>
      </c>
      <c r="K86" s="69">
        <v>-1.1000000000000001</v>
      </c>
      <c r="L86" s="69">
        <v>20.399999999999999</v>
      </c>
      <c r="M86" s="69">
        <v>17.2</v>
      </c>
      <c r="N86" s="69">
        <v>-0.4</v>
      </c>
      <c r="O86" s="69">
        <v>-31.8</v>
      </c>
      <c r="P86" s="69">
        <v>7.3</v>
      </c>
    </row>
    <row r="87" spans="1:16" ht="13.5" thickBot="1">
      <c r="A87" s="70" t="s">
        <v>64</v>
      </c>
      <c r="B87" s="67">
        <f t="shared" ref="B87:G87" si="33">B85+B86+B83</f>
        <v>162.70000000000005</v>
      </c>
      <c r="C87" s="67">
        <f t="shared" si="33"/>
        <v>94.399999999999977</v>
      </c>
      <c r="D87" s="67">
        <f t="shared" si="33"/>
        <v>185.3</v>
      </c>
      <c r="E87" s="67">
        <f t="shared" si="33"/>
        <v>178.70000000000005</v>
      </c>
      <c r="F87" s="67">
        <f t="shared" si="33"/>
        <v>145.7000000000001</v>
      </c>
      <c r="G87" s="67">
        <f t="shared" si="33"/>
        <v>151.99999999999986</v>
      </c>
      <c r="H87" s="67">
        <f t="shared" ref="H87" si="34">H85+H86+H83</f>
        <v>243.80000000000007</v>
      </c>
      <c r="I87" s="67">
        <f>I85+I86+I83</f>
        <v>97.799999999999869</v>
      </c>
      <c r="J87" s="67">
        <f>J85+J86+J83</f>
        <v>202.79139999999995</v>
      </c>
      <c r="K87" s="71">
        <f>K85+K86+K83</f>
        <v>-1.5000000000000711</v>
      </c>
      <c r="L87" s="71">
        <f t="shared" ref="L87:M87" si="35">L85+L86+L83</f>
        <v>191.79999999999987</v>
      </c>
      <c r="M87" s="71">
        <f t="shared" si="35"/>
        <v>404.39999999999975</v>
      </c>
      <c r="N87" s="71">
        <f>N85+N86+N83</f>
        <v>359.6</v>
      </c>
      <c r="O87" s="71">
        <f>O85+O86+O83</f>
        <v>-14.600000000000108</v>
      </c>
      <c r="P87" s="71">
        <f>P85+P86+P83</f>
        <v>146.59999999999997</v>
      </c>
    </row>
    <row r="88" spans="1:16">
      <c r="J88" s="72"/>
      <c r="K88" s="72"/>
      <c r="L88" s="72"/>
      <c r="M88" s="72"/>
      <c r="N88" s="72"/>
      <c r="O88" s="72"/>
      <c r="P88" s="72"/>
    </row>
    <row r="89" spans="1:16" ht="13">
      <c r="A89" s="73"/>
      <c r="E89" s="12"/>
      <c r="F89" s="12"/>
      <c r="J89" s="25"/>
      <c r="K89" s="25"/>
      <c r="L89" s="25"/>
      <c r="M89" s="25"/>
      <c r="N89" s="25"/>
      <c r="O89" s="25"/>
      <c r="P89" s="25"/>
    </row>
    <row r="90" spans="1:16" ht="13.5" thickBot="1">
      <c r="A90" s="27" t="s">
        <v>65</v>
      </c>
      <c r="F90" s="12"/>
      <c r="G90" s="12"/>
      <c r="K90" s="12"/>
      <c r="L90" s="12"/>
      <c r="M90" s="12"/>
      <c r="N90" s="12"/>
      <c r="O90" s="27"/>
      <c r="P90" s="27" t="s">
        <v>66</v>
      </c>
    </row>
    <row r="91" spans="1:16" ht="13">
      <c r="A91" s="32"/>
      <c r="B91" s="33" t="s">
        <v>15</v>
      </c>
      <c r="C91" s="33" t="s">
        <v>14</v>
      </c>
      <c r="D91" s="33" t="s">
        <v>13</v>
      </c>
      <c r="E91" s="33" t="s">
        <v>12</v>
      </c>
      <c r="F91" s="33" t="s">
        <v>11</v>
      </c>
      <c r="G91" s="33" t="s">
        <v>10</v>
      </c>
      <c r="H91" s="33" t="s">
        <v>9</v>
      </c>
      <c r="I91" s="33" t="s">
        <v>8</v>
      </c>
      <c r="J91" s="33" t="s">
        <v>7</v>
      </c>
      <c r="K91" s="74" t="s">
        <v>6</v>
      </c>
      <c r="L91" s="74" t="s">
        <v>5</v>
      </c>
      <c r="M91" s="74" t="s">
        <v>4</v>
      </c>
      <c r="N91" s="74" t="s">
        <v>3</v>
      </c>
      <c r="O91" s="74" t="s">
        <v>2</v>
      </c>
      <c r="P91" s="33" t="s">
        <v>1</v>
      </c>
    </row>
    <row r="92" spans="1:16" ht="13">
      <c r="A92" s="73"/>
      <c r="B92" s="12" t="s">
        <v>17</v>
      </c>
      <c r="C92" s="12" t="s">
        <v>17</v>
      </c>
      <c r="D92" s="12" t="s">
        <v>17</v>
      </c>
      <c r="E92" s="12" t="s">
        <v>17</v>
      </c>
      <c r="F92" s="12" t="s">
        <v>17</v>
      </c>
      <c r="G92" s="12" t="s">
        <v>17</v>
      </c>
      <c r="H92" s="12" t="s">
        <v>17</v>
      </c>
      <c r="I92" s="12" t="s">
        <v>17</v>
      </c>
      <c r="J92" s="12" t="s">
        <v>17</v>
      </c>
      <c r="K92" s="12" t="s">
        <v>17</v>
      </c>
      <c r="L92" s="75" t="s">
        <v>17</v>
      </c>
      <c r="M92" s="75" t="s">
        <v>17</v>
      </c>
      <c r="N92" s="75" t="s">
        <v>17</v>
      </c>
      <c r="O92" s="75" t="s">
        <v>17</v>
      </c>
      <c r="P92" s="12" t="s">
        <v>17</v>
      </c>
    </row>
    <row r="93" spans="1:16">
      <c r="A93" s="76" t="s">
        <v>67</v>
      </c>
      <c r="B93" s="1">
        <v>7.5</v>
      </c>
      <c r="C93" s="1">
        <v>7.9</v>
      </c>
      <c r="D93" s="1">
        <v>8.4</v>
      </c>
      <c r="E93" s="1">
        <v>10.5</v>
      </c>
      <c r="F93" s="1">
        <v>11.9</v>
      </c>
      <c r="G93" s="1">
        <v>14</v>
      </c>
      <c r="H93" s="36">
        <v>26.7</v>
      </c>
      <c r="I93" s="36">
        <v>36.5</v>
      </c>
      <c r="J93" s="77">
        <v>47.3</v>
      </c>
      <c r="K93" s="77">
        <v>50.8</v>
      </c>
      <c r="L93" s="78">
        <v>49.7</v>
      </c>
      <c r="M93" s="78">
        <v>48.9</v>
      </c>
      <c r="N93" s="78">
        <v>75.2</v>
      </c>
      <c r="O93" s="78">
        <v>33.4</v>
      </c>
      <c r="P93" s="1">
        <v>25.7</v>
      </c>
    </row>
    <row r="94" spans="1:16" ht="13">
      <c r="A94" s="78" t="s">
        <v>68</v>
      </c>
      <c r="B94" s="44" t="s">
        <v>21</v>
      </c>
      <c r="C94" s="44" t="s">
        <v>21</v>
      </c>
      <c r="D94" s="44" t="s">
        <v>21</v>
      </c>
      <c r="E94" s="44" t="s">
        <v>21</v>
      </c>
      <c r="F94" s="12" t="s">
        <v>21</v>
      </c>
      <c r="G94" s="12" t="s">
        <v>21</v>
      </c>
      <c r="H94" s="44" t="s">
        <v>21</v>
      </c>
      <c r="I94" s="44" t="s">
        <v>21</v>
      </c>
      <c r="J94" s="44" t="s">
        <v>21</v>
      </c>
      <c r="K94" s="12" t="s">
        <v>21</v>
      </c>
      <c r="L94" s="12" t="s">
        <v>21</v>
      </c>
      <c r="M94" s="12" t="s">
        <v>21</v>
      </c>
      <c r="N94" s="78">
        <v>16.7</v>
      </c>
      <c r="O94" s="78">
        <v>18.5</v>
      </c>
      <c r="P94" s="1">
        <v>17.8</v>
      </c>
    </row>
    <row r="95" spans="1:16" ht="13">
      <c r="A95" s="76" t="s">
        <v>69</v>
      </c>
      <c r="B95" s="1">
        <v>5.5</v>
      </c>
      <c r="C95" s="1">
        <v>9.6999999999999993</v>
      </c>
      <c r="D95" s="1">
        <v>14.5</v>
      </c>
      <c r="E95" s="58">
        <v>14.5</v>
      </c>
      <c r="F95" s="1">
        <v>29.2</v>
      </c>
      <c r="G95" s="1">
        <v>35.6</v>
      </c>
      <c r="H95" s="36">
        <v>49.1</v>
      </c>
      <c r="I95" s="36">
        <v>18.7</v>
      </c>
      <c r="J95" s="77">
        <v>6</v>
      </c>
      <c r="K95" s="77">
        <v>2.2999999999999998</v>
      </c>
      <c r="L95" s="78">
        <v>2.2000000000000002</v>
      </c>
      <c r="M95" s="78">
        <v>3.1</v>
      </c>
      <c r="N95" s="78">
        <v>3.2</v>
      </c>
      <c r="O95" s="78">
        <v>4.0999999999999996</v>
      </c>
      <c r="P95" s="12" t="s">
        <v>21</v>
      </c>
    </row>
    <row r="96" spans="1:16" ht="13">
      <c r="A96" s="78" t="s">
        <v>70</v>
      </c>
      <c r="B96" s="44" t="s">
        <v>21</v>
      </c>
      <c r="C96" s="44" t="s">
        <v>21</v>
      </c>
      <c r="D96" s="44" t="s">
        <v>21</v>
      </c>
      <c r="E96" s="44" t="s">
        <v>21</v>
      </c>
      <c r="F96" s="12" t="s">
        <v>21</v>
      </c>
      <c r="G96" s="12" t="s">
        <v>21</v>
      </c>
      <c r="H96" s="44" t="s">
        <v>21</v>
      </c>
      <c r="I96" s="44" t="s">
        <v>21</v>
      </c>
      <c r="J96" s="44" t="s">
        <v>21</v>
      </c>
      <c r="K96" s="12" t="s">
        <v>21</v>
      </c>
      <c r="L96" s="78">
        <v>0.6</v>
      </c>
      <c r="M96" s="78">
        <v>3</v>
      </c>
      <c r="N96" s="78">
        <v>2.5</v>
      </c>
      <c r="O96" s="78">
        <v>3.3</v>
      </c>
      <c r="P96" s="12" t="s">
        <v>21</v>
      </c>
    </row>
    <row r="97" spans="1:16" ht="13" thickBot="1">
      <c r="A97" s="76" t="s">
        <v>71</v>
      </c>
      <c r="B97" s="79">
        <v>28.4</v>
      </c>
      <c r="C97" s="79">
        <v>31.9</v>
      </c>
      <c r="D97" s="79">
        <v>77.900000000000006</v>
      </c>
      <c r="E97" s="79">
        <v>62.9</v>
      </c>
      <c r="F97" s="79">
        <v>22.7</v>
      </c>
      <c r="G97" s="79">
        <v>26.8</v>
      </c>
      <c r="H97" s="79">
        <v>28.5</v>
      </c>
      <c r="I97" s="79">
        <v>28.8</v>
      </c>
      <c r="J97" s="79">
        <v>30.4</v>
      </c>
      <c r="K97" s="79">
        <v>26.9</v>
      </c>
      <c r="L97" s="79">
        <v>15.5</v>
      </c>
      <c r="M97" s="79">
        <v>11.1</v>
      </c>
      <c r="N97" s="79">
        <v>9.4</v>
      </c>
      <c r="O97" s="79">
        <v>8.1</v>
      </c>
      <c r="P97" s="79">
        <v>8.5</v>
      </c>
    </row>
    <row r="98" spans="1:16" ht="13.5" thickBot="1">
      <c r="A98" s="80" t="s">
        <v>72</v>
      </c>
      <c r="B98" s="81">
        <v>41.4</v>
      </c>
      <c r="C98" s="81">
        <v>49.5</v>
      </c>
      <c r="D98" s="81">
        <v>100.80000000000001</v>
      </c>
      <c r="E98" s="81">
        <v>87.9</v>
      </c>
      <c r="F98" s="81">
        <v>63.8</v>
      </c>
      <c r="G98" s="81">
        <v>76.400000000000006</v>
      </c>
      <c r="H98" s="81">
        <v>104.3</v>
      </c>
      <c r="I98" s="81">
        <v>84</v>
      </c>
      <c r="J98" s="81">
        <v>83.699999999999989</v>
      </c>
      <c r="K98" s="81">
        <v>80</v>
      </c>
      <c r="L98" s="81">
        <v>68</v>
      </c>
      <c r="M98" s="81">
        <v>66.099999999999994</v>
      </c>
      <c r="N98" s="81">
        <v>107.00000000000001</v>
      </c>
      <c r="O98" s="81">
        <v>67.399999999999991</v>
      </c>
      <c r="P98" s="82">
        <f>SUM(P93:P97)</f>
        <v>52</v>
      </c>
    </row>
    <row r="99" spans="1:16" ht="13">
      <c r="A99" s="73"/>
      <c r="F99" s="12"/>
      <c r="G99" s="12"/>
      <c r="K99" s="12"/>
      <c r="L99" s="12"/>
      <c r="M99" s="12"/>
      <c r="N99" s="12"/>
      <c r="O99" s="12"/>
    </row>
    <row r="100" spans="1:16" ht="13.5" thickBot="1">
      <c r="A100" s="27" t="s">
        <v>73</v>
      </c>
      <c r="G100" s="26"/>
    </row>
    <row r="101" spans="1:16" ht="26">
      <c r="A101" s="269"/>
      <c r="B101" s="33" t="s">
        <v>74</v>
      </c>
      <c r="C101" s="33" t="s">
        <v>75</v>
      </c>
      <c r="D101" s="33" t="s">
        <v>76</v>
      </c>
      <c r="E101" s="33" t="s">
        <v>77</v>
      </c>
      <c r="F101" s="83">
        <v>43190</v>
      </c>
    </row>
    <row r="102" spans="1:16" ht="13">
      <c r="A102" s="270"/>
      <c r="B102" s="12" t="s">
        <v>78</v>
      </c>
      <c r="C102" s="12" t="s">
        <v>79</v>
      </c>
      <c r="D102" s="12" t="s">
        <v>79</v>
      </c>
      <c r="E102" s="12" t="s">
        <v>79</v>
      </c>
      <c r="F102" s="12" t="s">
        <v>80</v>
      </c>
    </row>
    <row r="103" spans="1:16" ht="13">
      <c r="A103" s="64"/>
      <c r="B103" s="12" t="s">
        <v>17</v>
      </c>
      <c r="C103" s="12" t="s">
        <v>17</v>
      </c>
      <c r="D103" s="12" t="s">
        <v>17</v>
      </c>
      <c r="E103" s="12" t="s">
        <v>17</v>
      </c>
      <c r="F103" s="12" t="s">
        <v>17</v>
      </c>
    </row>
    <row r="104" spans="1:16" ht="13">
      <c r="A104" s="64" t="s">
        <v>81</v>
      </c>
      <c r="B104" s="36">
        <v>210</v>
      </c>
      <c r="C104" s="36">
        <v>-17.399999999999999</v>
      </c>
      <c r="D104" s="36">
        <v>-1.2</v>
      </c>
      <c r="E104" s="36">
        <v>-11.4</v>
      </c>
      <c r="F104" s="12">
        <v>180</v>
      </c>
    </row>
    <row r="105" spans="1:16" ht="13">
      <c r="A105" s="64" t="s">
        <v>82</v>
      </c>
      <c r="B105" s="84">
        <v>69.400000000000006</v>
      </c>
      <c r="C105" s="84">
        <v>0.6</v>
      </c>
      <c r="D105" s="84">
        <v>0</v>
      </c>
      <c r="E105" s="84">
        <v>-0.1</v>
      </c>
      <c r="F105" s="85">
        <v>69.900000000000006</v>
      </c>
    </row>
    <row r="106" spans="1:16" ht="13">
      <c r="A106" s="64" t="s">
        <v>83</v>
      </c>
      <c r="B106" s="84">
        <v>28.1</v>
      </c>
      <c r="C106" s="84">
        <v>1.5</v>
      </c>
      <c r="D106" s="84">
        <v>0</v>
      </c>
      <c r="E106" s="84">
        <v>-5.9</v>
      </c>
      <c r="F106" s="85">
        <v>23.700000000000003</v>
      </c>
    </row>
    <row r="107" spans="1:16" ht="13.5" thickBot="1">
      <c r="A107" s="64" t="s">
        <v>84</v>
      </c>
      <c r="B107" s="84">
        <v>11.4</v>
      </c>
      <c r="C107" s="86">
        <v>12.4</v>
      </c>
      <c r="D107" s="86">
        <v>0</v>
      </c>
      <c r="E107" s="86">
        <v>0</v>
      </c>
      <c r="F107" s="85">
        <v>23.8</v>
      </c>
    </row>
    <row r="108" spans="1:16" ht="13.5" thickBot="1">
      <c r="A108" s="80" t="s">
        <v>80</v>
      </c>
      <c r="B108" s="87">
        <f>SUM(B104:B107)</f>
        <v>318.89999999999998</v>
      </c>
      <c r="C108" s="87">
        <f t="shared" ref="C108:F108" si="36">SUM(C104:C107)</f>
        <v>-2.8999999999999968</v>
      </c>
      <c r="D108" s="87">
        <f t="shared" si="36"/>
        <v>-1.2</v>
      </c>
      <c r="E108" s="87">
        <f t="shared" si="36"/>
        <v>-17.399999999999999</v>
      </c>
      <c r="F108" s="81">
        <f t="shared" si="36"/>
        <v>297.40000000000003</v>
      </c>
    </row>
    <row r="112" spans="1:16" ht="13.5" thickBot="1">
      <c r="A112" s="27" t="s">
        <v>85</v>
      </c>
    </row>
    <row r="113" spans="1:16" ht="13">
      <c r="A113" s="32"/>
      <c r="B113" s="33" t="s">
        <v>15</v>
      </c>
      <c r="C113" s="33" t="s">
        <v>14</v>
      </c>
      <c r="D113" s="33" t="s">
        <v>13</v>
      </c>
      <c r="E113" s="33" t="s">
        <v>12</v>
      </c>
      <c r="F113" s="33" t="s">
        <v>11</v>
      </c>
      <c r="G113" s="33" t="s">
        <v>10</v>
      </c>
      <c r="H113" s="33" t="s">
        <v>9</v>
      </c>
      <c r="I113" s="33" t="s">
        <v>8</v>
      </c>
      <c r="J113" s="33" t="s">
        <v>7</v>
      </c>
      <c r="K113" s="33" t="s">
        <v>6</v>
      </c>
      <c r="L113" s="33" t="s">
        <v>5</v>
      </c>
      <c r="M113" s="33" t="s">
        <v>4</v>
      </c>
      <c r="N113" s="33" t="s">
        <v>3</v>
      </c>
      <c r="O113" s="33" t="s">
        <v>2</v>
      </c>
      <c r="P113" s="33" t="s">
        <v>1</v>
      </c>
    </row>
    <row r="114" spans="1:16" ht="13">
      <c r="A114" s="34"/>
      <c r="B114" s="12" t="s">
        <v>17</v>
      </c>
      <c r="C114" s="12" t="s">
        <v>17</v>
      </c>
      <c r="D114" s="12" t="s">
        <v>17</v>
      </c>
      <c r="E114" s="12" t="s">
        <v>17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12" t="s">
        <v>17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</row>
    <row r="115" spans="1:16">
      <c r="A115" s="64" t="s">
        <v>86</v>
      </c>
      <c r="B115" s="1">
        <v>152.6</v>
      </c>
      <c r="C115" s="1">
        <v>158.1</v>
      </c>
      <c r="D115" s="1">
        <v>151.80000000000001</v>
      </c>
      <c r="E115" s="36">
        <v>150.9</v>
      </c>
      <c r="F115" s="36">
        <v>162.1</v>
      </c>
      <c r="G115" s="36">
        <v>163.1</v>
      </c>
      <c r="H115" s="36">
        <v>169.5</v>
      </c>
      <c r="I115" s="36">
        <v>173.8</v>
      </c>
      <c r="J115" s="88">
        <v>186</v>
      </c>
      <c r="K115" s="88">
        <v>194</v>
      </c>
      <c r="L115" s="58">
        <v>194.2</v>
      </c>
      <c r="M115" s="58">
        <v>191.9</v>
      </c>
      <c r="N115" s="58">
        <v>233.4</v>
      </c>
      <c r="O115" s="58">
        <v>258</v>
      </c>
      <c r="P115" s="1">
        <v>286.2</v>
      </c>
    </row>
    <row r="116" spans="1:16">
      <c r="A116" s="64" t="s">
        <v>87</v>
      </c>
      <c r="B116" s="1">
        <v>90.4</v>
      </c>
      <c r="C116" s="1">
        <v>85.5</v>
      </c>
      <c r="D116" s="1">
        <v>90.9</v>
      </c>
      <c r="E116" s="36">
        <v>90.7</v>
      </c>
      <c r="F116" s="36">
        <v>97.3</v>
      </c>
      <c r="G116" s="36">
        <v>97.2</v>
      </c>
      <c r="H116" s="36">
        <v>102.1</v>
      </c>
      <c r="I116" s="36">
        <v>108.6</v>
      </c>
      <c r="J116" s="36">
        <v>118.4</v>
      </c>
      <c r="K116" s="88">
        <v>120.4</v>
      </c>
      <c r="L116" s="58">
        <v>126.6</v>
      </c>
      <c r="M116" s="58">
        <v>125.8</v>
      </c>
      <c r="N116" s="58">
        <v>142.1</v>
      </c>
      <c r="O116" s="58">
        <v>158.30000000000001</v>
      </c>
      <c r="P116" s="1">
        <v>157.6</v>
      </c>
    </row>
    <row r="117" spans="1:16">
      <c r="A117" s="64" t="s">
        <v>88</v>
      </c>
      <c r="B117" s="1">
        <v>76.099999999999994</v>
      </c>
      <c r="C117" s="1">
        <v>88.2</v>
      </c>
      <c r="D117" s="1">
        <v>97.7</v>
      </c>
      <c r="E117" s="36">
        <v>99.1</v>
      </c>
      <c r="F117" s="36">
        <v>108.2</v>
      </c>
      <c r="G117" s="36">
        <v>113.9</v>
      </c>
      <c r="H117" s="36">
        <v>116.1</v>
      </c>
      <c r="I117" s="36">
        <v>124.4</v>
      </c>
      <c r="J117" s="36">
        <v>128.6</v>
      </c>
      <c r="K117" s="88">
        <v>135.6</v>
      </c>
      <c r="L117" s="58">
        <v>137.19999999999999</v>
      </c>
      <c r="M117" s="58">
        <v>122.1</v>
      </c>
      <c r="N117" s="58">
        <v>148.69999999999999</v>
      </c>
      <c r="O117" s="58">
        <v>166.8</v>
      </c>
      <c r="P117" s="1">
        <v>165.5</v>
      </c>
    </row>
    <row r="118" spans="1:16">
      <c r="A118" s="64" t="s">
        <v>89</v>
      </c>
      <c r="B118" s="1">
        <v>37.799999999999997</v>
      </c>
      <c r="C118" s="1">
        <v>45.7</v>
      </c>
      <c r="D118" s="1">
        <v>40</v>
      </c>
      <c r="E118" s="36">
        <v>38.9</v>
      </c>
      <c r="F118" s="36">
        <v>39.6</v>
      </c>
      <c r="G118" s="36">
        <v>40.299999999999997</v>
      </c>
      <c r="H118" s="36">
        <v>45.2</v>
      </c>
      <c r="I118" s="36">
        <v>52.4</v>
      </c>
      <c r="J118" s="36">
        <v>55.1</v>
      </c>
      <c r="K118" s="88">
        <v>53.1</v>
      </c>
      <c r="L118" s="58">
        <v>52.4</v>
      </c>
      <c r="M118" s="58">
        <v>53.7</v>
      </c>
      <c r="N118" s="58">
        <v>68.3</v>
      </c>
      <c r="O118" s="58">
        <v>80.400000000000006</v>
      </c>
      <c r="P118" s="1">
        <v>89.6</v>
      </c>
    </row>
    <row r="119" spans="1:16">
      <c r="A119" s="64" t="s">
        <v>90</v>
      </c>
      <c r="B119" s="1">
        <v>26.3</v>
      </c>
      <c r="C119" s="1">
        <v>27.2</v>
      </c>
      <c r="D119" s="1">
        <v>26.9</v>
      </c>
      <c r="E119" s="36">
        <v>26.5</v>
      </c>
      <c r="F119" s="36">
        <v>26.9</v>
      </c>
      <c r="G119" s="36">
        <v>27.2</v>
      </c>
      <c r="H119" s="36">
        <v>27.7</v>
      </c>
      <c r="I119" s="36">
        <v>28</v>
      </c>
      <c r="J119" s="36">
        <v>27.9</v>
      </c>
      <c r="K119" s="88">
        <v>28</v>
      </c>
      <c r="L119" s="58">
        <v>27.3</v>
      </c>
      <c r="M119" s="58">
        <v>21.3</v>
      </c>
      <c r="N119" s="58">
        <v>25.8</v>
      </c>
      <c r="O119" s="58">
        <v>25</v>
      </c>
      <c r="P119" s="1">
        <v>24.9</v>
      </c>
    </row>
    <row r="120" spans="1:16">
      <c r="A120" s="64" t="s">
        <v>91</v>
      </c>
      <c r="B120" s="1">
        <v>25.1</v>
      </c>
      <c r="C120" s="1">
        <v>25.2</v>
      </c>
      <c r="D120" s="1">
        <v>26.7</v>
      </c>
      <c r="E120" s="36">
        <v>26.6</v>
      </c>
      <c r="F120" s="36">
        <v>26.8</v>
      </c>
      <c r="G120" s="36">
        <v>26.9</v>
      </c>
      <c r="H120" s="36">
        <v>26.4</v>
      </c>
      <c r="I120" s="36">
        <v>26.8</v>
      </c>
      <c r="J120" s="36">
        <v>26.7</v>
      </c>
      <c r="K120" s="88">
        <v>28.5</v>
      </c>
      <c r="L120" s="58">
        <v>29</v>
      </c>
      <c r="M120" s="58">
        <v>29.9</v>
      </c>
      <c r="N120" s="58">
        <v>35.299999999999997</v>
      </c>
      <c r="O120" s="58">
        <v>34.799999999999997</v>
      </c>
      <c r="P120" s="1">
        <v>33.9</v>
      </c>
    </row>
    <row r="121" spans="1:16">
      <c r="A121" s="64" t="s">
        <v>92</v>
      </c>
      <c r="B121" s="1">
        <v>8.1</v>
      </c>
      <c r="C121" s="1">
        <v>9</v>
      </c>
      <c r="D121" s="1">
        <v>8.6999999999999993</v>
      </c>
      <c r="E121" s="36">
        <v>9.5</v>
      </c>
      <c r="F121" s="36">
        <v>12.9</v>
      </c>
      <c r="G121" s="36">
        <v>13.5</v>
      </c>
      <c r="H121" s="36">
        <v>14.8</v>
      </c>
      <c r="I121" s="36">
        <v>15.9</v>
      </c>
      <c r="J121" s="36">
        <v>17.2</v>
      </c>
      <c r="K121" s="88">
        <v>16.399999999999999</v>
      </c>
      <c r="L121" s="58">
        <v>16.2</v>
      </c>
      <c r="M121" s="58">
        <v>13.2</v>
      </c>
      <c r="N121" s="58">
        <v>19.899999999999999</v>
      </c>
      <c r="O121" s="58">
        <v>20.3</v>
      </c>
      <c r="P121" s="1">
        <v>16.100000000000001</v>
      </c>
    </row>
    <row r="122" spans="1:16">
      <c r="A122" s="64" t="s">
        <v>93</v>
      </c>
      <c r="B122" s="1">
        <v>1.9</v>
      </c>
      <c r="C122" s="1">
        <v>3.7</v>
      </c>
      <c r="D122" s="1">
        <v>4.4000000000000004</v>
      </c>
      <c r="E122" s="36">
        <v>3.9</v>
      </c>
      <c r="F122" s="36">
        <v>3.9</v>
      </c>
      <c r="G122" s="36">
        <v>5.7</v>
      </c>
      <c r="H122" s="36">
        <v>7.3</v>
      </c>
      <c r="I122" s="36">
        <v>8.4</v>
      </c>
      <c r="J122" s="36">
        <v>7.8</v>
      </c>
      <c r="K122" s="88">
        <v>9.3000000000000007</v>
      </c>
      <c r="L122" s="58">
        <v>10</v>
      </c>
      <c r="M122" s="58">
        <v>12</v>
      </c>
      <c r="N122" s="58">
        <v>15.8</v>
      </c>
      <c r="O122" s="58">
        <v>17</v>
      </c>
      <c r="P122" s="1">
        <v>14.3</v>
      </c>
    </row>
    <row r="123" spans="1:16" ht="13" thickBot="1">
      <c r="A123" s="64" t="s">
        <v>94</v>
      </c>
      <c r="B123" s="36">
        <v>14.9</v>
      </c>
      <c r="C123" s="36">
        <v>20</v>
      </c>
      <c r="D123" s="36">
        <v>21.7</v>
      </c>
      <c r="E123" s="36">
        <v>22.4</v>
      </c>
      <c r="F123" s="36">
        <v>25.3</v>
      </c>
      <c r="G123" s="36">
        <v>25</v>
      </c>
      <c r="H123" s="36">
        <v>26.6</v>
      </c>
      <c r="I123" s="36">
        <v>30.8</v>
      </c>
      <c r="J123" s="88">
        <v>31.7</v>
      </c>
      <c r="K123" s="88">
        <v>33.6</v>
      </c>
      <c r="L123" s="58">
        <v>34.9</v>
      </c>
      <c r="M123" s="58">
        <v>31</v>
      </c>
      <c r="N123" s="58">
        <v>33.9</v>
      </c>
      <c r="O123" s="58">
        <v>44.9</v>
      </c>
      <c r="P123" s="1">
        <v>45.9</v>
      </c>
    </row>
    <row r="124" spans="1:16" ht="13">
      <c r="A124" s="34" t="s">
        <v>95</v>
      </c>
      <c r="B124" s="33">
        <f t="shared" ref="B124:G124" si="37">SUM(B115:B123)</f>
        <v>433.20000000000005</v>
      </c>
      <c r="C124" s="33">
        <f t="shared" si="37"/>
        <v>462.59999999999997</v>
      </c>
      <c r="D124" s="33">
        <f t="shared" si="37"/>
        <v>468.79999999999995</v>
      </c>
      <c r="E124" s="33">
        <f t="shared" si="37"/>
        <v>468.5</v>
      </c>
      <c r="F124" s="33">
        <f t="shared" si="37"/>
        <v>502.99999999999994</v>
      </c>
      <c r="G124" s="33">
        <f t="shared" si="37"/>
        <v>512.79999999999995</v>
      </c>
      <c r="H124" s="33">
        <f t="shared" ref="H124" si="38">SUM(H115:H123)</f>
        <v>535.70000000000005</v>
      </c>
      <c r="I124" s="33">
        <f>SUM(I115:I123)</f>
        <v>569.0999999999998</v>
      </c>
      <c r="J124" s="33">
        <f>SUM(J115:J123)</f>
        <v>599.40000000000009</v>
      </c>
      <c r="K124" s="89">
        <v>618.92724999999996</v>
      </c>
      <c r="L124" s="89">
        <f>SUM(L115:L123)</f>
        <v>627.79999999999995</v>
      </c>
      <c r="M124" s="89">
        <f>SUM(M115:M123)</f>
        <v>600.9</v>
      </c>
      <c r="N124" s="89">
        <f>SUM(N115:N123)</f>
        <v>723.19999999999982</v>
      </c>
      <c r="O124" s="89">
        <f>SUM(O115:O123)</f>
        <v>805.49999999999989</v>
      </c>
      <c r="P124" s="89">
        <f>SUM(P115:P123)</f>
        <v>833.99999999999989</v>
      </c>
    </row>
    <row r="125" spans="1:16">
      <c r="A125" s="64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58"/>
      <c r="M125" s="58"/>
      <c r="N125" s="58"/>
      <c r="O125" s="58"/>
    </row>
    <row r="126" spans="1:16">
      <c r="A126" s="64" t="s">
        <v>96</v>
      </c>
      <c r="B126" s="36">
        <v>29.4</v>
      </c>
      <c r="C126" s="36">
        <v>30.2</v>
      </c>
      <c r="D126" s="36">
        <v>30.4</v>
      </c>
      <c r="E126" s="36">
        <v>30.4</v>
      </c>
      <c r="F126" s="36">
        <v>28.5</v>
      </c>
      <c r="G126" s="36">
        <v>28.2</v>
      </c>
      <c r="H126" s="36">
        <v>29.6</v>
      </c>
      <c r="I126" s="36">
        <v>30.8</v>
      </c>
      <c r="J126" s="36">
        <v>32.1</v>
      </c>
      <c r="K126" s="46">
        <v>34.5</v>
      </c>
      <c r="L126" s="46">
        <v>36.4</v>
      </c>
      <c r="M126" s="46">
        <v>30</v>
      </c>
      <c r="N126" s="46">
        <v>28.3</v>
      </c>
      <c r="O126" s="46">
        <v>27.6</v>
      </c>
      <c r="P126" s="1">
        <v>28.5</v>
      </c>
    </row>
    <row r="127" spans="1:16" ht="13" thickBot="1">
      <c r="A127" s="64" t="s">
        <v>97</v>
      </c>
      <c r="B127" s="90">
        <v>22.7</v>
      </c>
      <c r="C127" s="90">
        <v>22.6</v>
      </c>
      <c r="D127" s="90">
        <v>24.4</v>
      </c>
      <c r="E127" s="90">
        <v>25.5</v>
      </c>
      <c r="F127" s="90">
        <v>24.3</v>
      </c>
      <c r="G127" s="90">
        <v>25.7</v>
      </c>
      <c r="H127" s="90">
        <v>27.3</v>
      </c>
      <c r="I127" s="90">
        <v>28.2</v>
      </c>
      <c r="J127" s="90">
        <v>30.1</v>
      </c>
      <c r="K127" s="47">
        <v>32.299999999999997</v>
      </c>
      <c r="L127" s="47">
        <v>32.5</v>
      </c>
      <c r="M127" s="91">
        <v>19.8</v>
      </c>
      <c r="N127" s="91">
        <v>23.2</v>
      </c>
      <c r="O127" s="91">
        <v>24.6</v>
      </c>
      <c r="P127" s="1">
        <v>26.3</v>
      </c>
    </row>
    <row r="128" spans="1:16" ht="13">
      <c r="A128" s="34" t="s">
        <v>98</v>
      </c>
      <c r="B128" s="33">
        <f t="shared" ref="B128:G128" si="39">SUM(B126:B127)</f>
        <v>52.099999999999994</v>
      </c>
      <c r="C128" s="33">
        <f t="shared" si="39"/>
        <v>52.8</v>
      </c>
      <c r="D128" s="33">
        <f t="shared" si="39"/>
        <v>54.8</v>
      </c>
      <c r="E128" s="33">
        <f t="shared" si="39"/>
        <v>55.9</v>
      </c>
      <c r="F128" s="33">
        <f t="shared" si="39"/>
        <v>52.8</v>
      </c>
      <c r="G128" s="33">
        <f t="shared" si="39"/>
        <v>53.9</v>
      </c>
      <c r="H128" s="33">
        <f t="shared" ref="H128" si="40">SUM(H126:H127)</f>
        <v>56.900000000000006</v>
      </c>
      <c r="I128" s="33">
        <f>SUM(I126:I127)</f>
        <v>59</v>
      </c>
      <c r="J128" s="33">
        <f>SUM(J126:J127)</f>
        <v>62.2</v>
      </c>
      <c r="K128" s="89">
        <v>66.81311500000001</v>
      </c>
      <c r="L128" s="33">
        <f>SUM(L126:L127)</f>
        <v>68.900000000000006</v>
      </c>
      <c r="M128" s="33">
        <f>SUM(M126:M127)</f>
        <v>49.8</v>
      </c>
      <c r="N128" s="33">
        <f>SUM(N126:N127)</f>
        <v>51.5</v>
      </c>
      <c r="O128" s="33">
        <f>SUM(O126:O127)</f>
        <v>52.2</v>
      </c>
      <c r="P128" s="33">
        <f>SUM(P126:P127)</f>
        <v>54.8</v>
      </c>
    </row>
    <row r="129" spans="1:19" ht="13" thickBot="1">
      <c r="A129" s="64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1:19" ht="13.5" thickBot="1">
      <c r="A130" s="80" t="s">
        <v>99</v>
      </c>
      <c r="B130" s="81">
        <f t="shared" ref="B130:G130" si="41">B128+B124</f>
        <v>485.30000000000007</v>
      </c>
      <c r="C130" s="81">
        <f t="shared" si="41"/>
        <v>515.4</v>
      </c>
      <c r="D130" s="81">
        <f t="shared" si="41"/>
        <v>523.59999999999991</v>
      </c>
      <c r="E130" s="81">
        <f t="shared" si="41"/>
        <v>524.4</v>
      </c>
      <c r="F130" s="81">
        <f t="shared" si="41"/>
        <v>555.79999999999995</v>
      </c>
      <c r="G130" s="81">
        <f t="shared" si="41"/>
        <v>566.69999999999993</v>
      </c>
      <c r="H130" s="81">
        <f t="shared" ref="H130" si="42">H128+H124</f>
        <v>592.6</v>
      </c>
      <c r="I130" s="81">
        <f t="shared" ref="I130:O130" si="43">I128+I124</f>
        <v>628.0999999999998</v>
      </c>
      <c r="J130" s="81">
        <f t="shared" si="43"/>
        <v>661.60000000000014</v>
      </c>
      <c r="K130" s="92">
        <f t="shared" si="43"/>
        <v>685.740365</v>
      </c>
      <c r="L130" s="81">
        <f t="shared" si="43"/>
        <v>696.69999999999993</v>
      </c>
      <c r="M130" s="81">
        <f t="shared" si="43"/>
        <v>650.69999999999993</v>
      </c>
      <c r="N130" s="81">
        <f t="shared" si="43"/>
        <v>774.69999999999982</v>
      </c>
      <c r="O130" s="81">
        <f t="shared" si="43"/>
        <v>857.69999999999993</v>
      </c>
      <c r="P130" s="82">
        <f>SUM(P124+P128)</f>
        <v>888.79999999999984</v>
      </c>
    </row>
    <row r="134" spans="1:19" ht="13.5" thickBot="1">
      <c r="A134" s="93" t="s">
        <v>100</v>
      </c>
    </row>
    <row r="135" spans="1:19" ht="13">
      <c r="A135" s="32"/>
      <c r="B135" s="33" t="s">
        <v>15</v>
      </c>
      <c r="C135" s="33" t="s">
        <v>14</v>
      </c>
      <c r="D135" s="33" t="s">
        <v>13</v>
      </c>
      <c r="E135" s="33" t="s">
        <v>12</v>
      </c>
      <c r="F135" s="33" t="s">
        <v>11</v>
      </c>
      <c r="G135" s="33" t="s">
        <v>10</v>
      </c>
      <c r="H135" s="33" t="s">
        <v>9</v>
      </c>
      <c r="I135" s="33" t="s">
        <v>8</v>
      </c>
      <c r="J135" s="33" t="s">
        <v>7</v>
      </c>
      <c r="K135" s="33" t="s">
        <v>6</v>
      </c>
      <c r="L135" s="33" t="s">
        <v>5</v>
      </c>
      <c r="M135" s="33" t="s">
        <v>4</v>
      </c>
      <c r="N135" s="33" t="s">
        <v>3</v>
      </c>
      <c r="O135" s="33" t="s">
        <v>2</v>
      </c>
      <c r="P135" s="33" t="s">
        <v>1</v>
      </c>
    </row>
    <row r="136" spans="1:19" ht="13">
      <c r="A136" s="64"/>
      <c r="B136" s="12" t="s">
        <v>17</v>
      </c>
      <c r="C136" s="12" t="s">
        <v>17</v>
      </c>
      <c r="D136" s="12" t="s">
        <v>17</v>
      </c>
      <c r="E136" s="12" t="s">
        <v>17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12" t="s">
        <v>17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</row>
    <row r="137" spans="1:19">
      <c r="A137" s="64" t="s">
        <v>101</v>
      </c>
      <c r="B137" s="1">
        <v>71.400000000000006</v>
      </c>
      <c r="C137" s="1">
        <v>74.099999999999994</v>
      </c>
      <c r="D137" s="1">
        <v>78.099999999999994</v>
      </c>
      <c r="E137" s="1">
        <v>83.8</v>
      </c>
      <c r="F137" s="10">
        <v>85</v>
      </c>
      <c r="G137" s="10">
        <v>88.6</v>
      </c>
      <c r="H137" s="10">
        <v>91.5</v>
      </c>
      <c r="I137" s="10">
        <v>93.8</v>
      </c>
      <c r="J137" s="10">
        <v>96.1</v>
      </c>
      <c r="K137" s="10">
        <v>99.091688000000005</v>
      </c>
      <c r="L137" s="58">
        <v>101.2</v>
      </c>
      <c r="M137" s="58">
        <v>103.5</v>
      </c>
      <c r="N137" s="58">
        <v>106.8</v>
      </c>
      <c r="O137" s="58">
        <v>112.6</v>
      </c>
      <c r="P137" s="1">
        <v>127.3</v>
      </c>
      <c r="Q137" s="94">
        <f>P137/P163</f>
        <v>0.40879897238278745</v>
      </c>
      <c r="R137" s="94">
        <f>(P137-O137)/O137</f>
        <v>0.13055062166962703</v>
      </c>
      <c r="S137" s="1">
        <f>P137-O137</f>
        <v>14.700000000000003</v>
      </c>
    </row>
    <row r="138" spans="1:19">
      <c r="A138" s="64" t="s">
        <v>102</v>
      </c>
      <c r="B138" s="1">
        <v>8.1999999999999993</v>
      </c>
      <c r="C138" s="1">
        <v>8.3000000000000007</v>
      </c>
      <c r="D138" s="1">
        <v>8.4</v>
      </c>
      <c r="E138" s="1">
        <v>7.9</v>
      </c>
      <c r="F138" s="10">
        <v>7.3</v>
      </c>
      <c r="G138" s="10">
        <v>6.7</v>
      </c>
      <c r="H138" s="10">
        <v>6.2</v>
      </c>
      <c r="I138" s="10">
        <v>6</v>
      </c>
      <c r="J138" s="10">
        <v>5.7</v>
      </c>
      <c r="K138" s="10">
        <v>5.3757840000000003</v>
      </c>
      <c r="L138" s="58">
        <v>5.3</v>
      </c>
      <c r="M138" s="58">
        <v>5.3</v>
      </c>
      <c r="N138" s="58">
        <v>5.0999999999999996</v>
      </c>
      <c r="O138" s="58">
        <v>5.2</v>
      </c>
      <c r="P138" s="1">
        <v>5.7</v>
      </c>
    </row>
    <row r="139" spans="1:19" ht="13" thickBot="1">
      <c r="A139" s="64" t="s">
        <v>103</v>
      </c>
      <c r="B139" s="54" t="s">
        <v>21</v>
      </c>
      <c r="C139" s="54" t="s">
        <v>21</v>
      </c>
      <c r="D139" s="54" t="s">
        <v>21</v>
      </c>
      <c r="E139" s="54" t="s">
        <v>21</v>
      </c>
      <c r="F139" s="54" t="s">
        <v>21</v>
      </c>
      <c r="G139" s="54">
        <v>0.6</v>
      </c>
      <c r="H139" s="54">
        <v>0.6</v>
      </c>
      <c r="I139" s="54">
        <v>0.6</v>
      </c>
      <c r="J139" s="54">
        <v>0.7</v>
      </c>
      <c r="K139" s="54">
        <v>0.46843200000000002</v>
      </c>
      <c r="L139" s="54">
        <v>0.3</v>
      </c>
      <c r="M139" s="54" t="s">
        <v>21</v>
      </c>
      <c r="N139" s="54" t="s">
        <v>21</v>
      </c>
      <c r="O139" s="54" t="s">
        <v>21</v>
      </c>
      <c r="P139" s="54" t="s">
        <v>21</v>
      </c>
    </row>
    <row r="140" spans="1:19">
      <c r="A140" s="64" t="s">
        <v>104</v>
      </c>
      <c r="B140" s="10">
        <f t="shared" ref="B140:G140" si="44">SUM(B137:B139)</f>
        <v>79.600000000000009</v>
      </c>
      <c r="C140" s="10">
        <f t="shared" si="44"/>
        <v>82.399999999999991</v>
      </c>
      <c r="D140" s="10">
        <f t="shared" si="44"/>
        <v>86.5</v>
      </c>
      <c r="E140" s="10">
        <f t="shared" si="44"/>
        <v>91.7</v>
      </c>
      <c r="F140" s="10">
        <f t="shared" si="44"/>
        <v>92.3</v>
      </c>
      <c r="G140" s="10">
        <f t="shared" si="44"/>
        <v>95.899999999999991</v>
      </c>
      <c r="H140" s="10">
        <f>SUM(H137:H139)</f>
        <v>98.3</v>
      </c>
      <c r="I140" s="10">
        <f>SUM(I137:I139)</f>
        <v>100.39999999999999</v>
      </c>
      <c r="J140" s="10">
        <f>SUM(J137:J139)</f>
        <v>102.5</v>
      </c>
      <c r="K140" s="10">
        <f>SUM(K137:K139)</f>
        <v>104.93590400000001</v>
      </c>
      <c r="L140" s="10">
        <f t="shared" ref="L140" si="45">SUM(L137:L139)</f>
        <v>106.8</v>
      </c>
      <c r="M140" s="10">
        <f>SUM(M137:M139)</f>
        <v>108.8</v>
      </c>
      <c r="N140" s="10">
        <f>SUM(N137:N139)</f>
        <v>111.89999999999999</v>
      </c>
      <c r="O140" s="10">
        <f>SUM(O137:O139)</f>
        <v>117.8</v>
      </c>
      <c r="P140" s="10">
        <f>SUM(P137:P139)</f>
        <v>133</v>
      </c>
    </row>
    <row r="141" spans="1:19">
      <c r="A141" s="64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58"/>
      <c r="M141" s="58"/>
      <c r="N141" s="58"/>
      <c r="O141" s="58"/>
    </row>
    <row r="142" spans="1:19">
      <c r="A142" s="64" t="s">
        <v>105</v>
      </c>
      <c r="B142" s="10">
        <v>17.7</v>
      </c>
      <c r="C142" s="10">
        <v>13.9</v>
      </c>
      <c r="D142" s="10">
        <v>14.6</v>
      </c>
      <c r="E142" s="10">
        <v>15.5</v>
      </c>
      <c r="F142" s="10">
        <v>15.6</v>
      </c>
      <c r="G142" s="10">
        <v>14.7</v>
      </c>
      <c r="H142" s="10">
        <v>14.3</v>
      </c>
      <c r="I142" s="10">
        <v>12.5</v>
      </c>
      <c r="J142" s="10">
        <v>10.5</v>
      </c>
      <c r="K142" s="10">
        <v>8.7431210000000004</v>
      </c>
      <c r="L142" s="58">
        <v>7.7</v>
      </c>
      <c r="M142" s="58">
        <v>6.9</v>
      </c>
      <c r="N142" s="58">
        <v>6.8</v>
      </c>
      <c r="O142" s="58">
        <v>6.4</v>
      </c>
      <c r="P142" s="1">
        <v>7.3</v>
      </c>
    </row>
    <row r="143" spans="1:19">
      <c r="A143" s="64" t="s">
        <v>106</v>
      </c>
      <c r="B143" s="10" t="s">
        <v>21</v>
      </c>
      <c r="C143" s="10">
        <v>5.2</v>
      </c>
      <c r="D143" s="10">
        <v>5.3</v>
      </c>
      <c r="E143" s="10">
        <v>5.4</v>
      </c>
      <c r="F143" s="10">
        <v>5.5</v>
      </c>
      <c r="G143" s="10">
        <v>5.6</v>
      </c>
      <c r="H143" s="10">
        <v>5.7</v>
      </c>
      <c r="I143" s="10">
        <v>5.7</v>
      </c>
      <c r="J143" s="10">
        <v>5.5</v>
      </c>
      <c r="K143" s="10">
        <v>5.8796720000000002</v>
      </c>
      <c r="L143" s="58">
        <v>6.1</v>
      </c>
      <c r="M143" s="58">
        <v>6.1</v>
      </c>
      <c r="N143" s="58">
        <v>6</v>
      </c>
      <c r="O143" s="58">
        <v>5.9</v>
      </c>
      <c r="P143" s="1">
        <v>7</v>
      </c>
    </row>
    <row r="144" spans="1:19">
      <c r="A144" s="64" t="s">
        <v>107</v>
      </c>
      <c r="B144" s="10">
        <v>6.4</v>
      </c>
      <c r="C144" s="10">
        <v>5.8</v>
      </c>
      <c r="D144" s="10">
        <v>5.2</v>
      </c>
      <c r="E144" s="10">
        <v>3.5</v>
      </c>
      <c r="F144" s="10">
        <v>1.3</v>
      </c>
      <c r="G144" s="10">
        <v>1.6</v>
      </c>
      <c r="H144" s="10">
        <v>3</v>
      </c>
      <c r="I144" s="10">
        <v>5.0999999999999996</v>
      </c>
      <c r="J144" s="10">
        <v>8.3000000000000007</v>
      </c>
      <c r="K144" s="10">
        <v>11.142787999999999</v>
      </c>
      <c r="L144" s="58">
        <v>13.8</v>
      </c>
      <c r="M144" s="58">
        <v>16.2</v>
      </c>
      <c r="N144" s="58">
        <v>17.8</v>
      </c>
      <c r="O144" s="58">
        <v>18.600000000000001</v>
      </c>
      <c r="P144" s="1">
        <v>23.2</v>
      </c>
    </row>
    <row r="145" spans="1:16" ht="13" thickBot="1">
      <c r="A145" s="64" t="s">
        <v>108</v>
      </c>
      <c r="B145" s="54">
        <v>1.5</v>
      </c>
      <c r="C145" s="54">
        <v>1.6</v>
      </c>
      <c r="D145" s="54">
        <v>1.8</v>
      </c>
      <c r="E145" s="54">
        <v>2</v>
      </c>
      <c r="F145" s="54">
        <v>2.2000000000000002</v>
      </c>
      <c r="G145" s="54">
        <v>2.5</v>
      </c>
      <c r="H145" s="54">
        <v>2.7</v>
      </c>
      <c r="I145" s="54">
        <v>2.8</v>
      </c>
      <c r="J145" s="54">
        <v>3</v>
      </c>
      <c r="K145" s="54">
        <v>3.2044489999999999</v>
      </c>
      <c r="L145" s="54">
        <v>3.4</v>
      </c>
      <c r="M145" s="54">
        <v>3.6</v>
      </c>
      <c r="N145" s="54">
        <v>3.6</v>
      </c>
      <c r="O145" s="54">
        <v>3.5</v>
      </c>
      <c r="P145" s="54">
        <v>3.9</v>
      </c>
    </row>
    <row r="146" spans="1:16">
      <c r="A146" s="64" t="s">
        <v>109</v>
      </c>
      <c r="B146" s="10">
        <f t="shared" ref="B146:G146" si="46">SUM(B142:B145)</f>
        <v>25.6</v>
      </c>
      <c r="C146" s="10">
        <f t="shared" si="46"/>
        <v>26.500000000000004</v>
      </c>
      <c r="D146" s="10">
        <f t="shared" si="46"/>
        <v>26.9</v>
      </c>
      <c r="E146" s="10">
        <f t="shared" si="46"/>
        <v>26.4</v>
      </c>
      <c r="F146" s="10">
        <f t="shared" si="46"/>
        <v>24.6</v>
      </c>
      <c r="G146" s="10">
        <f t="shared" si="46"/>
        <v>24.4</v>
      </c>
      <c r="H146" s="10">
        <f t="shared" ref="H146" si="47">SUM(H142:H145)</f>
        <v>25.7</v>
      </c>
      <c r="I146" s="10">
        <f>SUM(I142:I145)</f>
        <v>26.099999999999998</v>
      </c>
      <c r="J146" s="10">
        <f>SUM(J142:J145)</f>
        <v>27.3</v>
      </c>
      <c r="K146" s="10">
        <f>SUM(K142:K145)</f>
        <v>28.970030000000001</v>
      </c>
      <c r="L146" s="10">
        <f t="shared" ref="L146" si="48">SUM(L142:L145)</f>
        <v>31</v>
      </c>
      <c r="M146" s="10">
        <f>SUM(M142:M145)</f>
        <v>32.799999999999997</v>
      </c>
      <c r="N146" s="10">
        <f>SUM(N142:N145)</f>
        <v>34.200000000000003</v>
      </c>
      <c r="O146" s="10">
        <f>SUM(O142:O145)</f>
        <v>34.400000000000006</v>
      </c>
      <c r="P146" s="10">
        <f>SUM(P142:P145)</f>
        <v>41.4</v>
      </c>
    </row>
    <row r="147" spans="1:16">
      <c r="A147" s="64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58"/>
      <c r="M147" s="58"/>
      <c r="N147" s="58"/>
      <c r="O147" s="58"/>
    </row>
    <row r="148" spans="1:16">
      <c r="A148" s="64" t="s">
        <v>110</v>
      </c>
      <c r="B148" s="10"/>
      <c r="C148" s="10" t="s">
        <v>21</v>
      </c>
      <c r="D148" s="10" t="s">
        <v>21</v>
      </c>
      <c r="E148" s="10">
        <v>6.7</v>
      </c>
      <c r="F148" s="10">
        <v>10.9</v>
      </c>
      <c r="G148" s="10">
        <v>13.4</v>
      </c>
      <c r="H148" s="10">
        <v>15</v>
      </c>
      <c r="I148" s="10">
        <v>15.6</v>
      </c>
      <c r="J148" s="10">
        <v>15.7</v>
      </c>
      <c r="K148" s="10">
        <v>15.345378</v>
      </c>
      <c r="L148" s="58">
        <v>14.5</v>
      </c>
      <c r="M148" s="58">
        <v>14.2</v>
      </c>
      <c r="N148" s="58">
        <v>13.4</v>
      </c>
      <c r="O148" s="58">
        <v>12.8</v>
      </c>
      <c r="P148" s="1">
        <v>13.4</v>
      </c>
    </row>
    <row r="149" spans="1:16">
      <c r="A149" s="64" t="s">
        <v>111</v>
      </c>
      <c r="B149" s="10">
        <v>6.1</v>
      </c>
      <c r="C149" s="10">
        <v>6.9</v>
      </c>
      <c r="D149" s="10">
        <v>8.6999999999999993</v>
      </c>
      <c r="E149" s="10">
        <v>5.4</v>
      </c>
      <c r="F149" s="10">
        <v>4.5</v>
      </c>
      <c r="G149" s="10">
        <v>3.2</v>
      </c>
      <c r="H149" s="10">
        <v>2.4</v>
      </c>
      <c r="I149" s="10">
        <v>2</v>
      </c>
      <c r="J149" s="10">
        <v>1.8</v>
      </c>
      <c r="K149" s="10">
        <v>1.3725290000000001</v>
      </c>
      <c r="L149" s="58">
        <v>0.8</v>
      </c>
      <c r="M149" s="58">
        <v>1.1000000000000001</v>
      </c>
      <c r="N149" s="58">
        <v>0.5</v>
      </c>
      <c r="O149" s="58">
        <v>0.3</v>
      </c>
      <c r="P149" s="1">
        <v>0.3</v>
      </c>
    </row>
    <row r="150" spans="1:16">
      <c r="A150" s="64" t="s">
        <v>112</v>
      </c>
      <c r="B150" s="10">
        <v>8.6999999999999993</v>
      </c>
      <c r="C150" s="10">
        <v>8.3000000000000007</v>
      </c>
      <c r="D150" s="10">
        <v>7.4</v>
      </c>
      <c r="E150" s="10">
        <v>5.7</v>
      </c>
      <c r="F150" s="10">
        <v>4</v>
      </c>
      <c r="G150" s="10">
        <v>3.3</v>
      </c>
      <c r="H150" s="10">
        <v>2.9</v>
      </c>
      <c r="I150" s="10">
        <v>2.5</v>
      </c>
      <c r="J150" s="10">
        <v>2.2999999999999998</v>
      </c>
      <c r="K150" s="10">
        <v>1.985627</v>
      </c>
      <c r="L150" s="58">
        <v>1.5</v>
      </c>
      <c r="M150" s="58">
        <v>1.2</v>
      </c>
      <c r="N150" s="58">
        <v>0.9</v>
      </c>
      <c r="O150" s="58">
        <v>0.8</v>
      </c>
      <c r="P150" s="1">
        <v>0.7</v>
      </c>
    </row>
    <row r="151" spans="1:16">
      <c r="A151" s="64" t="s">
        <v>113</v>
      </c>
      <c r="B151" s="10" t="s">
        <v>21</v>
      </c>
      <c r="C151" s="10" t="s">
        <v>21</v>
      </c>
      <c r="D151" s="10" t="s">
        <v>21</v>
      </c>
      <c r="E151" s="10">
        <v>0</v>
      </c>
      <c r="F151" s="10">
        <v>0</v>
      </c>
      <c r="G151" s="10">
        <v>2.4</v>
      </c>
      <c r="H151" s="10">
        <v>2.5</v>
      </c>
      <c r="I151" s="10">
        <v>2.2000000000000002</v>
      </c>
      <c r="J151" s="10">
        <v>2.4</v>
      </c>
      <c r="K151" s="10">
        <v>2.6668430000000001</v>
      </c>
      <c r="L151" s="58">
        <v>2.2000000000000002</v>
      </c>
      <c r="M151" s="58">
        <v>2.7</v>
      </c>
      <c r="N151" s="58">
        <v>2.7</v>
      </c>
      <c r="O151" s="58">
        <v>2.7</v>
      </c>
      <c r="P151" s="1">
        <v>3</v>
      </c>
    </row>
    <row r="152" spans="1:16">
      <c r="A152" s="64" t="s">
        <v>114</v>
      </c>
      <c r="B152" s="10" t="s">
        <v>21</v>
      </c>
      <c r="C152" s="10" t="s">
        <v>21</v>
      </c>
      <c r="D152" s="10" t="s">
        <v>21</v>
      </c>
      <c r="E152" s="10">
        <v>0</v>
      </c>
      <c r="F152" s="10">
        <v>0</v>
      </c>
      <c r="G152" s="10">
        <v>2.9</v>
      </c>
      <c r="H152" s="10">
        <v>3</v>
      </c>
      <c r="I152" s="10">
        <v>2.8</v>
      </c>
      <c r="J152" s="10">
        <v>1.3</v>
      </c>
      <c r="K152" s="10">
        <v>1.3012340000000009</v>
      </c>
      <c r="L152" s="58">
        <v>1.2</v>
      </c>
      <c r="M152" s="58">
        <v>1.2</v>
      </c>
      <c r="N152" s="58">
        <v>1.2</v>
      </c>
      <c r="O152" s="58">
        <v>1.1000000000000001</v>
      </c>
      <c r="P152" s="1">
        <v>1.2</v>
      </c>
    </row>
    <row r="153" spans="1:16" ht="13" thickBot="1">
      <c r="A153" s="64" t="s">
        <v>115</v>
      </c>
      <c r="B153" s="54" t="s">
        <v>21</v>
      </c>
      <c r="C153" s="54" t="s">
        <v>21</v>
      </c>
      <c r="D153" s="54" t="s">
        <v>21</v>
      </c>
      <c r="E153" s="54" t="s">
        <v>21</v>
      </c>
      <c r="F153" s="54">
        <v>0</v>
      </c>
      <c r="G153" s="54">
        <v>0</v>
      </c>
      <c r="H153" s="54">
        <v>0</v>
      </c>
      <c r="I153" s="54">
        <v>0</v>
      </c>
      <c r="J153" s="54">
        <v>3.2</v>
      </c>
      <c r="K153" s="54">
        <v>8.0227789999999999</v>
      </c>
      <c r="L153" s="54">
        <v>18.399999999999999</v>
      </c>
      <c r="M153" s="54">
        <v>38.9</v>
      </c>
      <c r="N153" s="54">
        <v>41.3</v>
      </c>
      <c r="O153" s="54">
        <v>43.6</v>
      </c>
      <c r="P153" s="54">
        <v>53.1</v>
      </c>
    </row>
    <row r="154" spans="1:16">
      <c r="A154" s="64" t="s">
        <v>116</v>
      </c>
      <c r="B154" s="10">
        <f t="shared" ref="B154:G154" si="49">SUM(B148:B153)</f>
        <v>14.799999999999999</v>
      </c>
      <c r="C154" s="10">
        <f t="shared" si="49"/>
        <v>15.200000000000001</v>
      </c>
      <c r="D154" s="10">
        <f t="shared" si="49"/>
        <v>16.100000000000001</v>
      </c>
      <c r="E154" s="10">
        <f t="shared" si="49"/>
        <v>17.8</v>
      </c>
      <c r="F154" s="10">
        <f t="shared" si="49"/>
        <v>19.399999999999999</v>
      </c>
      <c r="G154" s="10">
        <f t="shared" si="49"/>
        <v>25.2</v>
      </c>
      <c r="H154" s="10">
        <f t="shared" ref="H154" si="50">SUM(H148:H153)</f>
        <v>25.799999999999997</v>
      </c>
      <c r="I154" s="10">
        <f>SUM(I148:I153)</f>
        <v>25.1</v>
      </c>
      <c r="J154" s="10">
        <f>SUM(J148:J153)</f>
        <v>26.7</v>
      </c>
      <c r="K154" s="10">
        <f>SUM(K148:K153)</f>
        <v>30.694390000000002</v>
      </c>
      <c r="L154" s="10">
        <f t="shared" ref="L154" si="51">SUM(L148:L153)</f>
        <v>38.599999999999994</v>
      </c>
      <c r="M154" s="10">
        <f>SUM(M148:M153)</f>
        <v>59.3</v>
      </c>
      <c r="N154" s="10">
        <f>SUM(N148:N153)</f>
        <v>60</v>
      </c>
      <c r="O154" s="10">
        <f>SUM(O148:O153)</f>
        <v>61.300000000000004</v>
      </c>
      <c r="P154" s="10">
        <f>SUM(P148:P153)</f>
        <v>71.7</v>
      </c>
    </row>
    <row r="155" spans="1:16">
      <c r="A155" s="64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58"/>
      <c r="M155" s="58"/>
      <c r="N155" s="58"/>
      <c r="O155" s="58"/>
    </row>
    <row r="156" spans="1:16">
      <c r="A156" s="64" t="s">
        <v>117</v>
      </c>
      <c r="B156" s="10">
        <v>26.8</v>
      </c>
      <c r="C156" s="10">
        <v>28.1</v>
      </c>
      <c r="D156" s="10">
        <v>30.5</v>
      </c>
      <c r="E156" s="10">
        <v>30.8</v>
      </c>
      <c r="F156" s="10">
        <v>30.9</v>
      </c>
      <c r="G156" s="10">
        <v>31.1</v>
      </c>
      <c r="H156" s="10">
        <v>31.3</v>
      </c>
      <c r="I156" s="10">
        <v>30.5</v>
      </c>
      <c r="J156" s="10">
        <v>30.1</v>
      </c>
      <c r="K156" s="10">
        <v>28.531334000000001</v>
      </c>
      <c r="L156" s="58">
        <v>28.3</v>
      </c>
      <c r="M156" s="58">
        <v>25.8</v>
      </c>
      <c r="N156" s="58">
        <v>22.3</v>
      </c>
      <c r="O156" s="58">
        <v>21.4</v>
      </c>
      <c r="P156" s="1">
        <v>19.399999999999999</v>
      </c>
    </row>
    <row r="157" spans="1:16" ht="13" thickBot="1">
      <c r="A157" s="64" t="s">
        <v>118</v>
      </c>
      <c r="B157" s="54">
        <v>11.9</v>
      </c>
      <c r="C157" s="54">
        <v>12.1</v>
      </c>
      <c r="D157" s="54">
        <v>12.2</v>
      </c>
      <c r="E157" s="54">
        <v>12.2</v>
      </c>
      <c r="F157" s="54">
        <v>11.5</v>
      </c>
      <c r="G157" s="54">
        <v>11.6</v>
      </c>
      <c r="H157" s="54">
        <v>11.7</v>
      </c>
      <c r="I157" s="54">
        <v>11.7</v>
      </c>
      <c r="J157" s="54">
        <v>11.7</v>
      </c>
      <c r="K157" s="54">
        <v>11.477598</v>
      </c>
      <c r="L157" s="54">
        <v>11.5</v>
      </c>
      <c r="M157" s="54">
        <v>11.5</v>
      </c>
      <c r="N157" s="54">
        <v>11.4</v>
      </c>
      <c r="O157" s="54">
        <v>11.6</v>
      </c>
      <c r="P157" s="54">
        <v>12.5</v>
      </c>
    </row>
    <row r="158" spans="1:16">
      <c r="A158" s="64" t="s">
        <v>119</v>
      </c>
      <c r="B158" s="10">
        <f t="shared" ref="B158:G158" si="52">SUM(B156:B157)</f>
        <v>38.700000000000003</v>
      </c>
      <c r="C158" s="10">
        <f t="shared" si="52"/>
        <v>40.200000000000003</v>
      </c>
      <c r="D158" s="10">
        <f t="shared" si="52"/>
        <v>42.7</v>
      </c>
      <c r="E158" s="10">
        <f t="shared" si="52"/>
        <v>43</v>
      </c>
      <c r="F158" s="10">
        <f t="shared" si="52"/>
        <v>42.4</v>
      </c>
      <c r="G158" s="10">
        <f t="shared" si="52"/>
        <v>42.7</v>
      </c>
      <c r="H158" s="10">
        <f t="shared" ref="H158" si="53">SUM(H156:H157)</f>
        <v>43</v>
      </c>
      <c r="I158" s="10">
        <f>SUM(I156:I157)</f>
        <v>42.2</v>
      </c>
      <c r="J158" s="10">
        <f>SUM(J156:J157)</f>
        <v>41.8</v>
      </c>
      <c r="K158" s="10">
        <f>SUM(K156:K157)</f>
        <v>40.008932000000001</v>
      </c>
      <c r="L158" s="10">
        <f t="shared" ref="L158" si="54">SUM(L156:L157)</f>
        <v>39.799999999999997</v>
      </c>
      <c r="M158" s="10">
        <f>SUM(M156:M157)</f>
        <v>37.299999999999997</v>
      </c>
      <c r="N158" s="10">
        <f>SUM(N156:N157)</f>
        <v>33.700000000000003</v>
      </c>
      <c r="O158" s="10">
        <f>SUM(O156:O157)</f>
        <v>33</v>
      </c>
      <c r="P158" s="10">
        <f>SUM(P156:P157)</f>
        <v>31.9</v>
      </c>
    </row>
    <row r="159" spans="1:16">
      <c r="A159" s="64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58"/>
      <c r="M159" s="58"/>
      <c r="N159" s="58"/>
      <c r="O159" s="58"/>
    </row>
    <row r="160" spans="1:16">
      <c r="A160" s="64" t="s">
        <v>120</v>
      </c>
      <c r="B160" s="10">
        <v>27.9</v>
      </c>
      <c r="C160" s="10">
        <v>29.3</v>
      </c>
      <c r="D160" s="10">
        <v>30</v>
      </c>
      <c r="E160" s="10">
        <v>28.5</v>
      </c>
      <c r="F160" s="10">
        <v>27.3</v>
      </c>
      <c r="G160" s="10">
        <v>27.6</v>
      </c>
      <c r="H160" s="10">
        <v>28</v>
      </c>
      <c r="I160" s="10">
        <v>27.4</v>
      </c>
      <c r="J160" s="10">
        <v>25.8</v>
      </c>
      <c r="K160" s="10">
        <v>24.326332000000001</v>
      </c>
      <c r="L160" s="58">
        <v>21.8</v>
      </c>
      <c r="M160" s="58">
        <v>15.5</v>
      </c>
      <c r="N160" s="58">
        <v>13.9</v>
      </c>
      <c r="O160" s="58">
        <v>11.9</v>
      </c>
      <c r="P160" s="1">
        <v>11.9</v>
      </c>
    </row>
    <row r="161" spans="1:16">
      <c r="A161" s="64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58"/>
      <c r="M161" s="58"/>
      <c r="N161" s="58"/>
      <c r="O161" s="58"/>
    </row>
    <row r="162" spans="1:16" ht="13" thickBot="1">
      <c r="A162" s="64" t="s">
        <v>121</v>
      </c>
      <c r="B162" s="10">
        <v>10.5</v>
      </c>
      <c r="C162" s="10">
        <v>10.4</v>
      </c>
      <c r="D162" s="10">
        <v>7.5</v>
      </c>
      <c r="E162" s="10">
        <v>7.6</v>
      </c>
      <c r="F162" s="10">
        <v>7.4</v>
      </c>
      <c r="G162" s="10">
        <v>1.9</v>
      </c>
      <c r="H162" s="10">
        <v>1.7</v>
      </c>
      <c r="I162" s="10">
        <v>2.5</v>
      </c>
      <c r="J162" s="10">
        <v>1.8</v>
      </c>
      <c r="K162" s="10">
        <v>1.3972500000000001</v>
      </c>
      <c r="L162" s="10">
        <v>2</v>
      </c>
      <c r="M162" s="10">
        <v>4.7</v>
      </c>
      <c r="N162" s="10">
        <v>6</v>
      </c>
      <c r="O162" s="10">
        <v>17.7</v>
      </c>
      <c r="P162" s="1">
        <v>21.5</v>
      </c>
    </row>
    <row r="163" spans="1:16" ht="13" thickBot="1">
      <c r="A163" s="95" t="s">
        <v>122</v>
      </c>
      <c r="B163" s="53">
        <f t="shared" ref="B163:G163" si="55">B162+B160+B158+B154+B146+B140</f>
        <v>197.10000000000002</v>
      </c>
      <c r="C163" s="53">
        <f t="shared" si="55"/>
        <v>204</v>
      </c>
      <c r="D163" s="53">
        <f t="shared" si="55"/>
        <v>209.70000000000002</v>
      </c>
      <c r="E163" s="53">
        <f t="shared" si="55"/>
        <v>215</v>
      </c>
      <c r="F163" s="53">
        <f t="shared" si="55"/>
        <v>213.39999999999998</v>
      </c>
      <c r="G163" s="53">
        <f t="shared" si="55"/>
        <v>217.7</v>
      </c>
      <c r="H163" s="53">
        <f t="shared" ref="H163" si="56">H162+H160+H158+H154+H146+H140</f>
        <v>222.5</v>
      </c>
      <c r="I163" s="53">
        <f t="shared" ref="I163:O163" si="57">I162+I160+I158+I154+I146+I140</f>
        <v>223.7</v>
      </c>
      <c r="J163" s="53">
        <f t="shared" si="57"/>
        <v>225.9</v>
      </c>
      <c r="K163" s="53">
        <f t="shared" si="57"/>
        <v>230.33283800000004</v>
      </c>
      <c r="L163" s="53">
        <f t="shared" si="57"/>
        <v>240</v>
      </c>
      <c r="M163" s="53">
        <f t="shared" si="57"/>
        <v>258.39999999999998</v>
      </c>
      <c r="N163" s="53">
        <f t="shared" si="57"/>
        <v>259.7</v>
      </c>
      <c r="O163" s="53">
        <f t="shared" si="57"/>
        <v>276.10000000000002</v>
      </c>
      <c r="P163" s="53">
        <f>P162+P160+P158+P154+P146+P140</f>
        <v>311.39999999999998</v>
      </c>
    </row>
    <row r="166" spans="1:16">
      <c r="L166" s="25"/>
    </row>
    <row r="167" spans="1:16" ht="13.5" thickBot="1">
      <c r="A167" s="27" t="s">
        <v>123</v>
      </c>
      <c r="L167" s="27"/>
      <c r="M167" s="27"/>
      <c r="N167" s="27"/>
      <c r="O167" s="27"/>
    </row>
    <row r="168" spans="1:16" ht="13">
      <c r="A168" s="96"/>
      <c r="B168" s="33" t="s">
        <v>15</v>
      </c>
      <c r="C168" s="33" t="s">
        <v>14</v>
      </c>
      <c r="D168" s="33" t="s">
        <v>13</v>
      </c>
      <c r="E168" s="33" t="s">
        <v>12</v>
      </c>
      <c r="F168" s="33" t="s">
        <v>11</v>
      </c>
      <c r="G168" s="33" t="s">
        <v>10</v>
      </c>
      <c r="H168" s="33" t="s">
        <v>9</v>
      </c>
      <c r="I168" s="33" t="s">
        <v>8</v>
      </c>
      <c r="J168" s="33" t="s">
        <v>7</v>
      </c>
      <c r="K168" s="33" t="s">
        <v>6</v>
      </c>
      <c r="L168" s="33" t="s">
        <v>5</v>
      </c>
      <c r="M168" s="33" t="s">
        <v>4</v>
      </c>
      <c r="N168" s="33" t="s">
        <v>3</v>
      </c>
      <c r="O168" s="33" t="s">
        <v>2</v>
      </c>
      <c r="P168" s="33" t="s">
        <v>1</v>
      </c>
    </row>
    <row r="169" spans="1:16" ht="13">
      <c r="A169" s="73"/>
      <c r="B169" s="12" t="s">
        <v>17</v>
      </c>
      <c r="C169" s="12" t="s">
        <v>17</v>
      </c>
      <c r="D169" s="12" t="s">
        <v>17</v>
      </c>
      <c r="E169" s="12" t="s">
        <v>17</v>
      </c>
      <c r="F169" s="12" t="s">
        <v>17</v>
      </c>
      <c r="G169" s="12" t="s">
        <v>17</v>
      </c>
      <c r="H169" s="12" t="s">
        <v>17</v>
      </c>
      <c r="I169" s="12" t="s">
        <v>17</v>
      </c>
      <c r="J169" s="12" t="s">
        <v>17</v>
      </c>
      <c r="K169" s="12" t="s">
        <v>17</v>
      </c>
      <c r="L169" s="12" t="s">
        <v>17</v>
      </c>
      <c r="M169" s="12" t="s">
        <v>17</v>
      </c>
      <c r="N169" s="12" t="s">
        <v>17</v>
      </c>
      <c r="O169" s="12" t="s">
        <v>17</v>
      </c>
      <c r="P169" s="12" t="s">
        <v>17</v>
      </c>
    </row>
    <row r="170" spans="1:16">
      <c r="A170" s="58" t="s">
        <v>124</v>
      </c>
      <c r="B170" s="44">
        <v>151.19999999999999</v>
      </c>
      <c r="C170" s="10">
        <v>151.80000000000001</v>
      </c>
      <c r="D170" s="10">
        <v>147.69999999999999</v>
      </c>
      <c r="E170" s="10">
        <v>147.6</v>
      </c>
      <c r="F170" s="10">
        <v>148.19999999999999</v>
      </c>
      <c r="G170" s="10">
        <v>148.5</v>
      </c>
      <c r="H170" s="97">
        <v>149.6</v>
      </c>
      <c r="I170" s="97">
        <v>151</v>
      </c>
      <c r="J170" s="97">
        <v>152.80000000000001</v>
      </c>
      <c r="K170" s="46">
        <v>159.4</v>
      </c>
      <c r="L170" s="98">
        <v>168.2</v>
      </c>
      <c r="M170" s="98">
        <v>171</v>
      </c>
      <c r="N170" s="98">
        <v>175.6</v>
      </c>
      <c r="O170" s="98">
        <v>188.1</v>
      </c>
      <c r="P170" s="1">
        <v>199.1</v>
      </c>
    </row>
    <row r="171" spans="1:16">
      <c r="A171" s="58" t="s">
        <v>125</v>
      </c>
      <c r="B171" s="44">
        <v>10.5</v>
      </c>
      <c r="C171" s="10">
        <v>10.7</v>
      </c>
      <c r="D171" s="10">
        <v>10.7</v>
      </c>
      <c r="E171" s="10">
        <v>11</v>
      </c>
      <c r="F171" s="10">
        <v>10.5</v>
      </c>
      <c r="G171" s="10" t="s">
        <v>21</v>
      </c>
      <c r="H171" s="97" t="s">
        <v>21</v>
      </c>
      <c r="I171" s="98" t="s">
        <v>21</v>
      </c>
      <c r="J171" s="98" t="s">
        <v>21</v>
      </c>
      <c r="K171" s="98" t="s">
        <v>21</v>
      </c>
      <c r="L171" s="98" t="s">
        <v>21</v>
      </c>
      <c r="M171" s="98" t="s">
        <v>21</v>
      </c>
      <c r="N171" s="98" t="s">
        <v>21</v>
      </c>
      <c r="O171" s="98" t="s">
        <v>21</v>
      </c>
      <c r="P171" s="98" t="s">
        <v>21</v>
      </c>
    </row>
    <row r="172" spans="1:16">
      <c r="A172" s="58" t="s">
        <v>126</v>
      </c>
      <c r="B172" s="44">
        <v>13.9</v>
      </c>
      <c r="C172" s="10">
        <v>12.5</v>
      </c>
      <c r="D172" s="44">
        <v>14</v>
      </c>
      <c r="E172" s="10">
        <v>13.9</v>
      </c>
      <c r="F172" s="10">
        <v>14.7</v>
      </c>
      <c r="G172" s="10" t="s">
        <v>21</v>
      </c>
      <c r="H172" s="97" t="s">
        <v>21</v>
      </c>
      <c r="I172" s="98" t="s">
        <v>21</v>
      </c>
      <c r="J172" s="98" t="s">
        <v>21</v>
      </c>
      <c r="K172" s="98" t="s">
        <v>21</v>
      </c>
      <c r="L172" s="98" t="s">
        <v>21</v>
      </c>
      <c r="M172" s="98" t="s">
        <v>21</v>
      </c>
      <c r="N172" s="98" t="s">
        <v>21</v>
      </c>
      <c r="O172" s="98" t="s">
        <v>21</v>
      </c>
      <c r="P172" s="98" t="s">
        <v>21</v>
      </c>
    </row>
    <row r="173" spans="1:16">
      <c r="A173" s="58" t="s">
        <v>127</v>
      </c>
      <c r="B173" s="44">
        <v>27.5</v>
      </c>
      <c r="C173" s="10">
        <v>40.4</v>
      </c>
      <c r="D173" s="10">
        <v>34.6</v>
      </c>
      <c r="E173" s="10">
        <v>35.1</v>
      </c>
      <c r="F173" s="10">
        <v>40.5</v>
      </c>
      <c r="G173" s="10">
        <v>36.1</v>
      </c>
      <c r="H173" s="97">
        <v>40.200000000000003</v>
      </c>
      <c r="I173" s="97">
        <v>37.5</v>
      </c>
      <c r="J173" s="97">
        <v>60.1</v>
      </c>
      <c r="K173" s="46">
        <v>62.2</v>
      </c>
      <c r="L173" s="98">
        <v>66.599999999999994</v>
      </c>
      <c r="M173" s="98">
        <v>78.5</v>
      </c>
      <c r="N173" s="98">
        <v>105.5</v>
      </c>
      <c r="O173" s="98">
        <v>116.6</v>
      </c>
      <c r="P173" s="1">
        <v>37.6</v>
      </c>
    </row>
    <row r="174" spans="1:16">
      <c r="A174" s="58" t="s">
        <v>128</v>
      </c>
      <c r="B174" s="44" t="s">
        <v>21</v>
      </c>
      <c r="C174" s="10" t="s">
        <v>21</v>
      </c>
      <c r="D174" s="10" t="s">
        <v>21</v>
      </c>
      <c r="E174" s="10">
        <v>0.3</v>
      </c>
      <c r="F174" s="10">
        <v>-0.9</v>
      </c>
      <c r="G174" s="10">
        <v>0.6</v>
      </c>
      <c r="H174" s="97">
        <v>1.4</v>
      </c>
      <c r="I174" s="97">
        <v>0.6</v>
      </c>
      <c r="J174" s="97">
        <v>1.3</v>
      </c>
      <c r="K174" s="46">
        <v>31.8</v>
      </c>
      <c r="L174" s="97">
        <v>-0.6</v>
      </c>
      <c r="M174" s="98">
        <v>0.4</v>
      </c>
      <c r="N174" s="98">
        <v>0.5</v>
      </c>
      <c r="O174" s="98">
        <v>0.1</v>
      </c>
      <c r="P174" s="1">
        <v>0.4</v>
      </c>
    </row>
    <row r="175" spans="1:16">
      <c r="A175" s="58" t="s">
        <v>129</v>
      </c>
      <c r="B175" s="44">
        <v>0.2</v>
      </c>
      <c r="C175" s="10">
        <v>-0.3</v>
      </c>
      <c r="D175" s="10">
        <v>-0.3</v>
      </c>
      <c r="E175" s="10">
        <v>-0.2</v>
      </c>
      <c r="F175" s="10">
        <v>-0.6</v>
      </c>
      <c r="G175" s="10">
        <v>-0.7</v>
      </c>
      <c r="H175" s="97">
        <v>-0.4</v>
      </c>
      <c r="I175" s="97">
        <v>-0.2</v>
      </c>
      <c r="J175" s="97">
        <v>-0.4</v>
      </c>
      <c r="K175" s="97">
        <v>-0.3</v>
      </c>
      <c r="L175" s="97">
        <v>-0.6</v>
      </c>
      <c r="M175" s="98" t="s">
        <v>21</v>
      </c>
      <c r="N175" s="98">
        <v>0.1</v>
      </c>
      <c r="O175" s="97">
        <v>-0.2</v>
      </c>
      <c r="P175" s="1">
        <v>0</v>
      </c>
    </row>
    <row r="176" spans="1:16">
      <c r="A176" s="58" t="s">
        <v>130</v>
      </c>
      <c r="B176" s="10" t="s">
        <v>21</v>
      </c>
      <c r="C176" s="10" t="s">
        <v>21</v>
      </c>
      <c r="D176" s="10" t="s">
        <v>21</v>
      </c>
      <c r="E176" s="10" t="s">
        <v>21</v>
      </c>
      <c r="F176" s="10" t="s">
        <v>21</v>
      </c>
      <c r="G176" s="10">
        <v>1</v>
      </c>
      <c r="H176" s="97">
        <v>2.5</v>
      </c>
      <c r="I176" s="97">
        <v>2.2000000000000002</v>
      </c>
      <c r="J176" s="97">
        <v>2</v>
      </c>
      <c r="K176" s="46">
        <v>2.56</v>
      </c>
      <c r="L176" s="46">
        <v>1.7</v>
      </c>
      <c r="M176" s="46">
        <v>3.6</v>
      </c>
      <c r="N176" s="46">
        <v>2.8</v>
      </c>
      <c r="O176" s="46">
        <v>2.1</v>
      </c>
      <c r="P176" s="1">
        <v>3.4</v>
      </c>
    </row>
    <row r="177" spans="1:16">
      <c r="A177" s="58" t="s">
        <v>131</v>
      </c>
      <c r="B177" s="10">
        <v>-23.6</v>
      </c>
      <c r="C177" s="10">
        <v>-22</v>
      </c>
      <c r="D177" s="10">
        <v>-23.5</v>
      </c>
      <c r="E177" s="10">
        <v>-24.1</v>
      </c>
      <c r="F177" s="10">
        <v>-24.6</v>
      </c>
      <c r="G177" s="10" t="s">
        <v>21</v>
      </c>
      <c r="H177" s="97" t="s">
        <v>21</v>
      </c>
      <c r="I177" s="97" t="s">
        <v>21</v>
      </c>
      <c r="J177" s="97" t="s">
        <v>21</v>
      </c>
      <c r="K177" s="46" t="s">
        <v>21</v>
      </c>
      <c r="L177" s="46" t="s">
        <v>21</v>
      </c>
      <c r="M177" s="46" t="s">
        <v>21</v>
      </c>
      <c r="N177" s="46" t="s">
        <v>21</v>
      </c>
      <c r="O177" s="46" t="s">
        <v>21</v>
      </c>
      <c r="P177" s="46" t="s">
        <v>21</v>
      </c>
    </row>
    <row r="178" spans="1:16" ht="13.5" thickBot="1">
      <c r="A178" s="99" t="s">
        <v>132</v>
      </c>
      <c r="B178" s="67">
        <f t="shared" ref="B178:G178" si="58">SUM(B170:B177)</f>
        <v>179.7</v>
      </c>
      <c r="C178" s="67">
        <f t="shared" si="58"/>
        <v>193.1</v>
      </c>
      <c r="D178" s="67">
        <f t="shared" si="58"/>
        <v>183.19999999999996</v>
      </c>
      <c r="E178" s="67">
        <f t="shared" si="58"/>
        <v>183.60000000000002</v>
      </c>
      <c r="F178" s="67">
        <f t="shared" si="58"/>
        <v>187.79999999999998</v>
      </c>
      <c r="G178" s="67">
        <f t="shared" si="58"/>
        <v>185.5</v>
      </c>
      <c r="H178" s="67">
        <f t="shared" ref="H178" si="59">SUM(H170:H177)</f>
        <v>193.3</v>
      </c>
      <c r="I178" s="67">
        <f t="shared" ref="I178:O178" si="60">SUM(I170:I177)</f>
        <v>191.1</v>
      </c>
      <c r="J178" s="67">
        <f t="shared" si="60"/>
        <v>215.8</v>
      </c>
      <c r="K178" s="67">
        <f t="shared" si="60"/>
        <v>255.66000000000003</v>
      </c>
      <c r="L178" s="67">
        <f t="shared" si="60"/>
        <v>235.29999999999998</v>
      </c>
      <c r="M178" s="67">
        <f t="shared" si="60"/>
        <v>253.5</v>
      </c>
      <c r="N178" s="67">
        <f t="shared" si="60"/>
        <v>284.50000000000006</v>
      </c>
      <c r="O178" s="67">
        <f t="shared" si="60"/>
        <v>306.70000000000005</v>
      </c>
      <c r="P178" s="67">
        <f>SUM(P170:P177)</f>
        <v>240.5</v>
      </c>
    </row>
    <row r="179" spans="1:16" ht="13">
      <c r="C179" s="10"/>
      <c r="D179" s="10"/>
      <c r="E179" s="10"/>
      <c r="F179" s="10"/>
      <c r="G179" s="10"/>
      <c r="H179" s="10"/>
      <c r="I179" s="10"/>
      <c r="J179" s="10"/>
      <c r="K179" s="46"/>
      <c r="L179" s="65"/>
    </row>
    <row r="180" spans="1:16">
      <c r="B180" s="61"/>
      <c r="C180" s="61"/>
      <c r="D180" s="61"/>
      <c r="E180" s="61"/>
      <c r="F180" s="50"/>
    </row>
    <row r="182" spans="1:16" ht="13.5" thickBot="1">
      <c r="A182" s="27" t="s">
        <v>133</v>
      </c>
      <c r="L182" s="27"/>
      <c r="M182" s="27"/>
      <c r="N182" s="27"/>
      <c r="O182" s="27"/>
    </row>
    <row r="183" spans="1:16" ht="23.25" customHeight="1">
      <c r="A183" s="96"/>
      <c r="B183" s="33" t="s">
        <v>15</v>
      </c>
      <c r="C183" s="33" t="s">
        <v>14</v>
      </c>
      <c r="D183" s="33" t="s">
        <v>13</v>
      </c>
      <c r="E183" s="33" t="s">
        <v>12</v>
      </c>
      <c r="F183" s="33" t="s">
        <v>11</v>
      </c>
      <c r="G183" s="33" t="s">
        <v>10</v>
      </c>
      <c r="H183" s="33" t="s">
        <v>9</v>
      </c>
      <c r="I183" s="33" t="s">
        <v>8</v>
      </c>
      <c r="J183" s="33" t="s">
        <v>7</v>
      </c>
      <c r="K183" s="33" t="s">
        <v>6</v>
      </c>
      <c r="L183" s="33" t="s">
        <v>5</v>
      </c>
      <c r="M183" s="33" t="s">
        <v>4</v>
      </c>
      <c r="N183" s="33" t="s">
        <v>3</v>
      </c>
      <c r="O183" s="33" t="s">
        <v>2</v>
      </c>
      <c r="P183" s="33" t="s">
        <v>1</v>
      </c>
    </row>
    <row r="184" spans="1:16" ht="13.5" thickBot="1">
      <c r="A184" s="99" t="s">
        <v>80</v>
      </c>
      <c r="B184" s="100">
        <v>4911368</v>
      </c>
      <c r="C184" s="100">
        <v>4741286</v>
      </c>
      <c r="D184" s="100">
        <v>4719141</v>
      </c>
      <c r="E184" s="100">
        <v>4615459</v>
      </c>
      <c r="F184" s="100">
        <v>4454455</v>
      </c>
      <c r="G184" s="101">
        <v>4434109</v>
      </c>
      <c r="H184" s="101">
        <v>4461765</v>
      </c>
      <c r="I184" s="101">
        <v>4406605</v>
      </c>
      <c r="J184" s="101">
        <v>4369774</v>
      </c>
      <c r="K184" s="101">
        <v>4430154</v>
      </c>
      <c r="L184" s="101">
        <v>4512109</v>
      </c>
      <c r="M184" s="101">
        <v>4337097</v>
      </c>
      <c r="N184" s="101">
        <v>4380107</v>
      </c>
      <c r="O184" s="101">
        <v>4421940</v>
      </c>
      <c r="P184" s="101">
        <v>4470105</v>
      </c>
    </row>
    <row r="188" spans="1:16" ht="13.5" thickBot="1">
      <c r="A188" s="27" t="s">
        <v>134</v>
      </c>
      <c r="L188" s="27"/>
      <c r="M188" s="27"/>
      <c r="N188" s="27"/>
      <c r="O188" s="27"/>
    </row>
    <row r="189" spans="1:16" ht="13">
      <c r="A189" s="96"/>
      <c r="B189" s="33" t="s">
        <v>15</v>
      </c>
      <c r="C189" s="33" t="s">
        <v>14</v>
      </c>
      <c r="D189" s="33" t="s">
        <v>13</v>
      </c>
      <c r="E189" s="33" t="s">
        <v>12</v>
      </c>
      <c r="F189" s="33" t="s">
        <v>11</v>
      </c>
      <c r="G189" s="33" t="s">
        <v>10</v>
      </c>
      <c r="H189" s="33" t="s">
        <v>9</v>
      </c>
      <c r="I189" s="33" t="s">
        <v>8</v>
      </c>
      <c r="J189" s="33" t="s">
        <v>7</v>
      </c>
      <c r="K189" s="33" t="s">
        <v>6</v>
      </c>
      <c r="L189" s="33" t="s">
        <v>5</v>
      </c>
      <c r="M189" s="33" t="s">
        <v>4</v>
      </c>
      <c r="N189" s="33" t="s">
        <v>3</v>
      </c>
      <c r="O189" s="33" t="s">
        <v>2</v>
      </c>
      <c r="P189" s="33" t="s">
        <v>1</v>
      </c>
    </row>
    <row r="190" spans="1:16" ht="13">
      <c r="A190" s="73"/>
      <c r="B190" s="12" t="s">
        <v>17</v>
      </c>
      <c r="C190" s="12" t="s">
        <v>17</v>
      </c>
      <c r="D190" s="12" t="s">
        <v>17</v>
      </c>
      <c r="E190" s="12" t="s">
        <v>17</v>
      </c>
      <c r="F190" s="12" t="s">
        <v>17</v>
      </c>
      <c r="G190" s="12" t="s">
        <v>17</v>
      </c>
      <c r="H190" s="12" t="s">
        <v>17</v>
      </c>
      <c r="I190" s="12" t="s">
        <v>17</v>
      </c>
      <c r="J190" s="12" t="s">
        <v>17</v>
      </c>
      <c r="K190" s="12" t="s">
        <v>17</v>
      </c>
      <c r="L190" s="12" t="s">
        <v>17</v>
      </c>
      <c r="M190" s="12" t="s">
        <v>17</v>
      </c>
      <c r="N190" s="12" t="s">
        <v>17</v>
      </c>
      <c r="O190" s="12" t="s">
        <v>17</v>
      </c>
      <c r="P190" s="12" t="s">
        <v>17</v>
      </c>
    </row>
    <row r="191" spans="1:16">
      <c r="A191" s="58" t="s">
        <v>135</v>
      </c>
      <c r="B191" s="1">
        <v>234.3</v>
      </c>
      <c r="C191" s="10">
        <v>254.1</v>
      </c>
      <c r="D191" s="10">
        <v>269.10000000000002</v>
      </c>
      <c r="E191" s="10">
        <v>273.39999999999998</v>
      </c>
      <c r="F191" s="10">
        <v>327.9</v>
      </c>
      <c r="G191" s="10">
        <v>561.20000000000005</v>
      </c>
      <c r="H191" s="10">
        <v>572.6</v>
      </c>
      <c r="I191" s="10">
        <v>595.6</v>
      </c>
      <c r="J191" s="102">
        <v>616.6</v>
      </c>
      <c r="K191" s="25">
        <v>656.7</v>
      </c>
      <c r="L191" s="58">
        <v>675.9</v>
      </c>
      <c r="M191" s="58">
        <v>676.7</v>
      </c>
      <c r="N191" s="58">
        <v>734.4</v>
      </c>
      <c r="O191" s="58">
        <v>831</v>
      </c>
      <c r="P191" s="1">
        <v>915.9</v>
      </c>
    </row>
    <row r="192" spans="1:16">
      <c r="A192" s="58" t="s">
        <v>136</v>
      </c>
      <c r="B192" s="1">
        <v>357.2</v>
      </c>
      <c r="C192" s="1">
        <v>335.1</v>
      </c>
      <c r="D192" s="1">
        <v>347.8</v>
      </c>
      <c r="E192" s="1">
        <v>348</v>
      </c>
      <c r="F192" s="10">
        <v>357.8</v>
      </c>
      <c r="G192" s="10">
        <v>379.9</v>
      </c>
      <c r="H192" s="10">
        <v>405.9</v>
      </c>
      <c r="I192" s="10">
        <v>419.6</v>
      </c>
      <c r="J192" s="10">
        <v>431.2</v>
      </c>
      <c r="K192" s="25">
        <v>442.7</v>
      </c>
      <c r="L192" s="58">
        <v>459.2</v>
      </c>
      <c r="M192" s="58">
        <v>409.3</v>
      </c>
      <c r="N192" s="58">
        <v>411.1</v>
      </c>
      <c r="O192" s="58">
        <v>403.5</v>
      </c>
      <c r="P192" s="1">
        <v>403.5</v>
      </c>
    </row>
    <row r="193" spans="1:17">
      <c r="A193" s="58" t="s">
        <v>137</v>
      </c>
      <c r="B193" s="1">
        <v>43.8</v>
      </c>
      <c r="C193" s="1">
        <v>41.6</v>
      </c>
      <c r="D193" s="1">
        <v>43.8</v>
      </c>
      <c r="E193" s="1">
        <v>39</v>
      </c>
      <c r="F193" s="10">
        <v>42.5</v>
      </c>
      <c r="G193" s="10">
        <v>48.8</v>
      </c>
      <c r="H193" s="10">
        <v>53.3</v>
      </c>
      <c r="I193" s="10">
        <v>63.1</v>
      </c>
      <c r="J193" s="10">
        <v>65.2</v>
      </c>
      <c r="K193" s="25">
        <v>72.3</v>
      </c>
      <c r="L193" s="58">
        <v>76.5</v>
      </c>
      <c r="M193" s="58">
        <v>87.9</v>
      </c>
      <c r="N193" s="58">
        <v>97.2</v>
      </c>
      <c r="O193" s="58">
        <v>97.3</v>
      </c>
      <c r="P193" s="1">
        <v>114</v>
      </c>
    </row>
    <row r="194" spans="1:17">
      <c r="A194" s="58" t="s">
        <v>138</v>
      </c>
      <c r="B194" s="1">
        <v>36</v>
      </c>
      <c r="C194" s="1">
        <v>35.700000000000003</v>
      </c>
      <c r="D194" s="1">
        <v>34.6</v>
      </c>
      <c r="E194" s="1">
        <v>35.700000000000003</v>
      </c>
      <c r="F194" s="10">
        <v>33.299999999999997</v>
      </c>
      <c r="G194" s="10">
        <v>31.8</v>
      </c>
      <c r="H194" s="10">
        <v>33.799999999999997</v>
      </c>
      <c r="I194" s="10">
        <v>33.1</v>
      </c>
      <c r="J194" s="10">
        <v>37.700000000000003</v>
      </c>
      <c r="K194" s="25">
        <v>37.799999999999997</v>
      </c>
      <c r="L194" s="58">
        <v>41.3</v>
      </c>
      <c r="M194" s="58">
        <v>40.6</v>
      </c>
      <c r="N194" s="58">
        <v>44</v>
      </c>
      <c r="O194" s="58">
        <v>44.8</v>
      </c>
      <c r="P194" s="1">
        <v>46.5</v>
      </c>
    </row>
    <row r="195" spans="1:17" ht="13" thickBot="1">
      <c r="A195" s="58" t="s">
        <v>139</v>
      </c>
      <c r="B195" s="54">
        <v>41.5</v>
      </c>
      <c r="C195" s="54">
        <v>47.5</v>
      </c>
      <c r="D195" s="54">
        <v>49.2</v>
      </c>
      <c r="E195" s="54">
        <v>50.7</v>
      </c>
      <c r="F195" s="54">
        <v>50.8</v>
      </c>
      <c r="G195" s="54">
        <v>54.1</v>
      </c>
      <c r="H195" s="54">
        <v>54.6</v>
      </c>
      <c r="I195" s="54">
        <v>56.2</v>
      </c>
      <c r="J195" s="54">
        <v>57.7</v>
      </c>
      <c r="K195" s="54">
        <v>58.5</v>
      </c>
      <c r="L195" s="54">
        <v>60.4</v>
      </c>
      <c r="M195" s="54">
        <v>55.8</v>
      </c>
      <c r="N195" s="54">
        <v>53.7</v>
      </c>
      <c r="O195" s="54">
        <v>58.7</v>
      </c>
      <c r="P195" s="54">
        <v>59.2</v>
      </c>
    </row>
    <row r="196" spans="1:17" ht="13.5" thickBot="1">
      <c r="A196" s="99" t="s">
        <v>80</v>
      </c>
      <c r="B196" s="67">
        <f t="shared" ref="B196:G196" si="61">SUM(B191:B195)</f>
        <v>712.8</v>
      </c>
      <c r="C196" s="67">
        <f t="shared" si="61"/>
        <v>714.00000000000011</v>
      </c>
      <c r="D196" s="67">
        <f t="shared" si="61"/>
        <v>744.50000000000011</v>
      </c>
      <c r="E196" s="67">
        <f t="shared" si="61"/>
        <v>746.80000000000007</v>
      </c>
      <c r="F196" s="67">
        <f t="shared" si="61"/>
        <v>812.3</v>
      </c>
      <c r="G196" s="67">
        <f t="shared" si="61"/>
        <v>1075.8</v>
      </c>
      <c r="H196" s="67">
        <f t="shared" ref="H196" si="62">SUM(H191:H195)</f>
        <v>1120.1999999999998</v>
      </c>
      <c r="I196" s="67">
        <f t="shared" ref="I196:O196" si="63">SUM(I191:I195)</f>
        <v>1167.5999999999999</v>
      </c>
      <c r="J196" s="67">
        <f t="shared" si="63"/>
        <v>1208.4000000000001</v>
      </c>
      <c r="K196" s="67">
        <f t="shared" si="63"/>
        <v>1268</v>
      </c>
      <c r="L196" s="67">
        <f t="shared" si="63"/>
        <v>1313.3</v>
      </c>
      <c r="M196" s="67">
        <f t="shared" si="63"/>
        <v>1270.3</v>
      </c>
      <c r="N196" s="67">
        <f t="shared" si="63"/>
        <v>1340.4</v>
      </c>
      <c r="O196" s="67">
        <f t="shared" si="63"/>
        <v>1435.3</v>
      </c>
      <c r="P196" s="67">
        <f>SUM(P191:P195)</f>
        <v>1539.1000000000001</v>
      </c>
    </row>
    <row r="197" spans="1:17" ht="13">
      <c r="A197" s="7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</row>
    <row r="198" spans="1:17" ht="13.5" thickBot="1">
      <c r="A198" s="27" t="s">
        <v>140</v>
      </c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</row>
    <row r="199" spans="1:17" ht="13">
      <c r="A199" s="96"/>
      <c r="B199" s="33" t="s">
        <v>15</v>
      </c>
      <c r="C199" s="33" t="s">
        <v>14</v>
      </c>
      <c r="D199" s="33" t="s">
        <v>13</v>
      </c>
      <c r="E199" s="33" t="s">
        <v>12</v>
      </c>
      <c r="F199" s="33" t="s">
        <v>11</v>
      </c>
      <c r="G199" s="33" t="s">
        <v>10</v>
      </c>
      <c r="H199" s="33" t="s">
        <v>9</v>
      </c>
      <c r="I199" s="33" t="s">
        <v>8</v>
      </c>
      <c r="J199" s="33" t="s">
        <v>7</v>
      </c>
      <c r="K199" s="33" t="s">
        <v>6</v>
      </c>
      <c r="L199" s="33" t="s">
        <v>5</v>
      </c>
      <c r="M199" s="33" t="s">
        <v>4</v>
      </c>
      <c r="N199" s="33" t="s">
        <v>3</v>
      </c>
      <c r="O199" s="33" t="s">
        <v>2</v>
      </c>
      <c r="P199" s="33" t="s">
        <v>1</v>
      </c>
    </row>
    <row r="200" spans="1:17" ht="13">
      <c r="A200" s="73"/>
      <c r="B200" s="12" t="s">
        <v>17</v>
      </c>
      <c r="C200" s="12" t="s">
        <v>17</v>
      </c>
      <c r="D200" s="12" t="s">
        <v>17</v>
      </c>
      <c r="E200" s="12" t="s">
        <v>17</v>
      </c>
      <c r="F200" s="12" t="s">
        <v>17</v>
      </c>
      <c r="G200" s="12" t="s">
        <v>17</v>
      </c>
      <c r="H200" s="12" t="s">
        <v>17</v>
      </c>
      <c r="I200" s="12" t="s">
        <v>17</v>
      </c>
      <c r="J200" s="12" t="s">
        <v>17</v>
      </c>
      <c r="K200" s="12" t="s">
        <v>17</v>
      </c>
      <c r="L200" s="12" t="s">
        <v>17</v>
      </c>
      <c r="M200" s="12" t="s">
        <v>17</v>
      </c>
      <c r="N200" s="12" t="s">
        <v>17</v>
      </c>
      <c r="O200" s="12" t="s">
        <v>17</v>
      </c>
      <c r="P200" s="12" t="s">
        <v>17</v>
      </c>
    </row>
    <row r="201" spans="1:17">
      <c r="A201" s="58" t="s">
        <v>141</v>
      </c>
      <c r="B201" s="36">
        <v>702.2</v>
      </c>
      <c r="C201" s="10">
        <f t="shared" ref="C201:N201" si="64">B196</f>
        <v>712.8</v>
      </c>
      <c r="D201" s="10">
        <f t="shared" si="64"/>
        <v>714.00000000000011</v>
      </c>
      <c r="E201" s="10">
        <f t="shared" si="64"/>
        <v>744.50000000000011</v>
      </c>
      <c r="F201" s="10">
        <f t="shared" si="64"/>
        <v>746.80000000000007</v>
      </c>
      <c r="G201" s="10">
        <f t="shared" si="64"/>
        <v>812.3</v>
      </c>
      <c r="H201" s="10">
        <f t="shared" si="64"/>
        <v>1075.8</v>
      </c>
      <c r="I201" s="10">
        <f t="shared" si="64"/>
        <v>1120.1999999999998</v>
      </c>
      <c r="J201" s="10">
        <f t="shared" si="64"/>
        <v>1167.5999999999999</v>
      </c>
      <c r="K201" s="10">
        <f t="shared" si="64"/>
        <v>1208.4000000000001</v>
      </c>
      <c r="L201" s="10">
        <f t="shared" si="64"/>
        <v>1268</v>
      </c>
      <c r="M201" s="10">
        <f t="shared" si="64"/>
        <v>1313.3</v>
      </c>
      <c r="N201" s="10">
        <f t="shared" si="64"/>
        <v>1270.3</v>
      </c>
      <c r="O201" s="10">
        <f>N196</f>
        <v>1340.4</v>
      </c>
      <c r="P201" s="10">
        <f>O196</f>
        <v>1435.3</v>
      </c>
    </row>
    <row r="202" spans="1:17">
      <c r="A202" s="104" t="s">
        <v>142</v>
      </c>
      <c r="B202" s="10">
        <v>46.7</v>
      </c>
      <c r="C202" s="10">
        <v>47.2</v>
      </c>
      <c r="D202" s="10">
        <v>50.1</v>
      </c>
      <c r="E202" s="10">
        <v>39.700000000000003</v>
      </c>
      <c r="F202" s="10">
        <v>36.1</v>
      </c>
      <c r="G202" s="10">
        <v>50.1</v>
      </c>
      <c r="H202" s="10">
        <v>51.1</v>
      </c>
      <c r="I202" s="10">
        <v>51.5</v>
      </c>
      <c r="J202" s="10">
        <v>55.8</v>
      </c>
      <c r="K202" s="10">
        <v>56.1</v>
      </c>
      <c r="L202" s="10">
        <v>60</v>
      </c>
      <c r="M202" s="10">
        <v>57.8</v>
      </c>
      <c r="N202" s="10">
        <v>62.4</v>
      </c>
      <c r="O202" s="10">
        <v>64.8</v>
      </c>
      <c r="P202" s="10">
        <v>69</v>
      </c>
      <c r="Q202" s="105">
        <f>SUM(B202:P202)</f>
        <v>798.4</v>
      </c>
    </row>
    <row r="203" spans="1:17">
      <c r="A203" s="106" t="s">
        <v>143</v>
      </c>
      <c r="B203" s="10">
        <v>-13.6</v>
      </c>
      <c r="C203" s="10">
        <v>-18.399999999999999</v>
      </c>
      <c r="D203" s="1">
        <v>10.4</v>
      </c>
      <c r="E203" s="10">
        <v>-2</v>
      </c>
      <c r="F203" s="10">
        <v>5.9</v>
      </c>
      <c r="G203" s="10">
        <v>17.7</v>
      </c>
      <c r="H203" s="10">
        <v>25.5</v>
      </c>
      <c r="I203" s="10">
        <v>31.3</v>
      </c>
      <c r="J203" s="10">
        <v>21.3</v>
      </c>
      <c r="K203" s="10">
        <v>40.200000000000003</v>
      </c>
      <c r="L203" s="10">
        <v>23.5</v>
      </c>
      <c r="M203" s="10">
        <v>14.5</v>
      </c>
      <c r="N203" s="10">
        <v>74.5</v>
      </c>
      <c r="O203" s="10">
        <v>105.4</v>
      </c>
      <c r="P203" s="10">
        <v>88</v>
      </c>
      <c r="Q203" s="105">
        <f t="shared" ref="Q203:Q205" si="65">SUM(B203:P203)</f>
        <v>424.20000000000005</v>
      </c>
    </row>
    <row r="204" spans="1:17">
      <c r="A204" s="106" t="s">
        <v>144</v>
      </c>
      <c r="B204" s="10">
        <v>-23</v>
      </c>
      <c r="C204" s="10">
        <v>-23.7</v>
      </c>
      <c r="D204" s="10">
        <v>-23.9</v>
      </c>
      <c r="E204" s="10">
        <v>-25.5</v>
      </c>
      <c r="F204" s="10">
        <v>-24.4</v>
      </c>
      <c r="G204" s="10">
        <v>-26.5</v>
      </c>
      <c r="H204" s="10">
        <v>-29.8</v>
      </c>
      <c r="I204" s="10">
        <v>-29</v>
      </c>
      <c r="J204" s="10">
        <v>-29.8</v>
      </c>
      <c r="K204" s="10">
        <v>-31.1</v>
      </c>
      <c r="L204" s="10">
        <v>-31.9</v>
      </c>
      <c r="M204" s="10">
        <v>-30.6</v>
      </c>
      <c r="N204" s="10">
        <v>-32</v>
      </c>
      <c r="O204" s="10">
        <v>-32.5</v>
      </c>
      <c r="P204" s="10">
        <v>-35.299999999999997</v>
      </c>
      <c r="Q204" s="105">
        <f t="shared" si="65"/>
        <v>-429.00000000000006</v>
      </c>
    </row>
    <row r="205" spans="1:17">
      <c r="A205" s="106" t="s">
        <v>58</v>
      </c>
      <c r="B205" s="10">
        <v>0.5</v>
      </c>
      <c r="C205" s="10">
        <v>-3.9</v>
      </c>
      <c r="D205" s="10">
        <v>-6.1</v>
      </c>
      <c r="E205" s="10">
        <v>-9.9</v>
      </c>
      <c r="F205" s="10">
        <v>47.9</v>
      </c>
      <c r="G205" s="10">
        <v>222.2</v>
      </c>
      <c r="H205" s="10">
        <v>-2.4</v>
      </c>
      <c r="I205" s="10">
        <v>-6.4</v>
      </c>
      <c r="J205" s="10">
        <v>-6.5</v>
      </c>
      <c r="K205" s="10">
        <v>-5.6</v>
      </c>
      <c r="L205" s="10">
        <v>-6.3</v>
      </c>
      <c r="M205" s="10">
        <v>-84.7</v>
      </c>
      <c r="N205" s="10">
        <v>-34.799999999999997</v>
      </c>
      <c r="O205" s="10">
        <v>-42.8</v>
      </c>
      <c r="P205" s="10">
        <v>-17.899999999999999</v>
      </c>
      <c r="Q205" s="105">
        <f t="shared" si="65"/>
        <v>43.299999999999962</v>
      </c>
    </row>
    <row r="206" spans="1:17" ht="13.5" thickBot="1">
      <c r="A206" s="99" t="s">
        <v>145</v>
      </c>
      <c r="B206" s="67">
        <f t="shared" ref="B206:P206" si="66">SUM(B198:B205)</f>
        <v>712.80000000000007</v>
      </c>
      <c r="C206" s="67">
        <f t="shared" si="66"/>
        <v>714</v>
      </c>
      <c r="D206" s="67">
        <f t="shared" si="66"/>
        <v>744.50000000000011</v>
      </c>
      <c r="E206" s="67">
        <f t="shared" si="66"/>
        <v>746.80000000000018</v>
      </c>
      <c r="F206" s="67">
        <f t="shared" si="66"/>
        <v>812.30000000000007</v>
      </c>
      <c r="G206" s="67">
        <f t="shared" si="66"/>
        <v>1075.8</v>
      </c>
      <c r="H206" s="67">
        <f t="shared" si="66"/>
        <v>1120.1999999999998</v>
      </c>
      <c r="I206" s="67">
        <f t="shared" si="66"/>
        <v>1167.5999999999997</v>
      </c>
      <c r="J206" s="67">
        <f t="shared" si="66"/>
        <v>1208.3999999999999</v>
      </c>
      <c r="K206" s="67">
        <f t="shared" si="66"/>
        <v>1268.0000000000002</v>
      </c>
      <c r="L206" s="67">
        <f t="shared" si="66"/>
        <v>1313.3</v>
      </c>
      <c r="M206" s="67">
        <f t="shared" si="66"/>
        <v>1270.3</v>
      </c>
      <c r="N206" s="67">
        <f t="shared" si="66"/>
        <v>1340.4</v>
      </c>
      <c r="O206" s="67">
        <f t="shared" si="66"/>
        <v>1435.3000000000002</v>
      </c>
      <c r="P206" s="67">
        <f t="shared" si="66"/>
        <v>1539.1</v>
      </c>
    </row>
    <row r="207" spans="1:17" ht="13">
      <c r="A207" s="7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</row>
    <row r="208" spans="1:17" ht="13.5" thickBot="1">
      <c r="A208" s="27" t="s">
        <v>146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</row>
    <row r="209" spans="1:16" ht="13">
      <c r="A209" s="96"/>
      <c r="B209" s="33" t="s">
        <v>15</v>
      </c>
      <c r="C209" s="33" t="s">
        <v>14</v>
      </c>
      <c r="D209" s="33" t="s">
        <v>13</v>
      </c>
      <c r="E209" s="33" t="s">
        <v>12</v>
      </c>
      <c r="F209" s="33" t="s">
        <v>11</v>
      </c>
      <c r="G209" s="33" t="s">
        <v>10</v>
      </c>
      <c r="H209" s="33" t="s">
        <v>9</v>
      </c>
      <c r="I209" s="33" t="s">
        <v>8</v>
      </c>
      <c r="J209" s="33" t="s">
        <v>7</v>
      </c>
      <c r="K209" s="33" t="s">
        <v>6</v>
      </c>
      <c r="L209" s="33" t="s">
        <v>5</v>
      </c>
      <c r="M209" s="33" t="s">
        <v>4</v>
      </c>
      <c r="N209" s="33" t="s">
        <v>3</v>
      </c>
      <c r="O209" s="33" t="s">
        <v>2</v>
      </c>
      <c r="P209" s="33" t="s">
        <v>1</v>
      </c>
    </row>
    <row r="210" spans="1:16" ht="13">
      <c r="A210" s="73"/>
      <c r="B210" s="12" t="s">
        <v>17</v>
      </c>
      <c r="C210" s="12" t="s">
        <v>17</v>
      </c>
      <c r="D210" s="12" t="s">
        <v>17</v>
      </c>
      <c r="E210" s="12" t="s">
        <v>17</v>
      </c>
      <c r="F210" s="12" t="s">
        <v>17</v>
      </c>
      <c r="G210" s="12" t="s">
        <v>17</v>
      </c>
      <c r="H210" s="12" t="s">
        <v>17</v>
      </c>
      <c r="I210" s="12" t="s">
        <v>17</v>
      </c>
      <c r="J210" s="12" t="s">
        <v>17</v>
      </c>
      <c r="K210" s="12" t="s">
        <v>17</v>
      </c>
      <c r="L210" s="12" t="s">
        <v>17</v>
      </c>
      <c r="M210" s="12" t="s">
        <v>17</v>
      </c>
      <c r="N210" s="12" t="s">
        <v>17</v>
      </c>
      <c r="O210" s="12" t="s">
        <v>17</v>
      </c>
      <c r="P210" s="12" t="s">
        <v>17</v>
      </c>
    </row>
    <row r="211" spans="1:16">
      <c r="A211" s="58" t="s">
        <v>141</v>
      </c>
      <c r="B211" s="36">
        <v>231.8</v>
      </c>
      <c r="C211" s="36">
        <f t="shared" ref="C211:N211" si="67">B191</f>
        <v>234.3</v>
      </c>
      <c r="D211" s="36">
        <f t="shared" si="67"/>
        <v>254.1</v>
      </c>
      <c r="E211" s="36">
        <f t="shared" si="67"/>
        <v>269.10000000000002</v>
      </c>
      <c r="F211" s="36">
        <f t="shared" si="67"/>
        <v>273.39999999999998</v>
      </c>
      <c r="G211" s="36">
        <f t="shared" si="67"/>
        <v>327.9</v>
      </c>
      <c r="H211" s="36">
        <f t="shared" si="67"/>
        <v>561.20000000000005</v>
      </c>
      <c r="I211" s="36">
        <f t="shared" si="67"/>
        <v>572.6</v>
      </c>
      <c r="J211" s="36">
        <f t="shared" si="67"/>
        <v>595.6</v>
      </c>
      <c r="K211" s="36">
        <f t="shared" si="67"/>
        <v>616.6</v>
      </c>
      <c r="L211" s="36">
        <f t="shared" si="67"/>
        <v>656.7</v>
      </c>
      <c r="M211" s="36">
        <f t="shared" si="67"/>
        <v>675.9</v>
      </c>
      <c r="N211" s="36">
        <f t="shared" si="67"/>
        <v>676.7</v>
      </c>
      <c r="O211" s="36">
        <f>N191</f>
        <v>734.4</v>
      </c>
      <c r="P211" s="36">
        <f>O191</f>
        <v>831</v>
      </c>
    </row>
    <row r="212" spans="1:16">
      <c r="A212" s="104" t="s">
        <v>142</v>
      </c>
      <c r="B212" s="10">
        <v>5.5</v>
      </c>
      <c r="C212" s="10">
        <v>4.7</v>
      </c>
      <c r="D212" s="10">
        <v>4.4000000000000004</v>
      </c>
      <c r="E212" s="10">
        <v>4</v>
      </c>
      <c r="F212" s="10">
        <v>3.7</v>
      </c>
      <c r="G212" s="10">
        <v>11.2</v>
      </c>
      <c r="H212" s="10">
        <v>5.0999999999999996</v>
      </c>
      <c r="I212" s="10">
        <v>4.9000000000000004</v>
      </c>
      <c r="J212" s="10">
        <v>5.4</v>
      </c>
      <c r="K212" s="10">
        <v>4.8</v>
      </c>
      <c r="L212" s="10">
        <v>13.2</v>
      </c>
      <c r="M212" s="10">
        <v>13.8</v>
      </c>
      <c r="N212" s="10">
        <v>12.9</v>
      </c>
      <c r="O212" s="10">
        <v>13.5</v>
      </c>
      <c r="P212" s="10">
        <v>14.1</v>
      </c>
    </row>
    <row r="213" spans="1:16">
      <c r="A213" s="106" t="s">
        <v>143</v>
      </c>
      <c r="B213" s="10">
        <v>-2.9</v>
      </c>
      <c r="C213" s="10">
        <v>13.8</v>
      </c>
      <c r="D213" s="1">
        <v>10.4</v>
      </c>
      <c r="E213" s="10">
        <v>3.3</v>
      </c>
      <c r="F213" s="10">
        <v>3</v>
      </c>
      <c r="G213" s="10">
        <v>0.9</v>
      </c>
      <c r="H213" s="10">
        <v>8.4</v>
      </c>
      <c r="I213" s="10">
        <v>21.7</v>
      </c>
      <c r="J213" s="10">
        <v>17.3</v>
      </c>
      <c r="K213" s="10">
        <v>36.1</v>
      </c>
      <c r="L213" s="10">
        <v>11.5</v>
      </c>
      <c r="M213" s="10">
        <v>9.9</v>
      </c>
      <c r="N213" s="10">
        <v>55.6</v>
      </c>
      <c r="O213" s="10">
        <v>86.2</v>
      </c>
      <c r="P213" s="10">
        <v>86.3</v>
      </c>
    </row>
    <row r="214" spans="1:16">
      <c r="A214" s="106" t="s">
        <v>144</v>
      </c>
      <c r="B214" s="10">
        <v>-3.2</v>
      </c>
      <c r="C214" s="10">
        <v>-3</v>
      </c>
      <c r="D214" s="10">
        <v>-3.6</v>
      </c>
      <c r="E214" s="10">
        <v>-3.9</v>
      </c>
      <c r="F214" s="10">
        <v>-4</v>
      </c>
      <c r="G214" s="10">
        <v>-5.9</v>
      </c>
      <c r="H214" s="10">
        <v>-9.1</v>
      </c>
      <c r="I214" s="10">
        <v>-8.8000000000000007</v>
      </c>
      <c r="J214" s="10">
        <v>-10</v>
      </c>
      <c r="K214" s="10">
        <v>-10.5</v>
      </c>
      <c r="L214" s="10">
        <v>-10.7</v>
      </c>
      <c r="M214" s="10">
        <v>-10.3</v>
      </c>
      <c r="N214" s="10">
        <v>-10.7</v>
      </c>
      <c r="O214" s="10">
        <v>-11.7</v>
      </c>
      <c r="P214" s="10">
        <v>-13.5</v>
      </c>
    </row>
    <row r="215" spans="1:16">
      <c r="A215" s="106" t="s">
        <v>58</v>
      </c>
      <c r="B215" s="10">
        <v>3.1</v>
      </c>
      <c r="C215" s="10">
        <v>4.3</v>
      </c>
      <c r="D215" s="10">
        <v>3.8</v>
      </c>
      <c r="E215" s="10">
        <v>0.9</v>
      </c>
      <c r="F215" s="10">
        <v>51.8</v>
      </c>
      <c r="G215" s="10">
        <v>227.1</v>
      </c>
      <c r="H215" s="10">
        <v>7</v>
      </c>
      <c r="I215" s="10">
        <v>5.2</v>
      </c>
      <c r="J215" s="10">
        <v>8.3000000000000007</v>
      </c>
      <c r="K215" s="10">
        <v>9.6999999999999993</v>
      </c>
      <c r="L215" s="10">
        <v>5.2</v>
      </c>
      <c r="M215" s="10">
        <v>-12.6</v>
      </c>
      <c r="N215" s="10">
        <v>-0.1</v>
      </c>
      <c r="O215" s="10">
        <v>8.6</v>
      </c>
      <c r="P215" s="10">
        <v>-2</v>
      </c>
    </row>
    <row r="216" spans="1:16" ht="13.5" thickBot="1">
      <c r="A216" s="99" t="s">
        <v>145</v>
      </c>
      <c r="B216" s="67">
        <f t="shared" ref="B216:P216" si="68">SUM(B208:B215)</f>
        <v>234.3</v>
      </c>
      <c r="C216" s="67">
        <f t="shared" si="68"/>
        <v>254.10000000000002</v>
      </c>
      <c r="D216" s="67">
        <f t="shared" si="68"/>
        <v>269.09999999999997</v>
      </c>
      <c r="E216" s="67">
        <f t="shared" si="68"/>
        <v>273.40000000000003</v>
      </c>
      <c r="F216" s="67">
        <f t="shared" si="68"/>
        <v>327.9</v>
      </c>
      <c r="G216" s="67">
        <f t="shared" si="68"/>
        <v>561.19999999999993</v>
      </c>
      <c r="H216" s="67">
        <f t="shared" si="68"/>
        <v>572.6</v>
      </c>
      <c r="I216" s="67">
        <f t="shared" si="68"/>
        <v>595.60000000000014</v>
      </c>
      <c r="J216" s="67">
        <f t="shared" si="68"/>
        <v>616.59999999999991</v>
      </c>
      <c r="K216" s="67">
        <f t="shared" si="68"/>
        <v>656.7</v>
      </c>
      <c r="L216" s="67">
        <f t="shared" si="68"/>
        <v>675.90000000000009</v>
      </c>
      <c r="M216" s="67">
        <f t="shared" si="68"/>
        <v>676.69999999999993</v>
      </c>
      <c r="N216" s="67">
        <f t="shared" si="68"/>
        <v>734.4</v>
      </c>
      <c r="O216" s="67">
        <f t="shared" si="68"/>
        <v>831</v>
      </c>
      <c r="P216" s="67">
        <f t="shared" si="68"/>
        <v>915.9</v>
      </c>
    </row>
    <row r="217" spans="1:16" ht="13">
      <c r="A217" s="7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</row>
    <row r="218" spans="1:16" ht="13.5" thickBot="1">
      <c r="A218" s="27" t="s">
        <v>147</v>
      </c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</row>
    <row r="219" spans="1:16" ht="13">
      <c r="A219" s="96"/>
      <c r="B219" s="33" t="s">
        <v>15</v>
      </c>
      <c r="C219" s="33" t="s">
        <v>14</v>
      </c>
      <c r="D219" s="33" t="s">
        <v>13</v>
      </c>
      <c r="E219" s="33" t="s">
        <v>12</v>
      </c>
      <c r="F219" s="33" t="s">
        <v>11</v>
      </c>
      <c r="G219" s="33" t="s">
        <v>10</v>
      </c>
      <c r="H219" s="33" t="s">
        <v>9</v>
      </c>
      <c r="I219" s="33" t="s">
        <v>8</v>
      </c>
      <c r="J219" s="33" t="s">
        <v>7</v>
      </c>
      <c r="K219" s="33" t="s">
        <v>6</v>
      </c>
      <c r="L219" s="33" t="s">
        <v>5</v>
      </c>
      <c r="M219" s="33" t="s">
        <v>4</v>
      </c>
      <c r="N219" s="33" t="s">
        <v>3</v>
      </c>
      <c r="O219" s="33" t="s">
        <v>2</v>
      </c>
      <c r="P219" s="33" t="s">
        <v>1</v>
      </c>
    </row>
    <row r="220" spans="1:16" ht="13">
      <c r="A220" s="73"/>
      <c r="B220" s="12" t="s">
        <v>17</v>
      </c>
      <c r="C220" s="12" t="s">
        <v>17</v>
      </c>
      <c r="D220" s="12" t="s">
        <v>17</v>
      </c>
      <c r="E220" s="12" t="s">
        <v>17</v>
      </c>
      <c r="F220" s="12" t="s">
        <v>17</v>
      </c>
      <c r="G220" s="12" t="s">
        <v>17</v>
      </c>
      <c r="H220" s="12" t="s">
        <v>17</v>
      </c>
      <c r="I220" s="12" t="s">
        <v>17</v>
      </c>
      <c r="J220" s="12" t="s">
        <v>17</v>
      </c>
      <c r="K220" s="12" t="s">
        <v>17</v>
      </c>
      <c r="L220" s="12" t="s">
        <v>17</v>
      </c>
      <c r="M220" s="12" t="s">
        <v>17</v>
      </c>
      <c r="N220" s="12" t="s">
        <v>17</v>
      </c>
      <c r="O220" s="12" t="s">
        <v>17</v>
      </c>
      <c r="P220" s="12" t="s">
        <v>17</v>
      </c>
    </row>
    <row r="221" spans="1:16">
      <c r="A221" s="58" t="s">
        <v>141</v>
      </c>
      <c r="B221" s="36">
        <v>357.8</v>
      </c>
      <c r="C221" s="36">
        <f t="shared" ref="C221:N221" si="69">B192</f>
        <v>357.2</v>
      </c>
      <c r="D221" s="36">
        <f t="shared" si="69"/>
        <v>335.1</v>
      </c>
      <c r="E221" s="36">
        <f t="shared" si="69"/>
        <v>347.8</v>
      </c>
      <c r="F221" s="36">
        <f t="shared" si="69"/>
        <v>348</v>
      </c>
      <c r="G221" s="36">
        <f t="shared" si="69"/>
        <v>357.8</v>
      </c>
      <c r="H221" s="36">
        <f t="shared" si="69"/>
        <v>379.9</v>
      </c>
      <c r="I221" s="36">
        <f t="shared" si="69"/>
        <v>405.9</v>
      </c>
      <c r="J221" s="36">
        <f t="shared" si="69"/>
        <v>419.6</v>
      </c>
      <c r="K221" s="36">
        <f t="shared" si="69"/>
        <v>431.2</v>
      </c>
      <c r="L221" s="36">
        <f t="shared" si="69"/>
        <v>442.7</v>
      </c>
      <c r="M221" s="36">
        <f t="shared" si="69"/>
        <v>459.2</v>
      </c>
      <c r="N221" s="36">
        <f t="shared" si="69"/>
        <v>409.3</v>
      </c>
      <c r="O221" s="36">
        <f>N192</f>
        <v>411.1</v>
      </c>
      <c r="P221" s="36">
        <f>O192</f>
        <v>403.5</v>
      </c>
    </row>
    <row r="222" spans="1:16">
      <c r="A222" s="104" t="s">
        <v>142</v>
      </c>
      <c r="B222" s="10">
        <v>14.1</v>
      </c>
      <c r="C222" s="10">
        <v>15.3</v>
      </c>
      <c r="D222" s="10">
        <v>20.8</v>
      </c>
      <c r="E222" s="10">
        <v>12.3</v>
      </c>
      <c r="F222" s="10">
        <v>7.9</v>
      </c>
      <c r="G222" s="10">
        <v>11.5</v>
      </c>
      <c r="H222" s="10">
        <v>10.1</v>
      </c>
      <c r="I222" s="10">
        <v>10.3</v>
      </c>
      <c r="J222" s="10">
        <v>11.9</v>
      </c>
      <c r="K222" s="10">
        <v>10.9</v>
      </c>
      <c r="L222" s="10">
        <v>11.9</v>
      </c>
      <c r="M222" s="10">
        <v>8.9</v>
      </c>
      <c r="N222" s="10">
        <v>10.1</v>
      </c>
      <c r="O222" s="10">
        <v>8.1</v>
      </c>
      <c r="P222" s="10">
        <v>9.1999999999999993</v>
      </c>
    </row>
    <row r="223" spans="1:16">
      <c r="A223" s="106" t="s">
        <v>143</v>
      </c>
      <c r="B223" s="10">
        <v>-12.4</v>
      </c>
      <c r="C223" s="10">
        <v>-30.1</v>
      </c>
      <c r="D223" s="10">
        <v>-0.9</v>
      </c>
      <c r="E223" s="10">
        <v>-5.9</v>
      </c>
      <c r="F223" s="10">
        <v>5.6</v>
      </c>
      <c r="G223" s="10">
        <v>16.600000000000001</v>
      </c>
      <c r="H223" s="10">
        <v>19.7</v>
      </c>
      <c r="I223" s="10">
        <v>10.8</v>
      </c>
      <c r="J223" s="10">
        <v>4.9000000000000004</v>
      </c>
      <c r="K223" s="10">
        <v>5.5</v>
      </c>
      <c r="L223" s="10">
        <v>8.9</v>
      </c>
      <c r="M223" s="10">
        <v>4.7</v>
      </c>
      <c r="N223" s="10">
        <v>16.7</v>
      </c>
      <c r="O223" s="10">
        <v>16.3</v>
      </c>
      <c r="P223" s="10">
        <v>1.9</v>
      </c>
    </row>
    <row r="224" spans="1:16">
      <c r="A224" s="106" t="s">
        <v>144</v>
      </c>
      <c r="B224" s="10">
        <v>-10</v>
      </c>
      <c r="C224" s="10">
        <v>-9.1999999999999993</v>
      </c>
      <c r="D224" s="10">
        <v>-9.6</v>
      </c>
      <c r="E224" s="10">
        <v>-11.1</v>
      </c>
      <c r="F224" s="10">
        <v>-10.1</v>
      </c>
      <c r="G224" s="10">
        <v>-10.199999999999999</v>
      </c>
      <c r="H224" s="10">
        <v>-11</v>
      </c>
      <c r="I224" s="10">
        <v>-10.8</v>
      </c>
      <c r="J224" s="10">
        <v>-10.6</v>
      </c>
      <c r="K224" s="10">
        <v>-11.2</v>
      </c>
      <c r="L224" s="10">
        <v>-11.3</v>
      </c>
      <c r="M224" s="10">
        <v>-10.7</v>
      </c>
      <c r="N224" s="10">
        <v>-10.6</v>
      </c>
      <c r="O224" s="10">
        <v>-10.7</v>
      </c>
      <c r="P224" s="10">
        <v>-11</v>
      </c>
    </row>
    <row r="225" spans="1:16">
      <c r="A225" s="106" t="s">
        <v>58</v>
      </c>
      <c r="B225" s="10">
        <v>7.7</v>
      </c>
      <c r="C225" s="10">
        <v>1.9</v>
      </c>
      <c r="D225" s="10">
        <v>2.4</v>
      </c>
      <c r="E225" s="10">
        <v>4.9000000000000004</v>
      </c>
      <c r="F225" s="10">
        <v>6.4</v>
      </c>
      <c r="G225" s="10">
        <v>4.2</v>
      </c>
      <c r="H225" s="10">
        <v>7.2</v>
      </c>
      <c r="I225" s="10">
        <v>3.4</v>
      </c>
      <c r="J225" s="10">
        <v>5.4</v>
      </c>
      <c r="K225" s="10">
        <v>6.3</v>
      </c>
      <c r="L225" s="10">
        <v>7</v>
      </c>
      <c r="M225" s="10">
        <v>-52.8</v>
      </c>
      <c r="N225" s="10">
        <v>-14.4</v>
      </c>
      <c r="O225" s="10">
        <v>-21.4</v>
      </c>
      <c r="P225" s="10">
        <v>-0.1</v>
      </c>
    </row>
    <row r="226" spans="1:16" ht="13.5" thickBot="1">
      <c r="A226" s="99" t="s">
        <v>145</v>
      </c>
      <c r="B226" s="67">
        <f t="shared" ref="B226:N226" si="70">SUM(B221:B225)</f>
        <v>357.20000000000005</v>
      </c>
      <c r="C226" s="67">
        <f t="shared" si="70"/>
        <v>335.09999999999997</v>
      </c>
      <c r="D226" s="67">
        <f t="shared" si="70"/>
        <v>347.8</v>
      </c>
      <c r="E226" s="67">
        <f t="shared" si="70"/>
        <v>348</v>
      </c>
      <c r="F226" s="67">
        <f t="shared" si="70"/>
        <v>357.79999999999995</v>
      </c>
      <c r="G226" s="67">
        <f t="shared" si="70"/>
        <v>379.90000000000003</v>
      </c>
      <c r="H226" s="67">
        <f t="shared" si="70"/>
        <v>405.9</v>
      </c>
      <c r="I226" s="67">
        <f t="shared" si="70"/>
        <v>419.59999999999997</v>
      </c>
      <c r="J226" s="67">
        <f t="shared" si="70"/>
        <v>431.19999999999993</v>
      </c>
      <c r="K226" s="67">
        <f t="shared" si="70"/>
        <v>442.7</v>
      </c>
      <c r="L226" s="67">
        <f t="shared" si="70"/>
        <v>459.19999999999993</v>
      </c>
      <c r="M226" s="67">
        <f t="shared" si="70"/>
        <v>409.29999999999995</v>
      </c>
      <c r="N226" s="67">
        <f t="shared" si="70"/>
        <v>411.1</v>
      </c>
      <c r="O226" s="67">
        <f>SUM(O221:O225)</f>
        <v>403.40000000000009</v>
      </c>
      <c r="P226" s="67">
        <f>SUM(P221:P225)</f>
        <v>403.49999999999994</v>
      </c>
    </row>
    <row r="227" spans="1:16" ht="13">
      <c r="A227" s="7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</row>
    <row r="228" spans="1:16" ht="13.5" thickBot="1">
      <c r="A228" s="27" t="s">
        <v>148</v>
      </c>
      <c r="L228" s="27"/>
      <c r="M228" s="27"/>
      <c r="N228" s="27"/>
      <c r="O228" s="27"/>
    </row>
    <row r="229" spans="1:16" ht="13">
      <c r="A229" s="96"/>
      <c r="B229" s="33" t="s">
        <v>15</v>
      </c>
      <c r="C229" s="33" t="s">
        <v>14</v>
      </c>
      <c r="D229" s="33" t="s">
        <v>13</v>
      </c>
      <c r="E229" s="33" t="s">
        <v>12</v>
      </c>
      <c r="F229" s="33" t="s">
        <v>11</v>
      </c>
      <c r="G229" s="33" t="s">
        <v>10</v>
      </c>
      <c r="H229" s="33" t="s">
        <v>9</v>
      </c>
      <c r="I229" s="33" t="s">
        <v>8</v>
      </c>
      <c r="J229" s="33" t="s">
        <v>7</v>
      </c>
      <c r="K229" s="33" t="s">
        <v>6</v>
      </c>
      <c r="L229" s="33" t="s">
        <v>5</v>
      </c>
      <c r="M229" s="33" t="s">
        <v>4</v>
      </c>
      <c r="N229" s="33" t="s">
        <v>3</v>
      </c>
      <c r="O229" s="33" t="s">
        <v>2</v>
      </c>
      <c r="P229" s="33" t="s">
        <v>1</v>
      </c>
    </row>
    <row r="230" spans="1:16" ht="13">
      <c r="A230" s="27"/>
      <c r="B230" s="12" t="s">
        <v>17</v>
      </c>
      <c r="C230" s="12" t="s">
        <v>17</v>
      </c>
      <c r="D230" s="12" t="s">
        <v>17</v>
      </c>
      <c r="E230" s="12" t="s">
        <v>17</v>
      </c>
      <c r="F230" s="12" t="s">
        <v>17</v>
      </c>
      <c r="G230" s="12" t="s">
        <v>17</v>
      </c>
      <c r="H230" s="12" t="s">
        <v>17</v>
      </c>
      <c r="I230" s="12" t="s">
        <v>17</v>
      </c>
      <c r="J230" s="12" t="s">
        <v>17</v>
      </c>
      <c r="K230" s="12" t="s">
        <v>17</v>
      </c>
      <c r="L230" s="12" t="s">
        <v>17</v>
      </c>
      <c r="M230" s="12" t="s">
        <v>17</v>
      </c>
      <c r="N230" s="12" t="s">
        <v>17</v>
      </c>
      <c r="O230" s="12" t="s">
        <v>17</v>
      </c>
      <c r="P230" s="12" t="s">
        <v>17</v>
      </c>
    </row>
    <row r="231" spans="1:16">
      <c r="A231" s="1" t="s">
        <v>149</v>
      </c>
      <c r="C231" s="1">
        <v>360.1</v>
      </c>
      <c r="D231" s="1">
        <v>388</v>
      </c>
      <c r="E231" s="1">
        <v>388.8</v>
      </c>
      <c r="F231" s="1">
        <v>446.4</v>
      </c>
      <c r="G231" s="1">
        <v>696.4</v>
      </c>
      <c r="H231" s="1">
        <v>713.2</v>
      </c>
      <c r="I231" s="1">
        <v>742.4</v>
      </c>
      <c r="J231" s="1">
        <v>761.6</v>
      </c>
      <c r="K231" s="1">
        <v>811.6</v>
      </c>
      <c r="L231" s="1">
        <v>838.7</v>
      </c>
      <c r="M231" s="1">
        <v>863.8</v>
      </c>
      <c r="N231" s="1">
        <v>944</v>
      </c>
      <c r="O231" s="1">
        <v>1036.5999999999999</v>
      </c>
      <c r="P231" s="1">
        <v>1115.8</v>
      </c>
    </row>
    <row r="232" spans="1:16">
      <c r="A232" s="1" t="s">
        <v>150</v>
      </c>
      <c r="C232" s="1">
        <v>297.7</v>
      </c>
      <c r="D232" s="1">
        <v>300.39999999999998</v>
      </c>
      <c r="E232" s="1">
        <v>296.89999999999998</v>
      </c>
      <c r="F232" s="1">
        <v>306.5</v>
      </c>
      <c r="G232" s="1">
        <v>319.3</v>
      </c>
      <c r="H232" s="1">
        <v>336.5</v>
      </c>
      <c r="I232" s="1">
        <v>353.6</v>
      </c>
      <c r="J232" s="1">
        <v>367.8</v>
      </c>
      <c r="K232" s="1">
        <v>374.5</v>
      </c>
      <c r="L232" s="1">
        <v>389.7</v>
      </c>
      <c r="M232" s="1">
        <v>319.89999999999998</v>
      </c>
      <c r="N232" s="1">
        <v>309</v>
      </c>
      <c r="O232" s="1">
        <v>295.5</v>
      </c>
      <c r="P232" s="1">
        <v>292.8</v>
      </c>
    </row>
    <row r="233" spans="1:16">
      <c r="A233" s="1" t="s">
        <v>151</v>
      </c>
      <c r="C233" s="1">
        <v>56.2</v>
      </c>
      <c r="D233" s="1">
        <v>56.1</v>
      </c>
      <c r="E233" s="1">
        <v>61.1</v>
      </c>
      <c r="F233" s="1">
        <v>59.4</v>
      </c>
      <c r="G233" s="1">
        <v>60.1</v>
      </c>
      <c r="H233" s="1">
        <v>70.5</v>
      </c>
      <c r="I233" s="1">
        <v>71.599999999999994</v>
      </c>
      <c r="J233" s="1">
        <v>79</v>
      </c>
      <c r="K233" s="1">
        <v>81.900000000000006</v>
      </c>
      <c r="L233" s="1">
        <v>84.9</v>
      </c>
      <c r="M233" s="1">
        <v>86.6</v>
      </c>
      <c r="N233" s="1">
        <v>87.4</v>
      </c>
      <c r="O233" s="1">
        <v>103.2</v>
      </c>
      <c r="P233" s="1">
        <v>130.5</v>
      </c>
    </row>
    <row r="234" spans="1:16">
      <c r="A234" s="1" t="s">
        <v>152</v>
      </c>
      <c r="B234" s="1">
        <f t="shared" ref="B234:N234" si="71">SUM(B231:B233)</f>
        <v>0</v>
      </c>
      <c r="C234" s="1">
        <f t="shared" si="71"/>
        <v>714</v>
      </c>
      <c r="D234" s="1">
        <f t="shared" si="71"/>
        <v>744.5</v>
      </c>
      <c r="E234" s="1">
        <f t="shared" si="71"/>
        <v>746.80000000000007</v>
      </c>
      <c r="F234" s="1">
        <f t="shared" si="71"/>
        <v>812.3</v>
      </c>
      <c r="G234" s="1">
        <f t="shared" si="71"/>
        <v>1075.8</v>
      </c>
      <c r="H234" s="1">
        <f t="shared" si="71"/>
        <v>1120.2</v>
      </c>
      <c r="I234" s="1">
        <f t="shared" si="71"/>
        <v>1167.5999999999999</v>
      </c>
      <c r="J234" s="1">
        <f t="shared" si="71"/>
        <v>1208.4000000000001</v>
      </c>
      <c r="K234" s="1">
        <f t="shared" si="71"/>
        <v>1268</v>
      </c>
      <c r="L234" s="1">
        <f t="shared" si="71"/>
        <v>1313.3000000000002</v>
      </c>
      <c r="M234" s="1">
        <f t="shared" si="71"/>
        <v>1270.2999999999997</v>
      </c>
      <c r="N234" s="1">
        <f t="shared" si="71"/>
        <v>1340.4</v>
      </c>
      <c r="O234" s="1">
        <f>SUM(O231:O233)</f>
        <v>1435.3</v>
      </c>
      <c r="P234" s="1">
        <f>SUM(P231:P233)</f>
        <v>1539.1</v>
      </c>
    </row>
    <row r="236" spans="1:16" ht="13.5" thickBot="1">
      <c r="A236" s="27" t="s">
        <v>153</v>
      </c>
      <c r="L236" s="27"/>
      <c r="M236" s="27"/>
      <c r="N236" s="27"/>
      <c r="O236" s="27"/>
    </row>
    <row r="237" spans="1:16" ht="13">
      <c r="A237" s="96"/>
      <c r="B237" s="33" t="s">
        <v>15</v>
      </c>
      <c r="C237" s="33" t="s">
        <v>14</v>
      </c>
      <c r="D237" s="33" t="s">
        <v>13</v>
      </c>
      <c r="E237" s="33" t="s">
        <v>12</v>
      </c>
      <c r="F237" s="33" t="s">
        <v>11</v>
      </c>
      <c r="G237" s="33" t="s">
        <v>10</v>
      </c>
      <c r="H237" s="33" t="s">
        <v>9</v>
      </c>
      <c r="I237" s="33" t="s">
        <v>8</v>
      </c>
      <c r="J237" s="33" t="s">
        <v>7</v>
      </c>
      <c r="K237" s="33" t="s">
        <v>6</v>
      </c>
      <c r="L237" s="33" t="s">
        <v>5</v>
      </c>
      <c r="M237" s="33" t="s">
        <v>4</v>
      </c>
      <c r="N237" s="33" t="s">
        <v>3</v>
      </c>
      <c r="O237" s="33" t="s">
        <v>2</v>
      </c>
      <c r="P237" s="33" t="s">
        <v>1</v>
      </c>
    </row>
    <row r="238" spans="1:16" ht="13">
      <c r="A238" s="73"/>
      <c r="B238" s="12" t="s">
        <v>17</v>
      </c>
      <c r="C238" s="12" t="s">
        <v>17</v>
      </c>
      <c r="D238" s="12" t="s">
        <v>17</v>
      </c>
      <c r="E238" s="12" t="s">
        <v>17</v>
      </c>
      <c r="F238" s="12" t="s">
        <v>17</v>
      </c>
      <c r="G238" s="12" t="s">
        <v>17</v>
      </c>
      <c r="H238" s="12" t="s">
        <v>154</v>
      </c>
      <c r="I238" s="12" t="s">
        <v>154</v>
      </c>
      <c r="J238" s="12" t="s">
        <v>154</v>
      </c>
      <c r="K238" s="12" t="s">
        <v>154</v>
      </c>
      <c r="L238" s="12" t="s">
        <v>17</v>
      </c>
      <c r="M238" s="12" t="s">
        <v>17</v>
      </c>
      <c r="N238" s="12" t="s">
        <v>17</v>
      </c>
      <c r="O238" s="12" t="s">
        <v>17</v>
      </c>
      <c r="P238" s="12" t="s">
        <v>17</v>
      </c>
    </row>
    <row r="239" spans="1:16" ht="13">
      <c r="A239" s="73" t="s">
        <v>155</v>
      </c>
      <c r="G239" s="36"/>
      <c r="H239" s="36"/>
      <c r="I239" s="36"/>
      <c r="J239" s="36"/>
      <c r="L239" s="73"/>
      <c r="M239" s="73"/>
      <c r="N239" s="73"/>
      <c r="O239" s="73"/>
    </row>
    <row r="240" spans="1:16">
      <c r="A240" s="58" t="s">
        <v>156</v>
      </c>
      <c r="B240" s="1">
        <v>61.9</v>
      </c>
      <c r="C240" s="1">
        <v>59.6</v>
      </c>
      <c r="D240" s="1">
        <v>58</v>
      </c>
      <c r="E240" s="1">
        <v>78.400000000000006</v>
      </c>
      <c r="F240" s="1">
        <v>73.3</v>
      </c>
      <c r="G240" s="10">
        <v>63.1</v>
      </c>
      <c r="H240" s="10">
        <v>48.3</v>
      </c>
      <c r="I240" s="10">
        <v>32.299999999999997</v>
      </c>
      <c r="J240" s="10">
        <v>153.19999999999999</v>
      </c>
      <c r="K240" s="10">
        <v>140.77016</v>
      </c>
      <c r="L240" s="58">
        <v>126</v>
      </c>
      <c r="M240" s="58">
        <v>152.30000000000001</v>
      </c>
      <c r="N240" s="58">
        <v>234.3</v>
      </c>
      <c r="O240" s="58">
        <v>236.4</v>
      </c>
      <c r="P240" s="1">
        <v>188.8</v>
      </c>
    </row>
    <row r="241" spans="1:16">
      <c r="A241" s="58" t="s">
        <v>157</v>
      </c>
      <c r="B241" s="1">
        <v>26.1</v>
      </c>
      <c r="C241" s="1">
        <v>27.8</v>
      </c>
      <c r="D241" s="1">
        <v>31.3</v>
      </c>
      <c r="E241" s="1">
        <v>34</v>
      </c>
      <c r="F241" s="1">
        <v>36.700000000000003</v>
      </c>
      <c r="G241" s="10">
        <v>46.2</v>
      </c>
      <c r="H241" s="10">
        <v>62</v>
      </c>
      <c r="I241" s="10">
        <v>66.7</v>
      </c>
      <c r="J241" s="10">
        <v>67.400000000000006</v>
      </c>
      <c r="K241" s="10">
        <v>74.3</v>
      </c>
      <c r="L241" s="58">
        <v>76.5</v>
      </c>
      <c r="M241" s="58">
        <v>84.7</v>
      </c>
      <c r="N241" s="58">
        <v>107.7</v>
      </c>
      <c r="O241" s="58">
        <v>150.19999999999999</v>
      </c>
      <c r="P241" s="1">
        <v>164.6</v>
      </c>
    </row>
    <row r="242" spans="1:16">
      <c r="A242" s="58" t="s">
        <v>158</v>
      </c>
      <c r="B242" s="1">
        <v>14.6</v>
      </c>
      <c r="C242" s="1">
        <v>15.9</v>
      </c>
      <c r="D242" s="1">
        <v>16.899999999999999</v>
      </c>
      <c r="E242" s="1">
        <v>64.099999999999994</v>
      </c>
      <c r="F242" s="1">
        <v>70.5</v>
      </c>
      <c r="G242" s="10">
        <v>72.599999999999994</v>
      </c>
      <c r="H242" s="10">
        <v>53.5</v>
      </c>
      <c r="I242" s="10">
        <v>52.7</v>
      </c>
      <c r="J242" s="10">
        <v>53.8</v>
      </c>
      <c r="K242" s="10">
        <v>55.373826999999999</v>
      </c>
      <c r="L242" s="58">
        <v>36.1</v>
      </c>
      <c r="M242" s="58">
        <v>44</v>
      </c>
      <c r="N242" s="58">
        <v>45</v>
      </c>
      <c r="O242" s="58">
        <v>45.8</v>
      </c>
      <c r="P242" s="1">
        <v>52.1</v>
      </c>
    </row>
    <row r="243" spans="1:16">
      <c r="A243" s="58" t="s">
        <v>159</v>
      </c>
      <c r="B243" s="1">
        <v>10.8</v>
      </c>
      <c r="C243" s="1">
        <v>10.6</v>
      </c>
      <c r="D243" s="1">
        <v>10.4</v>
      </c>
      <c r="E243" s="1">
        <v>10.6</v>
      </c>
      <c r="F243" s="1">
        <v>10</v>
      </c>
      <c r="G243" s="10">
        <v>10</v>
      </c>
      <c r="H243" s="10">
        <v>19.7</v>
      </c>
      <c r="I243" s="10">
        <v>22</v>
      </c>
      <c r="J243" s="10">
        <v>20.8</v>
      </c>
      <c r="K243" s="10">
        <v>21.350062999999999</v>
      </c>
      <c r="L243" s="58">
        <v>22.3</v>
      </c>
      <c r="M243" s="58">
        <v>20.8</v>
      </c>
      <c r="N243" s="58">
        <v>21.2</v>
      </c>
      <c r="O243" s="58">
        <v>21.9</v>
      </c>
      <c r="P243" s="1">
        <v>21.1</v>
      </c>
    </row>
    <row r="244" spans="1:16" ht="13" thickBot="1">
      <c r="A244" s="58" t="s">
        <v>160</v>
      </c>
      <c r="B244" s="55">
        <v>5.8</v>
      </c>
      <c r="C244" s="55">
        <v>6.5</v>
      </c>
      <c r="D244" s="55">
        <v>8.4</v>
      </c>
      <c r="E244" s="55">
        <v>11.5</v>
      </c>
      <c r="F244" s="55">
        <v>17.100000000000001</v>
      </c>
      <c r="G244" s="55">
        <v>24.7</v>
      </c>
      <c r="H244" s="55">
        <v>25.3</v>
      </c>
      <c r="I244" s="55">
        <v>32</v>
      </c>
      <c r="J244" s="55">
        <v>28.1</v>
      </c>
      <c r="K244" s="55">
        <v>28.750627999999999</v>
      </c>
      <c r="L244" s="55">
        <v>38.299999999999997</v>
      </c>
      <c r="M244" s="55">
        <v>39</v>
      </c>
      <c r="N244" s="55">
        <v>48.7</v>
      </c>
      <c r="O244" s="55">
        <v>50.8</v>
      </c>
      <c r="P244" s="55">
        <v>43.4</v>
      </c>
    </row>
    <row r="245" spans="1:16" ht="13.5" thickBot="1">
      <c r="A245" s="73" t="s">
        <v>161</v>
      </c>
      <c r="B245" s="107">
        <f t="shared" ref="B245:G245" si="72">SUM(B240:B244)</f>
        <v>119.19999999999999</v>
      </c>
      <c r="C245" s="107">
        <f t="shared" si="72"/>
        <v>120.4</v>
      </c>
      <c r="D245" s="107">
        <f t="shared" si="72"/>
        <v>125</v>
      </c>
      <c r="E245" s="107">
        <f t="shared" si="72"/>
        <v>198.6</v>
      </c>
      <c r="F245" s="107">
        <f t="shared" si="72"/>
        <v>207.6</v>
      </c>
      <c r="G245" s="107">
        <f t="shared" si="72"/>
        <v>216.6</v>
      </c>
      <c r="H245" s="107">
        <f t="shared" ref="H245" si="73">SUM(H240:H244)</f>
        <v>208.8</v>
      </c>
      <c r="I245" s="107">
        <f>SUM(I240:I244)</f>
        <v>205.7</v>
      </c>
      <c r="J245" s="107">
        <f>SUM(J240:J244)</f>
        <v>323.3</v>
      </c>
      <c r="K245" s="107">
        <f>SUM(K240:K244)</f>
        <v>320.54467799999998</v>
      </c>
      <c r="L245" s="107">
        <f t="shared" ref="L245" si="74">SUM(L240:L244)</f>
        <v>299.2</v>
      </c>
      <c r="M245" s="107">
        <f>SUM(M240:M244)</f>
        <v>340.8</v>
      </c>
      <c r="N245" s="107">
        <f>SUM(N240:N244)</f>
        <v>456.9</v>
      </c>
      <c r="O245" s="107">
        <f>SUM(O240:O244)</f>
        <v>505.1</v>
      </c>
      <c r="P245" s="107">
        <f>SUM(P240:P244)</f>
        <v>470</v>
      </c>
    </row>
    <row r="246" spans="1:16" ht="13">
      <c r="A246" s="73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</row>
    <row r="247" spans="1:16" ht="13">
      <c r="A247" s="73" t="s">
        <v>162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</row>
    <row r="248" spans="1:16">
      <c r="A248" s="58" t="s">
        <v>163</v>
      </c>
      <c r="B248" s="10">
        <v>23.9</v>
      </c>
      <c r="C248" s="10">
        <v>29.2</v>
      </c>
      <c r="D248" s="10">
        <v>38.200000000000003</v>
      </c>
      <c r="E248" s="10">
        <v>40.299999999999997</v>
      </c>
      <c r="F248" s="10">
        <v>64.8</v>
      </c>
      <c r="G248" s="10">
        <v>66.099999999999994</v>
      </c>
      <c r="H248" s="10">
        <v>83.2</v>
      </c>
      <c r="I248" s="10">
        <v>104.2</v>
      </c>
      <c r="J248" s="10">
        <v>101.9</v>
      </c>
      <c r="K248" s="46">
        <v>105.019701</v>
      </c>
      <c r="L248" s="46">
        <v>118.1</v>
      </c>
      <c r="M248" s="46">
        <v>129</v>
      </c>
      <c r="N248" s="46">
        <v>112.9</v>
      </c>
      <c r="O248" s="46">
        <v>97.6</v>
      </c>
      <c r="P248" s="1">
        <v>96.5</v>
      </c>
    </row>
    <row r="249" spans="1:16">
      <c r="A249" s="58" t="s">
        <v>164</v>
      </c>
      <c r="B249" s="10">
        <v>83</v>
      </c>
      <c r="C249" s="10">
        <v>50.4</v>
      </c>
      <c r="D249" s="10">
        <v>63.7</v>
      </c>
      <c r="E249" s="10">
        <v>57.3</v>
      </c>
      <c r="F249" s="10">
        <v>68.8</v>
      </c>
      <c r="G249" s="10">
        <v>58</v>
      </c>
      <c r="H249" s="10">
        <v>61.5</v>
      </c>
      <c r="I249" s="10">
        <v>119.7</v>
      </c>
      <c r="J249" s="10">
        <v>53.2</v>
      </c>
      <c r="K249" s="46">
        <v>64.633044999999996</v>
      </c>
      <c r="L249" s="46">
        <v>71.8</v>
      </c>
      <c r="M249" s="46">
        <v>100.7</v>
      </c>
      <c r="N249" s="46">
        <v>107.9</v>
      </c>
      <c r="O249" s="46">
        <v>63.5</v>
      </c>
      <c r="P249" s="1">
        <v>85.3</v>
      </c>
    </row>
    <row r="250" spans="1:16">
      <c r="A250" s="58" t="s">
        <v>157</v>
      </c>
      <c r="B250" s="10">
        <v>1.5</v>
      </c>
      <c r="C250" s="10">
        <v>1.8</v>
      </c>
      <c r="D250" s="10">
        <v>1.8</v>
      </c>
      <c r="E250" s="10">
        <v>2</v>
      </c>
      <c r="F250" s="10">
        <v>2.2999999999999998</v>
      </c>
      <c r="G250" s="10">
        <v>2.2999999999999998</v>
      </c>
      <c r="H250" s="10">
        <v>2.4</v>
      </c>
      <c r="I250" s="10">
        <v>2.7</v>
      </c>
      <c r="J250" s="10">
        <v>2.6</v>
      </c>
      <c r="K250" s="46">
        <v>2.6</v>
      </c>
      <c r="L250" s="46">
        <v>2.6</v>
      </c>
      <c r="M250" s="46">
        <v>3.1</v>
      </c>
      <c r="N250" s="46">
        <v>3.9</v>
      </c>
      <c r="O250" s="46">
        <v>4.3</v>
      </c>
      <c r="P250" s="1">
        <v>4.5</v>
      </c>
    </row>
    <row r="251" spans="1:16">
      <c r="A251" s="58" t="s">
        <v>158</v>
      </c>
      <c r="B251" s="10">
        <v>0.4</v>
      </c>
      <c r="C251" s="10">
        <v>0.7</v>
      </c>
      <c r="D251" s="10">
        <v>0.6</v>
      </c>
      <c r="E251" s="10">
        <v>1</v>
      </c>
      <c r="F251" s="10">
        <v>0.6</v>
      </c>
      <c r="G251" s="10">
        <v>1.7</v>
      </c>
      <c r="H251" s="10">
        <v>0.9</v>
      </c>
      <c r="I251" s="10">
        <v>1.1000000000000001</v>
      </c>
      <c r="J251" s="10">
        <v>1</v>
      </c>
      <c r="K251" s="46">
        <v>0.85636999999999996</v>
      </c>
      <c r="L251" s="46">
        <v>1</v>
      </c>
      <c r="M251" s="46">
        <v>0.8</v>
      </c>
      <c r="N251" s="46">
        <v>1.4</v>
      </c>
      <c r="O251" s="46">
        <v>1.6</v>
      </c>
      <c r="P251" s="1">
        <v>1.2</v>
      </c>
    </row>
    <row r="252" spans="1:16">
      <c r="A252" s="58" t="s">
        <v>165</v>
      </c>
      <c r="B252" s="10">
        <v>9.1999999999999993</v>
      </c>
      <c r="C252" s="10">
        <v>9.1999999999999993</v>
      </c>
      <c r="D252" s="10">
        <v>9.3000000000000007</v>
      </c>
      <c r="E252" s="10">
        <v>9.5</v>
      </c>
      <c r="F252" s="10">
        <v>9</v>
      </c>
      <c r="G252" s="10">
        <v>8.9</v>
      </c>
      <c r="H252" s="10">
        <v>7.2</v>
      </c>
      <c r="I252" s="10">
        <v>9</v>
      </c>
      <c r="J252" s="10">
        <v>9.9</v>
      </c>
      <c r="K252" s="46">
        <v>11.800738000000001</v>
      </c>
      <c r="L252" s="46">
        <v>12.9</v>
      </c>
      <c r="M252" s="46">
        <v>12.4</v>
      </c>
      <c r="N252" s="46">
        <v>33.799999999999997</v>
      </c>
      <c r="O252" s="46">
        <v>36.4</v>
      </c>
      <c r="P252" s="1">
        <v>35.799999999999997</v>
      </c>
    </row>
    <row r="253" spans="1:16" ht="13" thickBot="1">
      <c r="A253" s="58" t="s">
        <v>160</v>
      </c>
      <c r="B253" s="55">
        <v>10</v>
      </c>
      <c r="C253" s="55">
        <v>11.4</v>
      </c>
      <c r="D253" s="55">
        <v>11.9</v>
      </c>
      <c r="E253" s="55">
        <v>7.5</v>
      </c>
      <c r="F253" s="55">
        <v>6</v>
      </c>
      <c r="G253" s="55">
        <v>11.9</v>
      </c>
      <c r="H253" s="55">
        <v>9</v>
      </c>
      <c r="I253" s="55">
        <v>16.5</v>
      </c>
      <c r="J253" s="55">
        <v>15.7</v>
      </c>
      <c r="K253" s="47">
        <v>9.3711870000000008</v>
      </c>
      <c r="L253" s="47">
        <v>10.6</v>
      </c>
      <c r="M253" s="47">
        <v>18.899999999999999</v>
      </c>
      <c r="N253" s="47">
        <v>8</v>
      </c>
      <c r="O253" s="47">
        <v>12.6</v>
      </c>
      <c r="P253" s="47">
        <v>14.3</v>
      </c>
    </row>
    <row r="254" spans="1:16" ht="13.5" thickBot="1">
      <c r="A254" s="73" t="s">
        <v>166</v>
      </c>
      <c r="B254" s="107">
        <f t="shared" ref="B254:G254" si="75">SUM(B248:B253)</f>
        <v>128</v>
      </c>
      <c r="C254" s="107">
        <f t="shared" si="75"/>
        <v>102.7</v>
      </c>
      <c r="D254" s="107">
        <f t="shared" si="75"/>
        <v>125.5</v>
      </c>
      <c r="E254" s="107">
        <f t="shared" si="75"/>
        <v>117.6</v>
      </c>
      <c r="F254" s="107">
        <f t="shared" si="75"/>
        <v>151.5</v>
      </c>
      <c r="G254" s="107">
        <f t="shared" si="75"/>
        <v>148.9</v>
      </c>
      <c r="H254" s="107">
        <f t="shared" ref="H254" si="76">SUM(H248:H253)</f>
        <v>164.2</v>
      </c>
      <c r="I254" s="107">
        <f>SUM(I248:I253)</f>
        <v>253.2</v>
      </c>
      <c r="J254" s="107">
        <f>SUM(J248:J253)</f>
        <v>184.3</v>
      </c>
      <c r="K254" s="107">
        <f>SUM(K248:K253)</f>
        <v>194.28104099999996</v>
      </c>
      <c r="L254" s="107">
        <f t="shared" ref="L254" si="77">SUM(L248:L253)</f>
        <v>216.99999999999997</v>
      </c>
      <c r="M254" s="107">
        <f>SUM(M248:M253)</f>
        <v>264.89999999999998</v>
      </c>
      <c r="N254" s="107">
        <f>SUM(N248:N253)</f>
        <v>267.90000000000003</v>
      </c>
      <c r="O254" s="107">
        <f>SUM(O248:O253)</f>
        <v>216</v>
      </c>
      <c r="P254" s="107">
        <f>SUM(P248:P253)</f>
        <v>237.60000000000002</v>
      </c>
    </row>
    <row r="255" spans="1:16" ht="13.5" thickBot="1">
      <c r="A255" s="99" t="s">
        <v>167</v>
      </c>
      <c r="B255" s="55">
        <f>B254+B245</f>
        <v>247.2</v>
      </c>
      <c r="C255" s="55">
        <f>C254+C245</f>
        <v>223.10000000000002</v>
      </c>
      <c r="D255" s="55">
        <f>D254+D245</f>
        <v>250.5</v>
      </c>
      <c r="E255" s="55">
        <f>E254+E245</f>
        <v>316.2</v>
      </c>
      <c r="F255" s="55">
        <f t="shared" ref="F255" si="78">F254+F245</f>
        <v>359.1</v>
      </c>
      <c r="G255" s="55">
        <f>G254+G245</f>
        <v>365.5</v>
      </c>
      <c r="H255" s="55">
        <f>H254+H245</f>
        <v>373</v>
      </c>
      <c r="I255" s="55">
        <f>I254+I245</f>
        <v>458.9</v>
      </c>
      <c r="J255" s="55">
        <f>J254+J245</f>
        <v>507.6</v>
      </c>
      <c r="K255" s="55">
        <f>K254+K245</f>
        <v>514.82571899999994</v>
      </c>
      <c r="L255" s="55">
        <f t="shared" ref="L255" si="79">L254+L245</f>
        <v>516.19999999999993</v>
      </c>
      <c r="M255" s="55">
        <f>M254+M245</f>
        <v>605.70000000000005</v>
      </c>
      <c r="N255" s="55">
        <f>N254+N245</f>
        <v>724.8</v>
      </c>
      <c r="O255" s="55">
        <f>O254+O245</f>
        <v>721.1</v>
      </c>
      <c r="P255" s="55">
        <f>P254+P245</f>
        <v>707.6</v>
      </c>
    </row>
    <row r="259" spans="1:16" ht="13.5" thickBot="1">
      <c r="A259" s="27" t="s">
        <v>168</v>
      </c>
      <c r="L259" s="27"/>
      <c r="M259" s="27"/>
      <c r="N259" s="27"/>
      <c r="O259" s="27"/>
    </row>
    <row r="260" spans="1:16" ht="13">
      <c r="A260" s="108"/>
      <c r="B260" s="33" t="s">
        <v>15</v>
      </c>
      <c r="C260" s="33" t="s">
        <v>14</v>
      </c>
      <c r="D260" s="33" t="s">
        <v>13</v>
      </c>
      <c r="E260" s="33" t="s">
        <v>12</v>
      </c>
      <c r="F260" s="33" t="s">
        <v>11</v>
      </c>
      <c r="G260" s="33" t="s">
        <v>10</v>
      </c>
      <c r="H260" s="33" t="s">
        <v>9</v>
      </c>
      <c r="I260" s="33" t="s">
        <v>8</v>
      </c>
      <c r="J260" s="33" t="s">
        <v>7</v>
      </c>
      <c r="K260" s="33" t="s">
        <v>6</v>
      </c>
      <c r="L260" s="33" t="s">
        <v>5</v>
      </c>
      <c r="M260" s="33" t="s">
        <v>4</v>
      </c>
      <c r="N260" s="33" t="s">
        <v>3</v>
      </c>
      <c r="O260" s="33" t="s">
        <v>2</v>
      </c>
      <c r="P260" s="33" t="s">
        <v>1</v>
      </c>
    </row>
    <row r="261" spans="1:16" ht="13">
      <c r="A261" s="73"/>
      <c r="B261" s="12" t="s">
        <v>17</v>
      </c>
      <c r="C261" s="12" t="s">
        <v>17</v>
      </c>
      <c r="D261" s="12" t="s">
        <v>17</v>
      </c>
      <c r="E261" s="12" t="s">
        <v>17</v>
      </c>
      <c r="F261" s="12" t="s">
        <v>17</v>
      </c>
      <c r="G261" s="12" t="s">
        <v>17</v>
      </c>
      <c r="H261" s="12" t="s">
        <v>17</v>
      </c>
      <c r="I261" s="12" t="s">
        <v>17</v>
      </c>
      <c r="J261" s="12" t="s">
        <v>17</v>
      </c>
      <c r="K261" s="12" t="s">
        <v>17</v>
      </c>
      <c r="L261" s="12" t="s">
        <v>17</v>
      </c>
      <c r="M261" s="12" t="s">
        <v>17</v>
      </c>
      <c r="N261" s="12" t="s">
        <v>17</v>
      </c>
      <c r="O261" s="12" t="s">
        <v>17</v>
      </c>
      <c r="P261" s="12" t="s">
        <v>17</v>
      </c>
    </row>
    <row r="262" spans="1:16">
      <c r="A262" s="109" t="s">
        <v>169</v>
      </c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</row>
    <row r="263" spans="1:16">
      <c r="A263" s="109" t="s">
        <v>170</v>
      </c>
      <c r="B263" s="44">
        <v>1.7</v>
      </c>
      <c r="C263" s="44">
        <v>4.5</v>
      </c>
      <c r="D263" s="44">
        <v>4.4000000000000004</v>
      </c>
      <c r="E263" s="44">
        <v>3.6</v>
      </c>
      <c r="F263" s="44">
        <v>4.8</v>
      </c>
      <c r="G263" s="44">
        <v>5.0999999999999996</v>
      </c>
      <c r="H263" s="44">
        <v>5</v>
      </c>
      <c r="I263" s="44">
        <v>5.2</v>
      </c>
      <c r="J263" s="44">
        <v>5</v>
      </c>
      <c r="K263" s="44">
        <v>5.6</v>
      </c>
      <c r="L263" s="44">
        <v>5.5</v>
      </c>
      <c r="M263" s="44">
        <v>4.5</v>
      </c>
      <c r="N263" s="44">
        <v>4.2</v>
      </c>
      <c r="O263" s="44">
        <v>4</v>
      </c>
      <c r="P263" s="1">
        <v>3.8</v>
      </c>
    </row>
    <row r="264" spans="1:16">
      <c r="A264" s="109" t="s">
        <v>171</v>
      </c>
      <c r="B264" s="44">
        <v>0.6</v>
      </c>
      <c r="C264" s="44">
        <v>0.8</v>
      </c>
      <c r="D264" s="44">
        <v>0.7</v>
      </c>
      <c r="E264" s="44">
        <v>0.8</v>
      </c>
      <c r="F264" s="44">
        <v>1</v>
      </c>
      <c r="G264" s="44">
        <v>1.2</v>
      </c>
      <c r="H264" s="44">
        <v>0.8</v>
      </c>
      <c r="I264" s="44">
        <v>0.9</v>
      </c>
      <c r="J264" s="44">
        <v>1.7</v>
      </c>
      <c r="K264" s="44">
        <v>1.8</v>
      </c>
      <c r="L264" s="44">
        <v>2</v>
      </c>
      <c r="M264" s="44">
        <v>1.5</v>
      </c>
      <c r="N264" s="44">
        <v>1.5</v>
      </c>
      <c r="O264" s="44">
        <v>1.3</v>
      </c>
      <c r="P264" s="1">
        <v>1</v>
      </c>
    </row>
    <row r="265" spans="1:16">
      <c r="A265" s="109" t="s">
        <v>172</v>
      </c>
      <c r="B265" s="44">
        <v>12.4</v>
      </c>
      <c r="C265" s="44">
        <v>13.2</v>
      </c>
      <c r="D265" s="44">
        <v>13</v>
      </c>
      <c r="E265" s="44">
        <v>14.1</v>
      </c>
      <c r="F265" s="44">
        <f>15.4-0.4</f>
        <v>15</v>
      </c>
      <c r="G265" s="44">
        <v>6.5</v>
      </c>
      <c r="H265" s="44">
        <v>9.4</v>
      </c>
      <c r="I265" s="44">
        <v>9.4</v>
      </c>
      <c r="J265" s="44">
        <v>11.8</v>
      </c>
      <c r="K265" s="44">
        <v>8.4</v>
      </c>
      <c r="L265" s="44">
        <v>9.4</v>
      </c>
      <c r="M265" s="44">
        <v>9.1999999999999993</v>
      </c>
      <c r="N265" s="44">
        <v>8.1999999999999993</v>
      </c>
      <c r="O265" s="44">
        <v>10.199999999999999</v>
      </c>
      <c r="P265" s="1">
        <v>11.2</v>
      </c>
    </row>
    <row r="266" spans="1:16">
      <c r="A266" s="109" t="s">
        <v>173</v>
      </c>
      <c r="B266" s="44">
        <v>0</v>
      </c>
      <c r="C266" s="44">
        <v>0</v>
      </c>
      <c r="D266" s="44">
        <v>0</v>
      </c>
      <c r="E266" s="44">
        <v>0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4">
        <v>3.9</v>
      </c>
      <c r="M266" s="44">
        <v>3.7</v>
      </c>
      <c r="N266" s="44">
        <v>4.5999999999999996</v>
      </c>
      <c r="O266" s="44">
        <v>4</v>
      </c>
      <c r="P266" s="1">
        <v>2.6</v>
      </c>
    </row>
    <row r="267" spans="1:16">
      <c r="A267" s="109" t="s">
        <v>174</v>
      </c>
      <c r="B267" s="44">
        <v>0.8</v>
      </c>
      <c r="C267" s="44">
        <v>1.1000000000000001</v>
      </c>
      <c r="D267" s="44">
        <v>1.1000000000000001</v>
      </c>
      <c r="E267" s="44">
        <v>0.7</v>
      </c>
      <c r="F267" s="44">
        <f>0.9+0.3</f>
        <v>1.2</v>
      </c>
      <c r="G267" s="44">
        <v>1.2</v>
      </c>
      <c r="H267" s="44">
        <v>1.1000000000000001</v>
      </c>
      <c r="I267" s="44">
        <v>1.1000000000000001</v>
      </c>
      <c r="J267" s="44">
        <v>1.7</v>
      </c>
      <c r="K267" s="44">
        <v>1.4</v>
      </c>
      <c r="L267" s="44">
        <v>1.6</v>
      </c>
      <c r="M267" s="44">
        <v>1.4</v>
      </c>
      <c r="N267" s="44">
        <v>1.4</v>
      </c>
      <c r="O267" s="44">
        <v>1.2</v>
      </c>
      <c r="P267" s="1">
        <v>1.5</v>
      </c>
    </row>
    <row r="268" spans="1:16">
      <c r="A268" s="109" t="s">
        <v>175</v>
      </c>
      <c r="B268" s="44">
        <v>0</v>
      </c>
      <c r="C268" s="44">
        <v>0</v>
      </c>
      <c r="D268" s="44">
        <v>0</v>
      </c>
      <c r="E268" s="44">
        <v>0</v>
      </c>
      <c r="F268" s="44">
        <v>0</v>
      </c>
      <c r="G268" s="44">
        <v>2.7</v>
      </c>
      <c r="H268" s="44">
        <v>2.1</v>
      </c>
      <c r="I268" s="44">
        <v>2</v>
      </c>
      <c r="J268" s="44">
        <v>2</v>
      </c>
      <c r="K268" s="44">
        <v>2.1</v>
      </c>
      <c r="L268" s="44">
        <v>2.2999999999999998</v>
      </c>
      <c r="M268" s="44">
        <v>2.5</v>
      </c>
      <c r="N268" s="44">
        <v>3.1</v>
      </c>
      <c r="O268" s="44">
        <v>3.6</v>
      </c>
      <c r="P268" s="1">
        <v>4</v>
      </c>
    </row>
    <row r="269" spans="1:16">
      <c r="A269" s="109" t="s">
        <v>176</v>
      </c>
      <c r="B269" s="110">
        <v>0</v>
      </c>
      <c r="C269" s="110">
        <v>0</v>
      </c>
      <c r="D269" s="110">
        <v>0</v>
      </c>
      <c r="E269" s="110">
        <v>0</v>
      </c>
      <c r="F269" s="110">
        <v>0</v>
      </c>
      <c r="G269" s="110">
        <v>0</v>
      </c>
      <c r="H269" s="110">
        <v>0</v>
      </c>
      <c r="I269" s="110">
        <v>0</v>
      </c>
      <c r="J269" s="110">
        <v>0</v>
      </c>
      <c r="K269" s="110">
        <v>1.8</v>
      </c>
      <c r="L269" s="110">
        <v>1.7</v>
      </c>
      <c r="M269" s="110">
        <v>1.6</v>
      </c>
      <c r="N269" s="110">
        <v>3.2</v>
      </c>
      <c r="O269" s="110">
        <v>1.2</v>
      </c>
      <c r="P269" s="1">
        <v>0.8</v>
      </c>
    </row>
    <row r="270" spans="1:16" ht="13" thickBot="1">
      <c r="A270" s="109" t="s">
        <v>177</v>
      </c>
      <c r="B270" s="111">
        <v>0.2</v>
      </c>
      <c r="C270" s="111">
        <v>0.2</v>
      </c>
      <c r="D270" s="111">
        <v>0.2</v>
      </c>
      <c r="E270" s="111">
        <v>0.3</v>
      </c>
      <c r="F270" s="111">
        <v>0</v>
      </c>
      <c r="G270" s="111">
        <v>0</v>
      </c>
      <c r="H270" s="111">
        <v>0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</row>
    <row r="271" spans="1:16" ht="13">
      <c r="A271" s="112" t="s">
        <v>178</v>
      </c>
      <c r="B271" s="113">
        <f t="shared" ref="B271:G271" si="80">SUM(B263:B270)</f>
        <v>15.7</v>
      </c>
      <c r="C271" s="113">
        <f t="shared" si="80"/>
        <v>19.8</v>
      </c>
      <c r="D271" s="113">
        <f t="shared" si="80"/>
        <v>19.400000000000002</v>
      </c>
      <c r="E271" s="113">
        <f t="shared" si="80"/>
        <v>19.5</v>
      </c>
      <c r="F271" s="113">
        <f t="shared" si="80"/>
        <v>22</v>
      </c>
      <c r="G271" s="113">
        <f t="shared" si="80"/>
        <v>16.7</v>
      </c>
      <c r="H271" s="113">
        <f t="shared" ref="H271" si="81">SUM(H263:H270)</f>
        <v>18.400000000000002</v>
      </c>
      <c r="I271" s="113">
        <f t="shared" ref="I271:O271" si="82">SUM(I263:I270)</f>
        <v>18.600000000000001</v>
      </c>
      <c r="J271" s="113">
        <f t="shared" si="82"/>
        <v>22.2</v>
      </c>
      <c r="K271" s="113">
        <f t="shared" si="82"/>
        <v>21.1</v>
      </c>
      <c r="L271" s="113">
        <f t="shared" si="82"/>
        <v>26.4</v>
      </c>
      <c r="M271" s="113">
        <f t="shared" si="82"/>
        <v>24.4</v>
      </c>
      <c r="N271" s="113">
        <f t="shared" si="82"/>
        <v>26.2</v>
      </c>
      <c r="O271" s="113">
        <f t="shared" si="82"/>
        <v>25.5</v>
      </c>
      <c r="P271" s="113">
        <f>SUM(P263:P270)</f>
        <v>24.900000000000002</v>
      </c>
    </row>
    <row r="272" spans="1:16">
      <c r="A272" s="109" t="s">
        <v>179</v>
      </c>
      <c r="B272" s="49">
        <v>-2.1</v>
      </c>
      <c r="C272" s="49">
        <v>-4.7</v>
      </c>
      <c r="D272" s="49">
        <v>-3.5</v>
      </c>
      <c r="E272" s="49">
        <v>-3.9</v>
      </c>
      <c r="F272" s="49">
        <v>-4.3</v>
      </c>
      <c r="G272" s="49">
        <v>-4</v>
      </c>
      <c r="H272" s="49">
        <v>-4</v>
      </c>
      <c r="I272" s="49">
        <v>-3.4</v>
      </c>
      <c r="J272" s="49">
        <v>-3.1</v>
      </c>
      <c r="K272" s="49">
        <v>-3.3</v>
      </c>
      <c r="L272" s="49">
        <v>-4.0999999999999996</v>
      </c>
      <c r="M272" s="49">
        <v>-3.8</v>
      </c>
      <c r="N272" s="49">
        <v>-3.8</v>
      </c>
      <c r="O272" s="49">
        <v>-2.8</v>
      </c>
      <c r="P272" s="49">
        <v>-3.7</v>
      </c>
    </row>
    <row r="273" spans="1:16" ht="13" thickBot="1">
      <c r="A273" s="109" t="s">
        <v>180</v>
      </c>
      <c r="B273" s="52">
        <v>0.8</v>
      </c>
      <c r="C273" s="52"/>
      <c r="D273" s="52" t="s">
        <v>21</v>
      </c>
      <c r="E273" s="52">
        <v>1</v>
      </c>
      <c r="F273" s="52" t="s">
        <v>21</v>
      </c>
      <c r="G273" s="52" t="s">
        <v>21</v>
      </c>
      <c r="H273" s="52" t="s">
        <v>21</v>
      </c>
      <c r="I273" s="52" t="s">
        <v>21</v>
      </c>
      <c r="J273" s="52" t="s">
        <v>21</v>
      </c>
      <c r="K273" s="52" t="s">
        <v>21</v>
      </c>
      <c r="L273" s="52" t="s">
        <v>21</v>
      </c>
      <c r="M273" s="52" t="s">
        <v>21</v>
      </c>
      <c r="N273" s="52" t="s">
        <v>21</v>
      </c>
      <c r="O273" s="52" t="s">
        <v>21</v>
      </c>
      <c r="P273" s="52" t="s">
        <v>21</v>
      </c>
    </row>
    <row r="274" spans="1:16" ht="13">
      <c r="A274" s="112" t="s">
        <v>181</v>
      </c>
      <c r="B274" s="114">
        <f>SUM(B271:B273)</f>
        <v>14.4</v>
      </c>
      <c r="C274" s="114">
        <f t="shared" ref="C274" si="83">SUM(C271:C273)</f>
        <v>15.100000000000001</v>
      </c>
      <c r="D274" s="114">
        <f>SUM(D271:D273)</f>
        <v>15.900000000000002</v>
      </c>
      <c r="E274" s="114">
        <f>SUM(E271:E273)</f>
        <v>16.600000000000001</v>
      </c>
      <c r="F274" s="114">
        <f>SUM(F271:F273)</f>
        <v>17.7</v>
      </c>
      <c r="G274" s="114">
        <f>SUM(G271:G273)</f>
        <v>12.7</v>
      </c>
      <c r="H274" s="114">
        <f t="shared" ref="H274" si="84">SUM(H271:H273)</f>
        <v>14.400000000000002</v>
      </c>
      <c r="I274" s="114">
        <f t="shared" ref="I274:O274" si="85">SUM(I271:I273)</f>
        <v>15.200000000000001</v>
      </c>
      <c r="J274" s="114">
        <f t="shared" si="85"/>
        <v>19.099999999999998</v>
      </c>
      <c r="K274" s="114">
        <f t="shared" si="85"/>
        <v>17.8</v>
      </c>
      <c r="L274" s="114">
        <f t="shared" si="85"/>
        <v>22.299999999999997</v>
      </c>
      <c r="M274" s="114">
        <f t="shared" si="85"/>
        <v>20.599999999999998</v>
      </c>
      <c r="N274" s="114">
        <f t="shared" si="85"/>
        <v>22.4</v>
      </c>
      <c r="O274" s="114">
        <f t="shared" si="85"/>
        <v>22.7</v>
      </c>
      <c r="P274" s="114">
        <f>SUM(P271:P273)</f>
        <v>21.200000000000003</v>
      </c>
    </row>
    <row r="275" spans="1:16">
      <c r="A275" s="10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</row>
    <row r="276" spans="1:16">
      <c r="A276" s="109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</row>
    <row r="277" spans="1:16">
      <c r="A277" s="109" t="s">
        <v>182</v>
      </c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</row>
    <row r="278" spans="1:16">
      <c r="A278" s="109" t="s">
        <v>183</v>
      </c>
      <c r="B278" s="110">
        <v>80.900000000000006</v>
      </c>
      <c r="C278" s="110">
        <v>85.8</v>
      </c>
      <c r="D278" s="110">
        <v>85.2</v>
      </c>
      <c r="E278" s="110">
        <v>82.4</v>
      </c>
      <c r="F278" s="110">
        <v>89.3</v>
      </c>
      <c r="G278" s="110">
        <v>89.7</v>
      </c>
      <c r="H278" s="110">
        <v>95.6</v>
      </c>
      <c r="I278" s="110">
        <v>99.6</v>
      </c>
      <c r="J278" s="110">
        <v>111.6</v>
      </c>
      <c r="K278" s="110">
        <v>116.9</v>
      </c>
      <c r="L278" s="110">
        <v>101.6</v>
      </c>
      <c r="M278" s="110">
        <v>94.4</v>
      </c>
      <c r="N278" s="110">
        <v>122.6</v>
      </c>
      <c r="O278" s="110">
        <v>132.6</v>
      </c>
      <c r="P278" s="1">
        <v>146.5</v>
      </c>
    </row>
    <row r="279" spans="1:16">
      <c r="A279" s="109" t="s">
        <v>184</v>
      </c>
      <c r="B279" s="110">
        <v>23.8</v>
      </c>
      <c r="C279" s="110">
        <v>23.1</v>
      </c>
      <c r="D279" s="110">
        <v>21.6</v>
      </c>
      <c r="E279" s="110">
        <v>22.6</v>
      </c>
      <c r="F279" s="110">
        <v>25.8</v>
      </c>
      <c r="G279" s="110">
        <v>27.9</v>
      </c>
      <c r="H279" s="110">
        <v>26</v>
      </c>
      <c r="I279" s="110">
        <v>28</v>
      </c>
      <c r="J279" s="110">
        <v>29.4</v>
      </c>
      <c r="K279" s="110">
        <v>28.2</v>
      </c>
      <c r="L279" s="110">
        <v>35.5</v>
      </c>
      <c r="M279" s="110">
        <v>65.400000000000006</v>
      </c>
      <c r="N279" s="110">
        <v>49.6</v>
      </c>
      <c r="O279" s="110">
        <v>56.6</v>
      </c>
      <c r="P279" s="1">
        <v>56.7</v>
      </c>
    </row>
    <row r="280" spans="1:16">
      <c r="A280" s="109" t="s">
        <v>171</v>
      </c>
      <c r="B280" s="110">
        <v>11.9</v>
      </c>
      <c r="C280" s="110">
        <v>9.8000000000000007</v>
      </c>
      <c r="D280" s="110">
        <v>8.6</v>
      </c>
      <c r="E280" s="110">
        <v>8.5</v>
      </c>
      <c r="F280" s="110">
        <v>7.9</v>
      </c>
      <c r="G280" s="110">
        <v>8.6999999999999993</v>
      </c>
      <c r="H280" s="110">
        <v>8.9</v>
      </c>
      <c r="I280" s="110">
        <v>9.6999999999999993</v>
      </c>
      <c r="J280" s="110">
        <v>10.5</v>
      </c>
      <c r="K280" s="110">
        <v>14.4</v>
      </c>
      <c r="L280" s="110">
        <v>11.8</v>
      </c>
      <c r="M280" s="110">
        <v>10.4</v>
      </c>
      <c r="N280" s="110">
        <v>9.9</v>
      </c>
      <c r="O280" s="110">
        <v>11.7</v>
      </c>
      <c r="P280" s="1">
        <v>11.1</v>
      </c>
    </row>
    <row r="281" spans="1:16">
      <c r="A281" s="109" t="s">
        <v>172</v>
      </c>
      <c r="B281" s="110">
        <v>18.100000000000001</v>
      </c>
      <c r="C281" s="110">
        <v>17.2</v>
      </c>
      <c r="D281" s="110">
        <v>13.5</v>
      </c>
      <c r="E281" s="110">
        <v>12.4</v>
      </c>
      <c r="F281" s="110">
        <f>14.4+0.1+0.9</f>
        <v>15.4</v>
      </c>
      <c r="G281" s="110">
        <v>10.5</v>
      </c>
      <c r="H281" s="110">
        <v>10.8</v>
      </c>
      <c r="I281" s="110">
        <v>24.3</v>
      </c>
      <c r="J281" s="110">
        <v>12.8</v>
      </c>
      <c r="K281" s="110">
        <v>12.9</v>
      </c>
      <c r="L281" s="110">
        <v>13</v>
      </c>
      <c r="M281" s="110">
        <v>18.2</v>
      </c>
      <c r="N281" s="110">
        <v>17.5</v>
      </c>
      <c r="O281" s="110">
        <v>17.2</v>
      </c>
      <c r="P281" s="1">
        <v>17.399999999999999</v>
      </c>
    </row>
    <row r="282" spans="1:16">
      <c r="A282" s="109" t="s">
        <v>173</v>
      </c>
      <c r="B282" s="110">
        <v>0</v>
      </c>
      <c r="C282" s="110">
        <v>0</v>
      </c>
      <c r="D282" s="110">
        <v>0</v>
      </c>
      <c r="E282" s="110">
        <v>0</v>
      </c>
      <c r="F282" s="110">
        <v>0</v>
      </c>
      <c r="G282" s="110">
        <v>0</v>
      </c>
      <c r="H282" s="110">
        <v>0</v>
      </c>
      <c r="I282" s="110">
        <v>0</v>
      </c>
      <c r="J282" s="110">
        <v>0</v>
      </c>
      <c r="K282" s="110">
        <v>0</v>
      </c>
      <c r="L282" s="110">
        <v>0</v>
      </c>
      <c r="M282" s="110">
        <v>0</v>
      </c>
      <c r="N282" s="110">
        <v>0</v>
      </c>
      <c r="O282" s="110">
        <v>0.7</v>
      </c>
      <c r="P282" s="1">
        <v>1.9</v>
      </c>
    </row>
    <row r="283" spans="1:16">
      <c r="A283" s="109" t="s">
        <v>174</v>
      </c>
      <c r="B283" s="110">
        <v>7.6</v>
      </c>
      <c r="C283" s="110">
        <v>8.6999999999999993</v>
      </c>
      <c r="D283" s="110">
        <v>10.6</v>
      </c>
      <c r="E283" s="110">
        <v>9.9</v>
      </c>
      <c r="F283" s="110">
        <v>9.6999999999999993</v>
      </c>
      <c r="G283" s="110">
        <v>11.1</v>
      </c>
      <c r="H283" s="110">
        <v>13.6</v>
      </c>
      <c r="I283" s="110">
        <v>10.9</v>
      </c>
      <c r="J283" s="110">
        <v>11.9</v>
      </c>
      <c r="K283" s="110">
        <v>12.8</v>
      </c>
      <c r="L283" s="110">
        <v>13.6</v>
      </c>
      <c r="M283" s="110">
        <v>14.3</v>
      </c>
      <c r="N283" s="110">
        <v>13.2</v>
      </c>
      <c r="O283" s="110">
        <v>13.1</v>
      </c>
      <c r="P283" s="1">
        <v>14</v>
      </c>
    </row>
    <row r="284" spans="1:16">
      <c r="A284" s="109" t="s">
        <v>175</v>
      </c>
      <c r="B284" s="110">
        <v>0</v>
      </c>
      <c r="C284" s="110">
        <v>0</v>
      </c>
      <c r="D284" s="110">
        <v>0</v>
      </c>
      <c r="E284" s="110">
        <v>0</v>
      </c>
      <c r="F284" s="110">
        <v>0</v>
      </c>
      <c r="G284" s="110">
        <v>1.5</v>
      </c>
      <c r="H284" s="110">
        <v>0.4</v>
      </c>
      <c r="I284" s="110">
        <v>0.4</v>
      </c>
      <c r="J284" s="110">
        <v>0.4</v>
      </c>
      <c r="K284" s="110">
        <v>0.4</v>
      </c>
      <c r="L284" s="110">
        <v>0.3</v>
      </c>
      <c r="M284" s="110">
        <v>0.4</v>
      </c>
      <c r="N284" s="110">
        <v>0.6</v>
      </c>
      <c r="O284" s="110">
        <v>1</v>
      </c>
      <c r="P284" s="1">
        <v>1</v>
      </c>
    </row>
    <row r="285" spans="1:16">
      <c r="A285" s="109" t="s">
        <v>185</v>
      </c>
      <c r="B285" s="110">
        <v>0</v>
      </c>
      <c r="C285" s="110">
        <v>0</v>
      </c>
      <c r="D285" s="110">
        <v>0</v>
      </c>
      <c r="E285" s="110">
        <v>0</v>
      </c>
      <c r="F285" s="110">
        <v>0</v>
      </c>
      <c r="G285" s="110">
        <v>2.2000000000000002</v>
      </c>
      <c r="H285" s="110">
        <v>2.5</v>
      </c>
      <c r="I285" s="110">
        <v>2.7</v>
      </c>
      <c r="J285" s="110">
        <v>3</v>
      </c>
      <c r="K285" s="110">
        <v>3.2</v>
      </c>
      <c r="L285" s="110">
        <v>3.4</v>
      </c>
      <c r="M285" s="110">
        <v>3.6</v>
      </c>
      <c r="N285" s="110">
        <v>3.8</v>
      </c>
      <c r="O285" s="110">
        <v>4.0999999999999996</v>
      </c>
      <c r="P285" s="1">
        <v>4.4000000000000004</v>
      </c>
    </row>
    <row r="286" spans="1:16">
      <c r="A286" s="109" t="s">
        <v>176</v>
      </c>
      <c r="B286" s="110">
        <v>0</v>
      </c>
      <c r="C286" s="110">
        <v>0</v>
      </c>
      <c r="D286" s="110">
        <v>0</v>
      </c>
      <c r="E286" s="110">
        <v>0</v>
      </c>
      <c r="F286" s="110">
        <v>0</v>
      </c>
      <c r="G286" s="110">
        <v>0</v>
      </c>
      <c r="H286" s="110">
        <v>0</v>
      </c>
      <c r="I286" s="110">
        <v>0</v>
      </c>
      <c r="J286" s="110">
        <v>0</v>
      </c>
      <c r="K286" s="110">
        <v>3.9</v>
      </c>
      <c r="L286" s="110">
        <v>3.7</v>
      </c>
      <c r="M286" s="110">
        <v>3.5</v>
      </c>
      <c r="N286" s="110">
        <v>3.9</v>
      </c>
      <c r="O286" s="110">
        <v>5.5</v>
      </c>
      <c r="P286" s="1">
        <v>5.2</v>
      </c>
    </row>
    <row r="287" spans="1:16" ht="13" thickBot="1">
      <c r="A287" s="109" t="s">
        <v>177</v>
      </c>
      <c r="B287" s="111">
        <v>0.1</v>
      </c>
      <c r="C287" s="111">
        <v>0.1</v>
      </c>
      <c r="D287" s="111">
        <v>0.1</v>
      </c>
      <c r="E287" s="111">
        <v>0.1</v>
      </c>
      <c r="F287" s="111">
        <v>0</v>
      </c>
      <c r="G287" s="111">
        <v>0</v>
      </c>
      <c r="H287" s="111">
        <v>0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</row>
    <row r="288" spans="1:16" ht="13">
      <c r="A288" s="112" t="s">
        <v>186</v>
      </c>
      <c r="B288" s="113">
        <f t="shared" ref="B288:G288" si="86">SUM(B278:B287)</f>
        <v>142.4</v>
      </c>
      <c r="C288" s="113">
        <f t="shared" si="86"/>
        <v>144.69999999999999</v>
      </c>
      <c r="D288" s="113">
        <f t="shared" si="86"/>
        <v>139.6</v>
      </c>
      <c r="E288" s="113">
        <f t="shared" si="86"/>
        <v>135.9</v>
      </c>
      <c r="F288" s="113">
        <f t="shared" si="86"/>
        <v>148.1</v>
      </c>
      <c r="G288" s="113">
        <f t="shared" si="86"/>
        <v>151.6</v>
      </c>
      <c r="H288" s="113">
        <f t="shared" ref="H288" si="87">SUM(H278:H287)</f>
        <v>157.80000000000001</v>
      </c>
      <c r="I288" s="113">
        <f t="shared" ref="I288:O288" si="88">SUM(I278:I287)</f>
        <v>175.6</v>
      </c>
      <c r="J288" s="113">
        <f t="shared" si="88"/>
        <v>179.60000000000002</v>
      </c>
      <c r="K288" s="113">
        <f t="shared" si="88"/>
        <v>192.70000000000002</v>
      </c>
      <c r="L288" s="113">
        <f t="shared" si="88"/>
        <v>182.9</v>
      </c>
      <c r="M288" s="113">
        <f t="shared" si="88"/>
        <v>210.20000000000002</v>
      </c>
      <c r="N288" s="113">
        <f t="shared" si="88"/>
        <v>221.1</v>
      </c>
      <c r="O288" s="113">
        <f t="shared" si="88"/>
        <v>242.49999999999994</v>
      </c>
      <c r="P288" s="113">
        <f>SUM(P278:P287)</f>
        <v>258.2</v>
      </c>
    </row>
    <row r="289" spans="1:16">
      <c r="A289" s="109" t="s">
        <v>179</v>
      </c>
      <c r="B289" s="49">
        <v>-18.2</v>
      </c>
      <c r="C289" s="49">
        <v>-14</v>
      </c>
      <c r="D289" s="49">
        <v>-13.6</v>
      </c>
      <c r="E289" s="49">
        <v>-14.2</v>
      </c>
      <c r="F289" s="49">
        <v>-16.2</v>
      </c>
      <c r="G289" s="49">
        <v>-18.399999999999999</v>
      </c>
      <c r="H289" s="49">
        <v>-17.5</v>
      </c>
      <c r="I289" s="49">
        <v>-17.600000000000001</v>
      </c>
      <c r="J289" s="49">
        <v>-18.8</v>
      </c>
      <c r="K289" s="49">
        <v>-20.3</v>
      </c>
      <c r="L289" s="49">
        <v>-23.2</v>
      </c>
      <c r="M289" s="49">
        <v>-27.9</v>
      </c>
      <c r="N289" s="49">
        <v>-27.9</v>
      </c>
      <c r="O289" s="49">
        <v>-32.299999999999997</v>
      </c>
      <c r="P289" s="49">
        <v>-40.5</v>
      </c>
    </row>
    <row r="290" spans="1:16" ht="13" thickBot="1">
      <c r="A290" s="109" t="s">
        <v>180</v>
      </c>
      <c r="B290" s="52">
        <v>0.8</v>
      </c>
      <c r="C290" s="52">
        <v>-0.7</v>
      </c>
      <c r="D290" s="52" t="s">
        <v>21</v>
      </c>
      <c r="E290" s="52">
        <v>0.6</v>
      </c>
      <c r="F290" s="52" t="s">
        <v>21</v>
      </c>
      <c r="G290" s="52" t="s">
        <v>21</v>
      </c>
      <c r="H290" s="52" t="s">
        <v>21</v>
      </c>
      <c r="I290" s="52" t="s">
        <v>21</v>
      </c>
      <c r="J290" s="52" t="s">
        <v>21</v>
      </c>
      <c r="K290" s="52" t="s">
        <v>21</v>
      </c>
      <c r="L290" s="52" t="s">
        <v>21</v>
      </c>
      <c r="M290" s="52" t="s">
        <v>21</v>
      </c>
      <c r="N290" s="52" t="s">
        <v>21</v>
      </c>
      <c r="O290" s="52" t="s">
        <v>21</v>
      </c>
      <c r="P290" s="52" t="s">
        <v>21</v>
      </c>
    </row>
    <row r="291" spans="1:16" ht="13">
      <c r="A291" s="112" t="s">
        <v>187</v>
      </c>
      <c r="B291" s="113">
        <f>SUM(B288:B290)</f>
        <v>125</v>
      </c>
      <c r="C291" s="113">
        <f>SUM(C288:C290)</f>
        <v>130</v>
      </c>
      <c r="D291" s="113">
        <f t="shared" ref="D291" si="89">SUM(D288:D290)</f>
        <v>126</v>
      </c>
      <c r="E291" s="113">
        <f>SUM(E288:E290)</f>
        <v>122.3</v>
      </c>
      <c r="F291" s="113">
        <f>SUM(F288:F290)</f>
        <v>131.9</v>
      </c>
      <c r="G291" s="113">
        <f>SUM(G288:G290)</f>
        <v>133.19999999999999</v>
      </c>
      <c r="H291" s="113">
        <f t="shared" ref="H291" si="90">SUM(H288:H290)</f>
        <v>140.30000000000001</v>
      </c>
      <c r="I291" s="113">
        <f t="shared" ref="I291:O291" si="91">SUM(I288:I290)</f>
        <v>158</v>
      </c>
      <c r="J291" s="113">
        <f t="shared" si="91"/>
        <v>160.80000000000001</v>
      </c>
      <c r="K291" s="113">
        <f t="shared" si="91"/>
        <v>172.4</v>
      </c>
      <c r="L291" s="113">
        <f t="shared" si="91"/>
        <v>159.70000000000002</v>
      </c>
      <c r="M291" s="113">
        <f t="shared" si="91"/>
        <v>182.3</v>
      </c>
      <c r="N291" s="113">
        <f t="shared" si="91"/>
        <v>193.2</v>
      </c>
      <c r="O291" s="113">
        <f t="shared" si="91"/>
        <v>210.19999999999993</v>
      </c>
      <c r="P291" s="113">
        <f>SUM(P288:P290)</f>
        <v>217.7</v>
      </c>
    </row>
    <row r="292" spans="1:16">
      <c r="A292" s="10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</row>
    <row r="293" spans="1:16" ht="13.5" thickBot="1">
      <c r="A293" s="115" t="s">
        <v>188</v>
      </c>
      <c r="B293" s="116">
        <f t="shared" ref="B293:G293" si="92">B291+B274</f>
        <v>139.4</v>
      </c>
      <c r="C293" s="116">
        <f t="shared" si="92"/>
        <v>145.1</v>
      </c>
      <c r="D293" s="116">
        <f t="shared" si="92"/>
        <v>141.9</v>
      </c>
      <c r="E293" s="116">
        <f t="shared" si="92"/>
        <v>138.9</v>
      </c>
      <c r="F293" s="116">
        <f t="shared" si="92"/>
        <v>149.6</v>
      </c>
      <c r="G293" s="116">
        <f t="shared" si="92"/>
        <v>145.89999999999998</v>
      </c>
      <c r="H293" s="116">
        <f t="shared" ref="H293" si="93">H291+H274</f>
        <v>154.70000000000002</v>
      </c>
      <c r="I293" s="116">
        <f t="shared" ref="I293:O293" si="94">I291+I274</f>
        <v>173.2</v>
      </c>
      <c r="J293" s="116">
        <f t="shared" si="94"/>
        <v>179.9</v>
      </c>
      <c r="K293" s="116">
        <f t="shared" si="94"/>
        <v>190.20000000000002</v>
      </c>
      <c r="L293" s="116">
        <f t="shared" si="94"/>
        <v>182</v>
      </c>
      <c r="M293" s="116">
        <f t="shared" si="94"/>
        <v>202.9</v>
      </c>
      <c r="N293" s="116">
        <f t="shared" si="94"/>
        <v>215.6</v>
      </c>
      <c r="O293" s="116">
        <f t="shared" si="94"/>
        <v>232.89999999999992</v>
      </c>
      <c r="P293" s="116">
        <f>P291+P274</f>
        <v>238.89999999999998</v>
      </c>
    </row>
    <row r="295" spans="1:16">
      <c r="B295" s="10"/>
      <c r="C295" s="10"/>
      <c r="D295" s="10"/>
      <c r="E295" s="10"/>
      <c r="F295" s="10"/>
    </row>
    <row r="296" spans="1:16">
      <c r="B296" s="10"/>
      <c r="C296" s="10"/>
      <c r="D296" s="10"/>
      <c r="E296" s="10"/>
      <c r="F296" s="10"/>
    </row>
    <row r="297" spans="1:16" ht="13.5" thickBot="1">
      <c r="A297" s="27" t="s">
        <v>189</v>
      </c>
      <c r="L297" s="27"/>
      <c r="M297" s="27"/>
      <c r="N297" s="27"/>
      <c r="O297" s="27"/>
    </row>
    <row r="298" spans="1:16" ht="13">
      <c r="A298" s="117"/>
      <c r="B298" s="33" t="s">
        <v>15</v>
      </c>
      <c r="C298" s="33" t="s">
        <v>14</v>
      </c>
      <c r="D298" s="33" t="s">
        <v>13</v>
      </c>
      <c r="E298" s="33" t="s">
        <v>12</v>
      </c>
      <c r="F298" s="33" t="s">
        <v>11</v>
      </c>
      <c r="G298" s="33" t="s">
        <v>10</v>
      </c>
      <c r="H298" s="33" t="s">
        <v>9</v>
      </c>
      <c r="I298" s="33" t="s">
        <v>8</v>
      </c>
      <c r="J298" s="33" t="s">
        <v>7</v>
      </c>
      <c r="K298" s="33" t="s">
        <v>6</v>
      </c>
      <c r="L298" s="33" t="s">
        <v>5</v>
      </c>
      <c r="M298" s="33" t="s">
        <v>4</v>
      </c>
      <c r="N298" s="33" t="s">
        <v>3</v>
      </c>
      <c r="O298" s="33" t="s">
        <v>2</v>
      </c>
      <c r="P298" s="33" t="s">
        <v>1</v>
      </c>
    </row>
    <row r="299" spans="1:16" ht="13">
      <c r="A299" s="118"/>
      <c r="B299" s="12" t="s">
        <v>17</v>
      </c>
      <c r="C299" s="12" t="s">
        <v>17</v>
      </c>
      <c r="D299" s="12" t="s">
        <v>17</v>
      </c>
      <c r="E299" s="12" t="s">
        <v>17</v>
      </c>
      <c r="F299" s="12" t="s">
        <v>17</v>
      </c>
      <c r="G299" s="12" t="s">
        <v>17</v>
      </c>
      <c r="H299" s="12" t="s">
        <v>17</v>
      </c>
      <c r="I299" s="12" t="s">
        <v>17</v>
      </c>
      <c r="J299" s="12" t="s">
        <v>17</v>
      </c>
      <c r="K299" s="12" t="s">
        <v>17</v>
      </c>
      <c r="L299" s="12" t="s">
        <v>17</v>
      </c>
      <c r="M299" s="12" t="s">
        <v>17</v>
      </c>
      <c r="N299" s="12" t="s">
        <v>17</v>
      </c>
      <c r="O299" s="12" t="s">
        <v>17</v>
      </c>
      <c r="P299" s="12" t="s">
        <v>17</v>
      </c>
    </row>
    <row r="300" spans="1:16">
      <c r="A300" s="109" t="s">
        <v>190</v>
      </c>
      <c r="F300" s="110"/>
      <c r="G300" s="110"/>
      <c r="H300" s="110"/>
      <c r="I300" s="110"/>
      <c r="J300" s="110"/>
      <c r="K300" s="110"/>
      <c r="L300" s="109"/>
      <c r="M300" s="109"/>
      <c r="N300" s="109"/>
      <c r="O300" s="109"/>
    </row>
    <row r="301" spans="1:16">
      <c r="A301" s="109" t="s">
        <v>191</v>
      </c>
      <c r="B301" s="44">
        <v>328.7</v>
      </c>
      <c r="C301" s="44">
        <v>292.3</v>
      </c>
      <c r="D301" s="44">
        <v>282.60000000000002</v>
      </c>
      <c r="E301" s="44">
        <v>325.10000000000002</v>
      </c>
      <c r="F301" s="110">
        <v>391.6</v>
      </c>
      <c r="G301" s="110">
        <v>452.2</v>
      </c>
      <c r="H301" s="110">
        <v>443.8</v>
      </c>
      <c r="I301" s="110">
        <v>591.79999999999995</v>
      </c>
      <c r="J301" s="46">
        <v>612.6</v>
      </c>
      <c r="K301" s="46">
        <v>620.1</v>
      </c>
      <c r="L301" s="109">
        <v>760.1</v>
      </c>
      <c r="M301" s="109">
        <v>791.9</v>
      </c>
      <c r="N301" s="109">
        <v>1004.9</v>
      </c>
      <c r="O301" s="109">
        <v>535</v>
      </c>
      <c r="P301" s="1">
        <v>500.8</v>
      </c>
    </row>
    <row r="302" spans="1:16">
      <c r="A302" s="109" t="s">
        <v>192</v>
      </c>
      <c r="B302" s="44">
        <v>258.2</v>
      </c>
      <c r="C302" s="44">
        <v>222.8</v>
      </c>
      <c r="D302" s="44">
        <v>233.3</v>
      </c>
      <c r="E302" s="44">
        <v>258.5</v>
      </c>
      <c r="F302" s="110">
        <v>288.10000000000002</v>
      </c>
      <c r="G302" s="110">
        <v>316.89999999999998</v>
      </c>
      <c r="H302" s="110">
        <v>311.89999999999998</v>
      </c>
      <c r="I302" s="110">
        <v>398.3</v>
      </c>
      <c r="J302" s="46">
        <v>412.9</v>
      </c>
      <c r="K302" s="46">
        <v>411</v>
      </c>
      <c r="L302" s="109">
        <v>490.4</v>
      </c>
      <c r="M302" s="109">
        <v>501</v>
      </c>
      <c r="N302" s="109">
        <v>608</v>
      </c>
      <c r="O302" s="109">
        <v>334.7</v>
      </c>
      <c r="P302" s="1">
        <v>307.8</v>
      </c>
    </row>
    <row r="303" spans="1:16">
      <c r="A303" s="109" t="s">
        <v>193</v>
      </c>
      <c r="B303" s="44">
        <v>163.5</v>
      </c>
      <c r="C303" s="44">
        <v>145</v>
      </c>
      <c r="D303" s="44">
        <v>155.1</v>
      </c>
      <c r="E303" s="44">
        <v>176.5</v>
      </c>
      <c r="F303" s="110">
        <v>193.2</v>
      </c>
      <c r="G303" s="110">
        <v>214.8</v>
      </c>
      <c r="H303" s="110">
        <v>205.8</v>
      </c>
      <c r="I303" s="110">
        <v>257</v>
      </c>
      <c r="J303" s="46">
        <v>260.89999999999998</v>
      </c>
      <c r="K303" s="46">
        <v>261.10000000000002</v>
      </c>
      <c r="L303" s="109">
        <v>308.60000000000002</v>
      </c>
      <c r="M303" s="109">
        <v>339.4</v>
      </c>
      <c r="N303" s="109">
        <v>377.1</v>
      </c>
      <c r="O303" s="109">
        <v>221.5</v>
      </c>
      <c r="P303" s="1">
        <v>208.1</v>
      </c>
    </row>
    <row r="304" spans="1:16">
      <c r="A304" s="109" t="s">
        <v>194</v>
      </c>
      <c r="B304" s="44">
        <v>120.7</v>
      </c>
      <c r="C304" s="44">
        <v>100.6</v>
      </c>
      <c r="D304" s="44">
        <v>105.6</v>
      </c>
      <c r="E304" s="44">
        <v>118.1</v>
      </c>
      <c r="F304" s="110">
        <v>129.6</v>
      </c>
      <c r="G304" s="110">
        <v>154.6</v>
      </c>
      <c r="H304" s="110">
        <v>145.19999999999999</v>
      </c>
      <c r="I304" s="110">
        <v>191.8</v>
      </c>
      <c r="J304" s="46">
        <v>195.5</v>
      </c>
      <c r="K304" s="46">
        <v>195.3</v>
      </c>
      <c r="L304" s="109">
        <v>233.1</v>
      </c>
      <c r="M304" s="109">
        <v>254</v>
      </c>
      <c r="N304" s="109">
        <v>279.10000000000002</v>
      </c>
      <c r="O304" s="109">
        <v>156.5</v>
      </c>
      <c r="P304" s="1">
        <v>144.6</v>
      </c>
    </row>
    <row r="305" spans="1:16">
      <c r="A305" s="109" t="s">
        <v>195</v>
      </c>
      <c r="B305" s="44">
        <v>101.6</v>
      </c>
      <c r="C305" s="44">
        <v>93.8</v>
      </c>
      <c r="D305" s="44">
        <v>101.6</v>
      </c>
      <c r="E305" s="44">
        <v>118</v>
      </c>
      <c r="F305" s="110">
        <v>123</v>
      </c>
      <c r="G305" s="110">
        <v>145.19999999999999</v>
      </c>
      <c r="H305" s="110">
        <v>130.30000000000001</v>
      </c>
      <c r="I305" s="110">
        <v>157.5</v>
      </c>
      <c r="J305" s="46">
        <v>161.69999999999999</v>
      </c>
      <c r="K305" s="46">
        <v>171.6</v>
      </c>
      <c r="L305" s="109">
        <v>165.7</v>
      </c>
      <c r="M305" s="109">
        <v>176.4</v>
      </c>
      <c r="N305" s="109">
        <v>163.4</v>
      </c>
      <c r="O305" s="109">
        <v>104.1</v>
      </c>
      <c r="P305" s="1">
        <v>93.9</v>
      </c>
    </row>
    <row r="306" spans="1:16">
      <c r="A306" s="109" t="s">
        <v>196</v>
      </c>
      <c r="B306" s="44">
        <v>0</v>
      </c>
      <c r="C306" s="44">
        <v>0</v>
      </c>
      <c r="D306" s="44">
        <v>0</v>
      </c>
      <c r="E306" s="44">
        <v>0</v>
      </c>
      <c r="F306" s="110">
        <v>0</v>
      </c>
      <c r="G306" s="110">
        <v>40.299999999999997</v>
      </c>
      <c r="H306" s="110">
        <v>38.299999999999997</v>
      </c>
      <c r="I306" s="110">
        <v>46.8</v>
      </c>
      <c r="J306" s="46">
        <v>46.4</v>
      </c>
      <c r="K306" s="46">
        <v>44</v>
      </c>
      <c r="L306" s="109">
        <v>49</v>
      </c>
      <c r="M306" s="109">
        <v>48.6</v>
      </c>
      <c r="N306" s="109">
        <v>50.9</v>
      </c>
      <c r="O306" s="109">
        <v>29.9</v>
      </c>
      <c r="P306" s="1">
        <v>28.7</v>
      </c>
    </row>
    <row r="307" spans="1:16">
      <c r="A307" s="109" t="s">
        <v>197</v>
      </c>
      <c r="B307" s="44">
        <v>21.1</v>
      </c>
      <c r="C307" s="44">
        <v>19.8</v>
      </c>
      <c r="D307" s="44">
        <v>21.1</v>
      </c>
      <c r="E307" s="44">
        <v>22.9</v>
      </c>
      <c r="F307" s="110">
        <v>25.5</v>
      </c>
      <c r="G307" s="110">
        <v>28.9</v>
      </c>
      <c r="H307" s="110">
        <v>26</v>
      </c>
      <c r="I307" s="110">
        <v>31</v>
      </c>
      <c r="J307" s="46">
        <v>29.2</v>
      </c>
      <c r="K307" s="46">
        <v>31.4</v>
      </c>
      <c r="L307" s="109">
        <v>30.8</v>
      </c>
      <c r="M307" s="109">
        <v>33</v>
      </c>
      <c r="N307" s="109">
        <v>33.9</v>
      </c>
      <c r="O307" s="109">
        <v>22.6</v>
      </c>
      <c r="P307" s="1">
        <v>17.600000000000001</v>
      </c>
    </row>
    <row r="308" spans="1:16" ht="13" thickBot="1">
      <c r="A308" s="109" t="s">
        <v>198</v>
      </c>
      <c r="B308" s="111">
        <v>21.8</v>
      </c>
      <c r="C308" s="111">
        <v>19.899999999999999</v>
      </c>
      <c r="D308" s="111">
        <v>20</v>
      </c>
      <c r="E308" s="111">
        <v>53.2</v>
      </c>
      <c r="F308" s="111">
        <v>54.8</v>
      </c>
      <c r="G308" s="111">
        <v>20.2</v>
      </c>
      <c r="H308" s="111">
        <v>19.100000000000001</v>
      </c>
      <c r="I308" s="111">
        <v>22.8</v>
      </c>
      <c r="J308" s="47">
        <v>22.6</v>
      </c>
      <c r="K308" s="47">
        <v>21.6</v>
      </c>
      <c r="L308" s="47">
        <v>24.2</v>
      </c>
      <c r="M308" s="47">
        <v>23.8</v>
      </c>
      <c r="N308" s="47">
        <v>22</v>
      </c>
      <c r="O308" s="47">
        <v>14.4</v>
      </c>
      <c r="P308" s="47">
        <v>14.4</v>
      </c>
    </row>
    <row r="309" spans="1:16">
      <c r="A309" s="109"/>
      <c r="B309" s="39">
        <f t="shared" ref="B309:G309" si="95">SUM(B301:B308)</f>
        <v>1015.6</v>
      </c>
      <c r="C309" s="39">
        <f t="shared" si="95"/>
        <v>894.19999999999993</v>
      </c>
      <c r="D309" s="39">
        <f t="shared" si="95"/>
        <v>919.30000000000018</v>
      </c>
      <c r="E309" s="39">
        <f t="shared" si="95"/>
        <v>1072.3</v>
      </c>
      <c r="F309" s="39">
        <f t="shared" si="95"/>
        <v>1205.8</v>
      </c>
      <c r="G309" s="39">
        <f t="shared" si="95"/>
        <v>1373.1</v>
      </c>
      <c r="H309" s="39">
        <f t="shared" ref="H309" si="96">SUM(H301:H308)</f>
        <v>1320.3999999999999</v>
      </c>
      <c r="I309" s="39">
        <f>SUM(I301:I308)</f>
        <v>1696.9999999999998</v>
      </c>
      <c r="J309" s="39">
        <f>SUM(J301:J308)</f>
        <v>1741.8000000000002</v>
      </c>
      <c r="K309" s="39">
        <f>SUM(K301:K308)</f>
        <v>1756.0999999999997</v>
      </c>
      <c r="L309" s="39">
        <f t="shared" ref="L309" si="97">SUM(L301:L308)</f>
        <v>2061.8999999999996</v>
      </c>
      <c r="M309" s="39">
        <f>SUM(M301:M308)</f>
        <v>2168.1000000000004</v>
      </c>
      <c r="N309" s="39">
        <f>SUM(N301:N308)</f>
        <v>2539.3000000000002</v>
      </c>
      <c r="O309" s="39">
        <f>SUM(O301:O308)</f>
        <v>1418.7</v>
      </c>
      <c r="P309" s="39">
        <f>SUM(P301:P308)</f>
        <v>1315.9</v>
      </c>
    </row>
    <row r="310" spans="1:16">
      <c r="A310" s="109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09"/>
      <c r="M310" s="109"/>
      <c r="N310" s="109"/>
      <c r="O310" s="109"/>
    </row>
    <row r="311" spans="1:16">
      <c r="A311" s="109" t="s">
        <v>199</v>
      </c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09"/>
      <c r="M311" s="109"/>
      <c r="N311" s="109"/>
      <c r="O311" s="109"/>
    </row>
    <row r="312" spans="1:16">
      <c r="A312" s="109" t="s">
        <v>200</v>
      </c>
      <c r="B312" s="110">
        <v>100.4</v>
      </c>
      <c r="C312" s="110">
        <v>57.7</v>
      </c>
      <c r="D312" s="110">
        <v>78.400000000000006</v>
      </c>
      <c r="E312" s="110">
        <v>90.5</v>
      </c>
      <c r="F312" s="110">
        <v>85.6</v>
      </c>
      <c r="G312" s="110">
        <v>106.5</v>
      </c>
      <c r="H312" s="110">
        <v>92</v>
      </c>
      <c r="I312" s="110">
        <v>117.7</v>
      </c>
      <c r="J312" s="110">
        <v>106</v>
      </c>
      <c r="K312" s="46">
        <v>119.5</v>
      </c>
      <c r="L312" s="46">
        <v>105.7</v>
      </c>
      <c r="M312" s="46">
        <v>111.7</v>
      </c>
      <c r="N312" s="46">
        <v>76.599999999999994</v>
      </c>
      <c r="O312" s="49">
        <v>-3.3</v>
      </c>
      <c r="P312" s="49">
        <v>-2.8</v>
      </c>
    </row>
    <row r="313" spans="1:16" ht="13" thickBot="1">
      <c r="A313" s="109" t="s">
        <v>201</v>
      </c>
      <c r="B313" s="111">
        <v>16.3</v>
      </c>
      <c r="C313" s="111">
        <v>9.1</v>
      </c>
      <c r="D313" s="111">
        <v>10.1</v>
      </c>
      <c r="E313" s="111">
        <v>8.8000000000000007</v>
      </c>
      <c r="F313" s="111">
        <v>10.5</v>
      </c>
      <c r="G313" s="111">
        <v>13.7</v>
      </c>
      <c r="H313" s="111">
        <v>12.3</v>
      </c>
      <c r="I313" s="111">
        <v>20</v>
      </c>
      <c r="J313" s="111">
        <v>17.5</v>
      </c>
      <c r="K313" s="47">
        <v>18.299999999999997</v>
      </c>
      <c r="L313" s="47">
        <v>21.9</v>
      </c>
      <c r="M313" s="47">
        <v>26.4</v>
      </c>
      <c r="N313" s="47">
        <v>23.2</v>
      </c>
      <c r="O313" s="119">
        <v>-0.4</v>
      </c>
      <c r="P313" s="119">
        <v>-1.2</v>
      </c>
    </row>
    <row r="314" spans="1:16">
      <c r="A314" s="109"/>
      <c r="B314" s="110">
        <f t="shared" ref="B314:G314" si="98">SUM(B312:B313)</f>
        <v>116.7</v>
      </c>
      <c r="C314" s="110">
        <f t="shared" si="98"/>
        <v>66.8</v>
      </c>
      <c r="D314" s="110">
        <f t="shared" si="98"/>
        <v>88.5</v>
      </c>
      <c r="E314" s="110">
        <f t="shared" si="98"/>
        <v>99.3</v>
      </c>
      <c r="F314" s="110">
        <f t="shared" si="98"/>
        <v>96.1</v>
      </c>
      <c r="G314" s="110">
        <f t="shared" si="98"/>
        <v>120.2</v>
      </c>
      <c r="H314" s="110">
        <f t="shared" ref="H314" si="99">SUM(H312:H313)</f>
        <v>104.3</v>
      </c>
      <c r="I314" s="110">
        <f>SUM(I312:I313)</f>
        <v>137.69999999999999</v>
      </c>
      <c r="J314" s="110">
        <f>SUM(J312:J313)</f>
        <v>123.5</v>
      </c>
      <c r="K314" s="46">
        <f>SUM(K312:K313)</f>
        <v>137.80000000000001</v>
      </c>
      <c r="L314" s="46">
        <f t="shared" ref="L314" si="100">SUM(L312:L313)</f>
        <v>127.6</v>
      </c>
      <c r="M314" s="46">
        <f>SUM(M312:M313)</f>
        <v>138.1</v>
      </c>
      <c r="N314" s="46">
        <f>SUM(N312:N313)</f>
        <v>99.8</v>
      </c>
      <c r="O314" s="49">
        <f>SUM(O312:O313)</f>
        <v>-3.6999999999999997</v>
      </c>
      <c r="P314" s="49">
        <f>SUM(P312:P313)</f>
        <v>-4</v>
      </c>
    </row>
    <row r="315" spans="1:16" ht="13" thickBot="1">
      <c r="A315" s="109" t="s">
        <v>202</v>
      </c>
      <c r="B315" s="111"/>
      <c r="C315" s="111"/>
      <c r="D315" s="119">
        <v>-2</v>
      </c>
      <c r="E315" s="111">
        <v>0.3</v>
      </c>
      <c r="F315" s="111">
        <v>1.2</v>
      </c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</row>
    <row r="316" spans="1:16" ht="13" thickBot="1">
      <c r="A316" s="120" t="s">
        <v>80</v>
      </c>
      <c r="B316" s="121">
        <f>B314+B309</f>
        <v>1132.3</v>
      </c>
      <c r="C316" s="121">
        <f t="shared" ref="C316" si="101">C314+C309</f>
        <v>960.99999999999989</v>
      </c>
      <c r="D316" s="121">
        <f>D314+D309+D315</f>
        <v>1005.8000000000002</v>
      </c>
      <c r="E316" s="121">
        <f>E314+E309+E315</f>
        <v>1171.8999999999999</v>
      </c>
      <c r="F316" s="121">
        <f>F314+F309+F315</f>
        <v>1303.0999999999999</v>
      </c>
      <c r="G316" s="121">
        <f>G314+G309</f>
        <v>1493.3</v>
      </c>
      <c r="H316" s="121">
        <f t="shared" ref="H316" si="102">H314+H309</f>
        <v>1424.6999999999998</v>
      </c>
      <c r="I316" s="121">
        <f>I314+I309</f>
        <v>1834.6999999999998</v>
      </c>
      <c r="J316" s="121">
        <f>J314+J309</f>
        <v>1865.3000000000002</v>
      </c>
      <c r="K316" s="122">
        <f>K314+K309</f>
        <v>1893.8999999999996</v>
      </c>
      <c r="L316" s="122">
        <f t="shared" ref="L316" si="103">L314+L309</f>
        <v>2189.4999999999995</v>
      </c>
      <c r="M316" s="122">
        <f>M314+M309</f>
        <v>2306.2000000000003</v>
      </c>
      <c r="N316" s="122">
        <f>N314+N309</f>
        <v>2639.1000000000004</v>
      </c>
      <c r="O316" s="122">
        <f>O314+O309</f>
        <v>1415</v>
      </c>
      <c r="P316" s="122">
        <f>P314+P309</f>
        <v>1311.9</v>
      </c>
    </row>
    <row r="320" spans="1:16" ht="13.5" thickBot="1">
      <c r="A320" s="27" t="s">
        <v>203</v>
      </c>
      <c r="L320" s="27"/>
      <c r="M320" s="27"/>
      <c r="N320" s="27"/>
      <c r="O320" s="27"/>
    </row>
    <row r="321" spans="1:16" ht="13">
      <c r="A321" s="117"/>
      <c r="B321" s="33" t="s">
        <v>15</v>
      </c>
      <c r="C321" s="33" t="s">
        <v>14</v>
      </c>
      <c r="D321" s="33" t="s">
        <v>13</v>
      </c>
      <c r="E321" s="33" t="s">
        <v>12</v>
      </c>
      <c r="F321" s="33" t="s">
        <v>11</v>
      </c>
      <c r="G321" s="33" t="s">
        <v>10</v>
      </c>
      <c r="H321" s="33" t="s">
        <v>9</v>
      </c>
      <c r="I321" s="33" t="s">
        <v>8</v>
      </c>
      <c r="J321" s="33" t="s">
        <v>7</v>
      </c>
      <c r="K321" s="33" t="s">
        <v>6</v>
      </c>
      <c r="L321" s="33" t="s">
        <v>5</v>
      </c>
      <c r="M321" s="33" t="s">
        <v>4</v>
      </c>
      <c r="N321" s="33" t="s">
        <v>3</v>
      </c>
      <c r="O321" s="33" t="s">
        <v>2</v>
      </c>
      <c r="P321" s="33" t="s">
        <v>1</v>
      </c>
    </row>
    <row r="322" spans="1:16" ht="13">
      <c r="A322" s="73"/>
      <c r="B322" s="12" t="s">
        <v>17</v>
      </c>
      <c r="C322" s="12" t="s">
        <v>17</v>
      </c>
      <c r="D322" s="12" t="s">
        <v>17</v>
      </c>
      <c r="E322" s="12" t="s">
        <v>17</v>
      </c>
      <c r="F322" s="12" t="s">
        <v>17</v>
      </c>
      <c r="G322" s="12" t="s">
        <v>17</v>
      </c>
      <c r="H322" s="12" t="s">
        <v>17</v>
      </c>
      <c r="I322" s="12" t="s">
        <v>17</v>
      </c>
      <c r="J322" s="12" t="s">
        <v>17</v>
      </c>
      <c r="K322" s="12" t="s">
        <v>17</v>
      </c>
      <c r="L322" s="12" t="s">
        <v>17</v>
      </c>
      <c r="M322" s="12" t="s">
        <v>17</v>
      </c>
      <c r="N322" s="12" t="s">
        <v>17</v>
      </c>
      <c r="O322" s="12" t="s">
        <v>17</v>
      </c>
      <c r="P322" s="12" t="s">
        <v>17</v>
      </c>
    </row>
    <row r="323" spans="1:16">
      <c r="A323" s="109" t="s">
        <v>204</v>
      </c>
      <c r="B323" s="44">
        <v>802</v>
      </c>
      <c r="C323" s="44">
        <v>1134.7</v>
      </c>
      <c r="D323" s="44">
        <v>961</v>
      </c>
      <c r="E323" s="44">
        <v>1005.8</v>
      </c>
      <c r="F323" s="1">
        <v>1171.9000000000001</v>
      </c>
      <c r="G323" s="1">
        <v>1303.0999999999999</v>
      </c>
      <c r="H323" s="123">
        <v>1493.3</v>
      </c>
      <c r="I323" s="123">
        <v>1424.7</v>
      </c>
      <c r="J323" s="49">
        <v>1834.7</v>
      </c>
      <c r="K323" s="49">
        <v>1865.3</v>
      </c>
      <c r="L323" s="109">
        <v>1893.9</v>
      </c>
      <c r="M323" s="109">
        <v>2189.5</v>
      </c>
      <c r="N323" s="109">
        <v>2306.1999999999998</v>
      </c>
      <c r="O323" s="109">
        <v>2639.1</v>
      </c>
      <c r="P323" s="1">
        <v>1415</v>
      </c>
    </row>
    <row r="324" spans="1:16">
      <c r="A324" s="109" t="s">
        <v>180</v>
      </c>
      <c r="B324" s="44">
        <v>2.4</v>
      </c>
      <c r="C324" s="44">
        <v>1.5</v>
      </c>
      <c r="D324" s="44">
        <v>-2</v>
      </c>
      <c r="E324" s="44">
        <v>0.3</v>
      </c>
      <c r="F324" s="44">
        <v>1.2</v>
      </c>
      <c r="G324" s="44" t="s">
        <v>21</v>
      </c>
      <c r="H324" s="123" t="s">
        <v>21</v>
      </c>
      <c r="I324" s="123" t="s">
        <v>21</v>
      </c>
      <c r="J324" s="49" t="s">
        <v>21</v>
      </c>
      <c r="K324" s="49" t="s">
        <v>21</v>
      </c>
      <c r="L324" s="124" t="s">
        <v>21</v>
      </c>
      <c r="M324" s="124">
        <v>-3.2</v>
      </c>
      <c r="N324" s="109">
        <v>0.3</v>
      </c>
      <c r="O324" s="109">
        <v>-35.200000000000003</v>
      </c>
      <c r="P324" s="1">
        <v>1.2</v>
      </c>
    </row>
    <row r="325" spans="1:16">
      <c r="A325" s="109" t="s">
        <v>205</v>
      </c>
      <c r="B325" s="44" t="s">
        <v>21</v>
      </c>
      <c r="C325" s="44" t="s">
        <v>21</v>
      </c>
      <c r="D325" s="44" t="s">
        <v>21</v>
      </c>
      <c r="E325" s="44" t="s">
        <v>21</v>
      </c>
      <c r="F325" s="44" t="s">
        <v>21</v>
      </c>
      <c r="G325" s="44" t="s">
        <v>21</v>
      </c>
      <c r="H325" s="123" t="s">
        <v>21</v>
      </c>
      <c r="I325" s="123" t="s">
        <v>21</v>
      </c>
      <c r="J325" s="49" t="s">
        <v>21</v>
      </c>
      <c r="K325" s="49" t="s">
        <v>21</v>
      </c>
      <c r="L325" s="124" t="s">
        <v>21</v>
      </c>
      <c r="M325" s="124">
        <v>-158.6</v>
      </c>
      <c r="N325" s="109">
        <v>106.8</v>
      </c>
      <c r="O325" s="109">
        <v>-39</v>
      </c>
      <c r="P325" s="1">
        <v>-11.5</v>
      </c>
    </row>
    <row r="326" spans="1:16">
      <c r="A326" s="109" t="s">
        <v>206</v>
      </c>
      <c r="B326" s="44">
        <v>286.8</v>
      </c>
      <c r="C326" s="44">
        <v>-99.9</v>
      </c>
      <c r="D326" s="44">
        <v>-1.4</v>
      </c>
      <c r="E326" s="44">
        <v>97.4</v>
      </c>
      <c r="F326" s="1">
        <v>83.5</v>
      </c>
      <c r="G326" s="1">
        <v>134.69999999999999</v>
      </c>
      <c r="H326" s="110">
        <v>-123</v>
      </c>
      <c r="I326" s="110">
        <v>361.4</v>
      </c>
      <c r="J326" s="49">
        <v>-38.6</v>
      </c>
      <c r="K326" s="49">
        <v>-70</v>
      </c>
      <c r="L326" s="109">
        <v>220.6</v>
      </c>
      <c r="M326" s="109">
        <v>217.2</v>
      </c>
      <c r="N326" s="109">
        <v>133.9</v>
      </c>
      <c r="O326" s="109">
        <v>-1269</v>
      </c>
      <c r="P326" s="1">
        <v>-137.19999999999999</v>
      </c>
    </row>
    <row r="327" spans="1:16">
      <c r="A327" s="109" t="s">
        <v>207</v>
      </c>
      <c r="B327" s="44">
        <v>27.5</v>
      </c>
      <c r="C327" s="44">
        <v>40.4</v>
      </c>
      <c r="D327" s="44">
        <v>34.6</v>
      </c>
      <c r="E327" s="44">
        <v>35.1</v>
      </c>
      <c r="F327" s="1">
        <v>40.5</v>
      </c>
      <c r="G327" s="1">
        <v>36.1</v>
      </c>
      <c r="H327" s="110">
        <v>40.200000000000003</v>
      </c>
      <c r="I327" s="110">
        <v>37.5</v>
      </c>
      <c r="J327" s="49">
        <v>60.1</v>
      </c>
      <c r="K327" s="49">
        <v>62.2</v>
      </c>
      <c r="L327" s="109">
        <v>66.599999999999994</v>
      </c>
      <c r="M327" s="109">
        <v>78.5</v>
      </c>
      <c r="N327" s="109">
        <v>105.5</v>
      </c>
      <c r="O327" s="109">
        <v>116.6</v>
      </c>
      <c r="P327" s="1">
        <v>37.5</v>
      </c>
    </row>
    <row r="328" spans="1:16">
      <c r="A328" s="109" t="s">
        <v>208</v>
      </c>
      <c r="B328" s="44">
        <v>49.9</v>
      </c>
      <c r="C328" s="44">
        <v>47.8</v>
      </c>
      <c r="D328" s="44">
        <v>51</v>
      </c>
      <c r="E328" s="44">
        <v>47.9</v>
      </c>
      <c r="F328" s="1">
        <v>49.1</v>
      </c>
      <c r="G328" s="1">
        <v>56.6</v>
      </c>
      <c r="H328" s="110">
        <v>52.1</v>
      </c>
      <c r="I328" s="110">
        <v>50.5</v>
      </c>
      <c r="J328" s="49">
        <v>50.6</v>
      </c>
      <c r="K328" s="49">
        <v>47.5</v>
      </c>
      <c r="L328" s="109">
        <v>53.9</v>
      </c>
      <c r="M328" s="109">
        <v>24.1</v>
      </c>
      <c r="N328" s="109">
        <v>28.3</v>
      </c>
      <c r="O328" s="109">
        <v>47.7</v>
      </c>
      <c r="P328" s="1">
        <v>55.9</v>
      </c>
    </row>
    <row r="329" spans="1:16">
      <c r="A329" s="109" t="s">
        <v>209</v>
      </c>
      <c r="B329" s="44">
        <v>-26.9</v>
      </c>
      <c r="C329" s="44">
        <v>-28.9</v>
      </c>
      <c r="D329" s="44">
        <v>-31</v>
      </c>
      <c r="E329" s="44">
        <v>-34.5</v>
      </c>
      <c r="F329" s="1">
        <v>-36</v>
      </c>
      <c r="G329" s="1">
        <v>-37.799999999999997</v>
      </c>
      <c r="H329" s="110">
        <v>-40</v>
      </c>
      <c r="I329" s="110">
        <v>-40.299999999999997</v>
      </c>
      <c r="J329" s="49">
        <v>-41.3</v>
      </c>
      <c r="K329" s="49">
        <v>-43.3</v>
      </c>
      <c r="L329" s="109">
        <v>-45.3</v>
      </c>
      <c r="M329" s="109">
        <v>-43.4</v>
      </c>
      <c r="N329" s="109">
        <v>-45.8</v>
      </c>
      <c r="O329" s="109">
        <v>-50</v>
      </c>
      <c r="P329" s="1">
        <v>-53.7</v>
      </c>
    </row>
    <row r="330" spans="1:16">
      <c r="A330" s="109" t="s">
        <v>210</v>
      </c>
      <c r="B330" s="44">
        <v>0.7</v>
      </c>
      <c r="C330" s="44">
        <v>-126</v>
      </c>
      <c r="D330" s="44">
        <v>1</v>
      </c>
      <c r="E330" s="44">
        <v>0.3</v>
      </c>
      <c r="F330" s="1">
        <v>-0.9</v>
      </c>
      <c r="G330" s="1">
        <v>0.6</v>
      </c>
      <c r="H330" s="110">
        <v>1.4</v>
      </c>
      <c r="I330" s="110">
        <v>0.6</v>
      </c>
      <c r="J330" s="49">
        <v>1.3</v>
      </c>
      <c r="K330" s="49">
        <v>31.8</v>
      </c>
      <c r="L330" s="109">
        <v>-0.6</v>
      </c>
      <c r="M330" s="109">
        <v>0.4</v>
      </c>
      <c r="N330" s="109">
        <v>0.5</v>
      </c>
      <c r="O330" s="109">
        <v>0.1</v>
      </c>
      <c r="P330" s="1">
        <v>0.3</v>
      </c>
    </row>
    <row r="331" spans="1:16">
      <c r="A331" s="109" t="s">
        <v>211</v>
      </c>
      <c r="B331" s="44">
        <v>0.3</v>
      </c>
      <c r="C331" s="44">
        <v>-0.3</v>
      </c>
      <c r="D331" s="44">
        <v>-0.3</v>
      </c>
      <c r="E331" s="44">
        <v>-0.2</v>
      </c>
      <c r="F331" s="1">
        <v>-0.6</v>
      </c>
      <c r="G331" s="1">
        <v>-0.7</v>
      </c>
      <c r="H331" s="110">
        <v>-0.4</v>
      </c>
      <c r="I331" s="110">
        <v>-0.2</v>
      </c>
      <c r="J331" s="49">
        <v>-0.3</v>
      </c>
      <c r="K331" s="49">
        <v>-0.2</v>
      </c>
      <c r="L331" s="109">
        <v>-0.6</v>
      </c>
      <c r="M331" s="109">
        <v>0.6</v>
      </c>
      <c r="N331" s="109">
        <v>0.1</v>
      </c>
      <c r="O331" s="109">
        <v>-0.2</v>
      </c>
      <c r="P331" s="1">
        <v>-0.2</v>
      </c>
    </row>
    <row r="332" spans="1:16">
      <c r="A332" s="109" t="s">
        <v>212</v>
      </c>
      <c r="B332" s="44" t="s">
        <v>21</v>
      </c>
      <c r="C332" s="44" t="s">
        <v>21</v>
      </c>
      <c r="D332" s="44" t="s">
        <v>21</v>
      </c>
      <c r="E332" s="44">
        <v>0.6</v>
      </c>
      <c r="F332" s="1">
        <v>-0.1</v>
      </c>
      <c r="G332" s="1">
        <v>8.9</v>
      </c>
      <c r="H332" s="110">
        <v>8.9</v>
      </c>
      <c r="I332" s="110">
        <v>9.1</v>
      </c>
      <c r="J332" s="49">
        <v>9.3000000000000007</v>
      </c>
      <c r="K332" s="49">
        <v>9.5</v>
      </c>
      <c r="L332" s="109">
        <v>9.8000000000000007</v>
      </c>
      <c r="M332" s="109">
        <v>9.6</v>
      </c>
      <c r="N332" s="109">
        <v>11.3</v>
      </c>
      <c r="O332" s="109">
        <v>11.8</v>
      </c>
      <c r="P332" s="1">
        <v>12.7</v>
      </c>
    </row>
    <row r="333" spans="1:16">
      <c r="A333" s="109" t="s">
        <v>213</v>
      </c>
      <c r="B333" s="44">
        <v>-8</v>
      </c>
      <c r="C333" s="44">
        <v>-8</v>
      </c>
      <c r="D333" s="44">
        <v>-8.6</v>
      </c>
      <c r="E333" s="44">
        <v>-7.8</v>
      </c>
      <c r="F333" s="1">
        <v>-7.9</v>
      </c>
      <c r="G333" s="1">
        <v>-9.1</v>
      </c>
      <c r="H333" s="110">
        <v>-8.4</v>
      </c>
      <c r="I333" s="110">
        <v>-8.6</v>
      </c>
      <c r="J333" s="49">
        <v>-10.3</v>
      </c>
      <c r="K333" s="49">
        <v>-8.9</v>
      </c>
      <c r="L333" s="109">
        <v>-8.4</v>
      </c>
      <c r="M333" s="109">
        <v>-9.5</v>
      </c>
      <c r="N333" s="109">
        <v>-7.5</v>
      </c>
      <c r="O333" s="109">
        <v>-7.5</v>
      </c>
      <c r="P333" s="1">
        <v>-8.3000000000000007</v>
      </c>
    </row>
    <row r="334" spans="1:16" ht="13" thickBot="1">
      <c r="A334" s="109" t="s">
        <v>214</v>
      </c>
      <c r="B334" s="111" t="s">
        <v>21</v>
      </c>
      <c r="C334" s="111">
        <v>-0.3</v>
      </c>
      <c r="D334" s="111">
        <v>1.5</v>
      </c>
      <c r="E334" s="111">
        <v>27</v>
      </c>
      <c r="F334" s="111">
        <v>2.4</v>
      </c>
      <c r="G334" s="111">
        <v>0.9</v>
      </c>
      <c r="H334" s="111">
        <v>0.6</v>
      </c>
      <c r="I334" s="111">
        <v>0</v>
      </c>
      <c r="J334" s="52">
        <v>-0.2</v>
      </c>
      <c r="K334" s="52">
        <v>0</v>
      </c>
      <c r="L334" s="111">
        <v>-0.4</v>
      </c>
      <c r="M334" s="111">
        <v>1</v>
      </c>
      <c r="N334" s="111">
        <v>-0.5</v>
      </c>
      <c r="O334" s="111">
        <v>0.6</v>
      </c>
      <c r="P334" s="111">
        <v>0.2</v>
      </c>
    </row>
    <row r="335" spans="1:16" ht="13" thickBot="1">
      <c r="A335" s="120" t="s">
        <v>215</v>
      </c>
      <c r="B335" s="121">
        <f t="shared" ref="B335:G335" si="104">SUM(B323:B334)</f>
        <v>1134.7</v>
      </c>
      <c r="C335" s="121">
        <f t="shared" si="104"/>
        <v>961</v>
      </c>
      <c r="D335" s="121">
        <f t="shared" si="104"/>
        <v>1005.8000000000001</v>
      </c>
      <c r="E335" s="121">
        <f t="shared" si="104"/>
        <v>1171.8999999999999</v>
      </c>
      <c r="F335" s="121">
        <f t="shared" si="104"/>
        <v>1303.1000000000001</v>
      </c>
      <c r="G335" s="121">
        <f t="shared" si="104"/>
        <v>1493.3</v>
      </c>
      <c r="H335" s="121">
        <f t="shared" ref="H335" si="105">SUM(H323:H334)</f>
        <v>1424.6999999999998</v>
      </c>
      <c r="I335" s="121">
        <f t="shared" ref="I335:O335" si="106">SUM(I323:I334)</f>
        <v>1834.6999999999998</v>
      </c>
      <c r="J335" s="122">
        <f t="shared" si="106"/>
        <v>1865.3</v>
      </c>
      <c r="K335" s="122">
        <f t="shared" si="106"/>
        <v>1893.8999999999999</v>
      </c>
      <c r="L335" s="121">
        <f t="shared" si="106"/>
        <v>2189.5</v>
      </c>
      <c r="M335" s="121">
        <f t="shared" si="106"/>
        <v>2306.1999999999998</v>
      </c>
      <c r="N335" s="121">
        <f t="shared" si="106"/>
        <v>2639.1000000000004</v>
      </c>
      <c r="O335" s="121">
        <f t="shared" si="106"/>
        <v>1414.9999999999998</v>
      </c>
      <c r="P335" s="121">
        <f>SUM(P323:P334)</f>
        <v>1311.9</v>
      </c>
    </row>
    <row r="338" spans="1:16" ht="13">
      <c r="A338" s="27"/>
      <c r="L338" s="27"/>
      <c r="M338" s="27"/>
      <c r="N338" s="27"/>
      <c r="O338" s="27"/>
    </row>
    <row r="339" spans="1:16" ht="13.5" thickBot="1">
      <c r="A339" s="27" t="s">
        <v>216</v>
      </c>
      <c r="L339" s="27"/>
      <c r="M339" s="27"/>
      <c r="N339" s="27"/>
      <c r="O339" s="27"/>
    </row>
    <row r="340" spans="1:16" ht="13">
      <c r="A340" s="32"/>
      <c r="B340" s="33" t="s">
        <v>15</v>
      </c>
      <c r="C340" s="33" t="s">
        <v>14</v>
      </c>
      <c r="D340" s="33" t="s">
        <v>13</v>
      </c>
      <c r="E340" s="33" t="s">
        <v>12</v>
      </c>
      <c r="F340" s="33" t="s">
        <v>11</v>
      </c>
      <c r="G340" s="33" t="s">
        <v>10</v>
      </c>
      <c r="H340" s="33" t="s">
        <v>9</v>
      </c>
      <c r="I340" s="33" t="s">
        <v>8</v>
      </c>
      <c r="J340" s="33" t="s">
        <v>7</v>
      </c>
      <c r="K340" s="33" t="s">
        <v>6</v>
      </c>
      <c r="L340" s="33" t="s">
        <v>5</v>
      </c>
      <c r="M340" s="33" t="s">
        <v>4</v>
      </c>
      <c r="N340" s="33" t="s">
        <v>3</v>
      </c>
      <c r="O340" s="33" t="s">
        <v>2</v>
      </c>
      <c r="P340" s="33" t="s">
        <v>1</v>
      </c>
    </row>
    <row r="341" spans="1:16" ht="13">
      <c r="A341" s="34"/>
      <c r="B341" s="12" t="s">
        <v>17</v>
      </c>
      <c r="C341" s="12" t="s">
        <v>17</v>
      </c>
      <c r="D341" s="12" t="s">
        <v>17</v>
      </c>
      <c r="E341" s="12" t="s">
        <v>17</v>
      </c>
      <c r="F341" s="12" t="s">
        <v>17</v>
      </c>
      <c r="G341" s="12" t="s">
        <v>17</v>
      </c>
      <c r="H341" s="12" t="s">
        <v>17</v>
      </c>
      <c r="I341" s="12" t="s">
        <v>17</v>
      </c>
      <c r="J341" s="12" t="s">
        <v>17</v>
      </c>
      <c r="K341" s="12" t="s">
        <v>17</v>
      </c>
      <c r="L341" s="12" t="s">
        <v>17</v>
      </c>
      <c r="M341" s="12" t="s">
        <v>17</v>
      </c>
      <c r="N341" s="12" t="s">
        <v>17</v>
      </c>
      <c r="O341" s="12" t="s">
        <v>17</v>
      </c>
      <c r="P341" s="12" t="s">
        <v>17</v>
      </c>
    </row>
    <row r="342" spans="1:16" ht="13">
      <c r="A342" s="34" t="s">
        <v>162</v>
      </c>
      <c r="B342" s="36"/>
      <c r="C342" s="36"/>
      <c r="D342" s="36"/>
      <c r="E342" s="36"/>
      <c r="F342" s="36"/>
      <c r="G342" s="36"/>
      <c r="H342" s="36"/>
      <c r="I342" s="36"/>
      <c r="J342" s="36"/>
      <c r="L342" s="73"/>
      <c r="M342" s="73"/>
      <c r="N342" s="73"/>
      <c r="O342" s="73"/>
    </row>
    <row r="343" spans="1:16">
      <c r="A343" s="64" t="s">
        <v>217</v>
      </c>
      <c r="B343" s="10">
        <v>98.8</v>
      </c>
      <c r="C343" s="10">
        <v>98.7</v>
      </c>
      <c r="D343" s="10">
        <v>102.7</v>
      </c>
      <c r="E343" s="10">
        <v>102</v>
      </c>
      <c r="F343" s="10">
        <v>105.7</v>
      </c>
      <c r="G343" s="10">
        <v>123.9</v>
      </c>
      <c r="H343" s="10">
        <v>135.1</v>
      </c>
      <c r="I343" s="10">
        <v>146.9</v>
      </c>
      <c r="J343" s="10">
        <v>156.69999999999999</v>
      </c>
      <c r="K343" s="10">
        <v>167.6</v>
      </c>
      <c r="L343" s="58">
        <v>179.2</v>
      </c>
      <c r="M343" s="58">
        <v>202.9</v>
      </c>
      <c r="N343" s="58">
        <v>207.6</v>
      </c>
      <c r="O343" s="58">
        <v>218</v>
      </c>
      <c r="P343" s="1">
        <v>230.5</v>
      </c>
    </row>
    <row r="344" spans="1:16">
      <c r="A344" s="64" t="s">
        <v>218</v>
      </c>
      <c r="B344" s="10">
        <v>63</v>
      </c>
      <c r="C344" s="10">
        <v>63.6</v>
      </c>
      <c r="D344" s="10">
        <v>74.3</v>
      </c>
      <c r="E344" s="10">
        <v>60.5</v>
      </c>
      <c r="F344" s="10">
        <v>57</v>
      </c>
      <c r="G344" s="10">
        <v>65.400000000000006</v>
      </c>
      <c r="H344" s="10">
        <v>78.3</v>
      </c>
      <c r="I344" s="10">
        <v>69.599999999999994</v>
      </c>
      <c r="J344" s="10">
        <v>68.7</v>
      </c>
      <c r="K344" s="10">
        <v>79.7</v>
      </c>
      <c r="L344" s="58">
        <v>83.7</v>
      </c>
      <c r="M344" s="58">
        <v>52.6</v>
      </c>
      <c r="N344" s="58">
        <v>36.1</v>
      </c>
      <c r="O344" s="58">
        <v>63.1</v>
      </c>
      <c r="P344" s="1">
        <v>86.1</v>
      </c>
    </row>
    <row r="345" spans="1:16" ht="13" thickBot="1">
      <c r="A345" s="64" t="s">
        <v>219</v>
      </c>
      <c r="B345" s="55">
        <v>39.1</v>
      </c>
      <c r="C345" s="55">
        <v>54.7</v>
      </c>
      <c r="D345" s="55">
        <v>47.2</v>
      </c>
      <c r="E345" s="55">
        <v>51.8</v>
      </c>
      <c r="F345" s="55">
        <v>49.7</v>
      </c>
      <c r="G345" s="55">
        <v>45.9</v>
      </c>
      <c r="H345" s="55">
        <v>60.8</v>
      </c>
      <c r="I345" s="55">
        <v>59</v>
      </c>
      <c r="J345" s="55">
        <v>50.2</v>
      </c>
      <c r="K345" s="55">
        <v>59.9</v>
      </c>
      <c r="L345" s="55">
        <v>81.8</v>
      </c>
      <c r="M345" s="55">
        <v>18.5</v>
      </c>
      <c r="N345" s="55">
        <v>96.3</v>
      </c>
      <c r="O345" s="55">
        <v>90.8</v>
      </c>
      <c r="P345" s="55">
        <v>90.4</v>
      </c>
    </row>
    <row r="346" spans="1:16" ht="13.5" thickBot="1">
      <c r="A346" s="34" t="s">
        <v>220</v>
      </c>
      <c r="B346" s="107">
        <f t="shared" ref="B346:G346" si="107">SUM(B343:B345)</f>
        <v>200.9</v>
      </c>
      <c r="C346" s="107">
        <f t="shared" si="107"/>
        <v>217</v>
      </c>
      <c r="D346" s="107">
        <f t="shared" si="107"/>
        <v>224.2</v>
      </c>
      <c r="E346" s="107">
        <f t="shared" si="107"/>
        <v>214.3</v>
      </c>
      <c r="F346" s="107">
        <f t="shared" si="107"/>
        <v>212.39999999999998</v>
      </c>
      <c r="G346" s="107">
        <f t="shared" si="107"/>
        <v>235.20000000000002</v>
      </c>
      <c r="H346" s="107">
        <f t="shared" ref="H346" si="108">SUM(H343:H345)</f>
        <v>274.2</v>
      </c>
      <c r="I346" s="107">
        <f>SUM(I343:I345)</f>
        <v>275.5</v>
      </c>
      <c r="J346" s="107">
        <f>SUM(J343:J345)</f>
        <v>275.59999999999997</v>
      </c>
      <c r="K346" s="107">
        <f>SUM(K343:K345)</f>
        <v>307.2</v>
      </c>
      <c r="L346" s="107">
        <f t="shared" ref="L346" si="109">SUM(L343:L345)</f>
        <v>344.7</v>
      </c>
      <c r="M346" s="107">
        <f>SUM(M343:M345)</f>
        <v>274</v>
      </c>
      <c r="N346" s="107">
        <f>SUM(N343:N345)</f>
        <v>340</v>
      </c>
      <c r="O346" s="107">
        <f>SUM(O343:O345)</f>
        <v>371.90000000000003</v>
      </c>
      <c r="P346" s="107">
        <f>SUM(P343:P345)</f>
        <v>407</v>
      </c>
    </row>
    <row r="347" spans="1:16" ht="13">
      <c r="A347" s="34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</row>
    <row r="348" spans="1:16" ht="13">
      <c r="A348" s="34" t="s">
        <v>155</v>
      </c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</row>
    <row r="349" spans="1:16">
      <c r="A349" s="64" t="s">
        <v>219</v>
      </c>
      <c r="B349" s="10">
        <v>580.9</v>
      </c>
      <c r="C349" s="10">
        <v>691</v>
      </c>
      <c r="D349" s="10">
        <v>741.1</v>
      </c>
      <c r="E349" s="10">
        <v>781.8</v>
      </c>
      <c r="F349" s="10">
        <v>883.7</v>
      </c>
      <c r="G349" s="10">
        <v>939.3</v>
      </c>
      <c r="H349" s="10">
        <v>986.4</v>
      </c>
      <c r="I349" s="10">
        <v>1013.5</v>
      </c>
      <c r="J349" s="10">
        <v>1071.8</v>
      </c>
      <c r="K349" s="10">
        <v>1100</v>
      </c>
      <c r="L349" s="10">
        <v>1100.7</v>
      </c>
      <c r="M349" s="10">
        <v>1246.3</v>
      </c>
      <c r="N349" s="10">
        <v>1235.7</v>
      </c>
      <c r="O349" s="10">
        <v>1382.1</v>
      </c>
      <c r="P349" s="10">
        <v>1613</v>
      </c>
    </row>
    <row r="350" spans="1:16" ht="13" thickBot="1">
      <c r="A350" s="64" t="s">
        <v>217</v>
      </c>
      <c r="B350" s="55" t="s">
        <v>21</v>
      </c>
      <c r="C350" s="55">
        <v>0.2</v>
      </c>
      <c r="D350" s="55">
        <v>0.2</v>
      </c>
      <c r="E350" s="55">
        <v>0.1</v>
      </c>
      <c r="F350" s="55" t="s">
        <v>21</v>
      </c>
      <c r="G350" s="55" t="s">
        <v>21</v>
      </c>
      <c r="H350" s="55" t="s">
        <v>21</v>
      </c>
      <c r="I350" s="55" t="s">
        <v>21</v>
      </c>
      <c r="J350" s="55" t="s">
        <v>21</v>
      </c>
      <c r="K350" s="55" t="s">
        <v>21</v>
      </c>
      <c r="L350" s="55" t="s">
        <v>21</v>
      </c>
      <c r="M350" s="55" t="s">
        <v>21</v>
      </c>
      <c r="N350" s="55" t="s">
        <v>21</v>
      </c>
      <c r="O350" s="55" t="s">
        <v>21</v>
      </c>
      <c r="P350" s="55" t="s">
        <v>21</v>
      </c>
    </row>
    <row r="351" spans="1:16" ht="13.5" thickBot="1">
      <c r="A351" s="34" t="s">
        <v>221</v>
      </c>
      <c r="B351" s="67">
        <f t="shared" ref="B351:G351" si="110">SUM(B349:B350)</f>
        <v>580.9</v>
      </c>
      <c r="C351" s="67">
        <f t="shared" si="110"/>
        <v>691.2</v>
      </c>
      <c r="D351" s="67">
        <f t="shared" si="110"/>
        <v>741.30000000000007</v>
      </c>
      <c r="E351" s="67">
        <f t="shared" si="110"/>
        <v>781.9</v>
      </c>
      <c r="F351" s="67">
        <f t="shared" si="110"/>
        <v>883.7</v>
      </c>
      <c r="G351" s="67">
        <f t="shared" si="110"/>
        <v>939.3</v>
      </c>
      <c r="H351" s="67">
        <f t="shared" ref="H351" si="111">SUM(H349:H350)</f>
        <v>986.4</v>
      </c>
      <c r="I351" s="67">
        <f>SUM(I349:I350)</f>
        <v>1013.5</v>
      </c>
      <c r="J351" s="67">
        <f>SUM(J349:J350)</f>
        <v>1071.8</v>
      </c>
      <c r="K351" s="67">
        <f>SUM(K349:K350)</f>
        <v>1100</v>
      </c>
      <c r="L351" s="67">
        <f t="shared" ref="L351" si="112">SUM(L349:L350)</f>
        <v>1100.7</v>
      </c>
      <c r="M351" s="67">
        <f>SUM(M349:M350)</f>
        <v>1246.3</v>
      </c>
      <c r="N351" s="67">
        <f>SUM(N349:N350)</f>
        <v>1235.7</v>
      </c>
      <c r="O351" s="67">
        <f>SUM(O349:O350)</f>
        <v>1382.1</v>
      </c>
      <c r="P351" s="67">
        <f>SUM(P349:P350)</f>
        <v>1613</v>
      </c>
    </row>
    <row r="352" spans="1:16" ht="13.5" thickBot="1">
      <c r="A352" s="80" t="s">
        <v>222</v>
      </c>
      <c r="B352" s="107">
        <f t="shared" ref="B352:G352" si="113">B351+B346</f>
        <v>781.8</v>
      </c>
      <c r="C352" s="107">
        <f t="shared" si="113"/>
        <v>908.2</v>
      </c>
      <c r="D352" s="107">
        <f t="shared" si="113"/>
        <v>965.5</v>
      </c>
      <c r="E352" s="107">
        <f t="shared" si="113"/>
        <v>996.2</v>
      </c>
      <c r="F352" s="107">
        <f t="shared" si="113"/>
        <v>1096.0999999999999</v>
      </c>
      <c r="G352" s="107">
        <f t="shared" si="113"/>
        <v>1174.5</v>
      </c>
      <c r="H352" s="107">
        <f t="shared" ref="H352" si="114">H351+H346</f>
        <v>1260.5999999999999</v>
      </c>
      <c r="I352" s="107">
        <f>I351+I346</f>
        <v>1289</v>
      </c>
      <c r="J352" s="107">
        <f>J351+J346</f>
        <v>1347.3999999999999</v>
      </c>
      <c r="K352" s="107">
        <f>K351+K346</f>
        <v>1407.2</v>
      </c>
      <c r="L352" s="107">
        <f t="shared" ref="L352" si="115">L351+L346</f>
        <v>1445.4</v>
      </c>
      <c r="M352" s="107">
        <f>M351+M346</f>
        <v>1520.3</v>
      </c>
      <c r="N352" s="107">
        <f>N351+N346</f>
        <v>1575.7</v>
      </c>
      <c r="O352" s="107">
        <f>O351+O346</f>
        <v>1754</v>
      </c>
      <c r="P352" s="107">
        <f>P351+P346</f>
        <v>2020</v>
      </c>
    </row>
    <row r="356" spans="1:19" ht="13.5" thickBot="1">
      <c r="A356" s="27" t="s">
        <v>223</v>
      </c>
      <c r="L356" s="27"/>
      <c r="M356" s="27"/>
      <c r="N356" s="27"/>
      <c r="O356" s="27"/>
    </row>
    <row r="357" spans="1:19" ht="13">
      <c r="A357" s="269"/>
      <c r="B357" s="33" t="s">
        <v>15</v>
      </c>
      <c r="C357" s="33" t="s">
        <v>14</v>
      </c>
      <c r="D357" s="33" t="s">
        <v>13</v>
      </c>
      <c r="E357" s="33" t="s">
        <v>12</v>
      </c>
      <c r="F357" s="33" t="s">
        <v>11</v>
      </c>
      <c r="G357" s="33" t="s">
        <v>10</v>
      </c>
      <c r="H357" s="33" t="s">
        <v>9</v>
      </c>
      <c r="I357" s="33" t="s">
        <v>8</v>
      </c>
      <c r="J357" s="33" t="s">
        <v>7</v>
      </c>
      <c r="K357" s="33" t="s">
        <v>6</v>
      </c>
      <c r="L357" s="33" t="s">
        <v>5</v>
      </c>
      <c r="M357" s="33" t="s">
        <v>4</v>
      </c>
      <c r="N357" s="33" t="s">
        <v>3</v>
      </c>
      <c r="O357" s="33" t="s">
        <v>2</v>
      </c>
      <c r="P357" s="33" t="s">
        <v>1</v>
      </c>
    </row>
    <row r="358" spans="1:19" ht="13">
      <c r="A358" s="270"/>
      <c r="B358" s="12" t="s">
        <v>17</v>
      </c>
      <c r="C358" s="12" t="s">
        <v>17</v>
      </c>
      <c r="D358" s="12" t="s">
        <v>17</v>
      </c>
      <c r="E358" s="12" t="s">
        <v>17</v>
      </c>
      <c r="F358" s="12" t="s">
        <v>224</v>
      </c>
      <c r="G358" s="12" t="s">
        <v>224</v>
      </c>
      <c r="H358" s="12" t="s">
        <v>224</v>
      </c>
      <c r="I358" s="12" t="s">
        <v>224</v>
      </c>
      <c r="J358" s="12" t="s">
        <v>224</v>
      </c>
      <c r="K358" s="12" t="s">
        <v>224</v>
      </c>
      <c r="L358" s="12" t="s">
        <v>17</v>
      </c>
      <c r="M358" s="12" t="s">
        <v>17</v>
      </c>
      <c r="N358" s="12" t="s">
        <v>17</v>
      </c>
      <c r="O358" s="12" t="s">
        <v>17</v>
      </c>
      <c r="P358" s="12" t="s">
        <v>17</v>
      </c>
    </row>
    <row r="359" spans="1:19" ht="13">
      <c r="A359" s="34" t="s">
        <v>162</v>
      </c>
      <c r="F359" s="36"/>
      <c r="G359" s="36"/>
      <c r="H359" s="36"/>
      <c r="I359" s="36"/>
      <c r="J359" s="36"/>
      <c r="K359" s="36"/>
      <c r="L359" s="73"/>
      <c r="M359" s="73"/>
      <c r="N359" s="73"/>
      <c r="O359" s="73"/>
    </row>
    <row r="360" spans="1:19">
      <c r="A360" s="64" t="s">
        <v>225</v>
      </c>
      <c r="B360" s="125">
        <v>206.3</v>
      </c>
      <c r="C360" s="125">
        <v>189.3</v>
      </c>
      <c r="D360" s="125">
        <v>267.2</v>
      </c>
      <c r="E360" s="125">
        <v>334.2</v>
      </c>
      <c r="F360" s="88">
        <v>353.9</v>
      </c>
      <c r="G360" s="88">
        <v>354.9</v>
      </c>
      <c r="H360" s="88">
        <v>357.3</v>
      </c>
      <c r="I360" s="88">
        <v>481.2</v>
      </c>
      <c r="J360" s="46">
        <v>555.79999999999995</v>
      </c>
      <c r="K360" s="46">
        <v>554.03753699999993</v>
      </c>
      <c r="L360" s="126">
        <v>555.6</v>
      </c>
      <c r="M360" s="126">
        <v>812.6</v>
      </c>
      <c r="N360" s="125">
        <v>885.5</v>
      </c>
      <c r="O360" s="125">
        <v>799.1</v>
      </c>
      <c r="P360" s="1">
        <v>724.1</v>
      </c>
      <c r="R360" s="25">
        <f>P360-B360</f>
        <v>517.79999999999995</v>
      </c>
      <c r="S360" s="51">
        <f>R360/B360</f>
        <v>2.5099369849733395</v>
      </c>
    </row>
    <row r="361" spans="1:19">
      <c r="A361" s="64" t="s">
        <v>226</v>
      </c>
      <c r="B361" s="125">
        <v>50.2</v>
      </c>
      <c r="C361" s="125">
        <v>52.2</v>
      </c>
      <c r="D361" s="125">
        <v>54.9</v>
      </c>
      <c r="E361" s="125">
        <v>58</v>
      </c>
      <c r="F361" s="88">
        <v>60.2</v>
      </c>
      <c r="G361" s="88">
        <v>63.8</v>
      </c>
      <c r="H361" s="88">
        <v>67.8</v>
      </c>
      <c r="I361" s="88">
        <v>73.2</v>
      </c>
      <c r="J361" s="46">
        <v>73.3</v>
      </c>
      <c r="K361" s="46">
        <v>74.171000000000006</v>
      </c>
      <c r="L361" s="126">
        <v>74.400000000000006</v>
      </c>
      <c r="M361" s="126">
        <v>84.7</v>
      </c>
      <c r="N361" s="126">
        <v>86.4</v>
      </c>
      <c r="O361" s="126">
        <v>85.9</v>
      </c>
      <c r="P361" s="1">
        <v>87</v>
      </c>
      <c r="R361" s="25">
        <f t="shared" ref="R361:R378" si="116">P361-B361</f>
        <v>36.799999999999997</v>
      </c>
      <c r="S361" s="51">
        <f t="shared" ref="S361:S378" si="117">R361/B361</f>
        <v>0.73306772908366524</v>
      </c>
    </row>
    <row r="362" spans="1:19">
      <c r="A362" s="64" t="s">
        <v>227</v>
      </c>
      <c r="B362" s="125">
        <v>0</v>
      </c>
      <c r="C362" s="125">
        <v>5.2</v>
      </c>
      <c r="D362" s="125">
        <v>8.1999999999999993</v>
      </c>
      <c r="E362" s="125">
        <v>5.6</v>
      </c>
      <c r="F362" s="88">
        <v>6.7</v>
      </c>
      <c r="G362" s="88">
        <v>10.6</v>
      </c>
      <c r="H362" s="88">
        <v>9</v>
      </c>
      <c r="I362" s="88">
        <v>9.4</v>
      </c>
      <c r="J362" s="46">
        <v>8.3000000000000007</v>
      </c>
      <c r="K362" s="46">
        <v>7.4010199999999999</v>
      </c>
      <c r="L362" s="126">
        <v>7.8</v>
      </c>
      <c r="M362" s="126">
        <v>10.1</v>
      </c>
      <c r="N362" s="126">
        <v>7.5</v>
      </c>
      <c r="O362" s="126">
        <v>7.4</v>
      </c>
      <c r="P362" s="1">
        <v>7</v>
      </c>
      <c r="R362" s="25">
        <f t="shared" si="116"/>
        <v>7</v>
      </c>
      <c r="S362" s="51" t="e">
        <f t="shared" si="117"/>
        <v>#DIV/0!</v>
      </c>
    </row>
    <row r="363" spans="1:19">
      <c r="A363" s="64" t="s">
        <v>228</v>
      </c>
      <c r="B363" s="125">
        <v>10.1</v>
      </c>
      <c r="C363" s="125">
        <v>10</v>
      </c>
      <c r="D363" s="125">
        <v>9.8000000000000007</v>
      </c>
      <c r="E363" s="125">
        <v>10</v>
      </c>
      <c r="F363" s="88">
        <v>9.4</v>
      </c>
      <c r="G363" s="88">
        <v>9.4</v>
      </c>
      <c r="H363" s="88">
        <v>9.9</v>
      </c>
      <c r="I363" s="88">
        <v>11</v>
      </c>
      <c r="J363" s="46">
        <v>10.5</v>
      </c>
      <c r="K363" s="46">
        <v>10.796001</v>
      </c>
      <c r="L363" s="126">
        <v>11.1</v>
      </c>
      <c r="M363" s="126">
        <v>10.4</v>
      </c>
      <c r="N363" s="126">
        <v>30.9</v>
      </c>
      <c r="O363" s="126">
        <v>32.1</v>
      </c>
      <c r="P363" s="1">
        <v>30.9</v>
      </c>
      <c r="R363" s="25">
        <f t="shared" si="116"/>
        <v>20.799999999999997</v>
      </c>
      <c r="S363" s="51">
        <f t="shared" si="117"/>
        <v>2.059405940594059</v>
      </c>
    </row>
    <row r="364" spans="1:19">
      <c r="A364" s="64" t="s">
        <v>229</v>
      </c>
      <c r="B364" s="125">
        <v>0</v>
      </c>
      <c r="C364" s="125">
        <v>0</v>
      </c>
      <c r="D364" s="125">
        <v>0</v>
      </c>
      <c r="E364" s="125">
        <v>0.5</v>
      </c>
      <c r="F364" s="88">
        <v>1.6</v>
      </c>
      <c r="G364" s="88">
        <v>2.7</v>
      </c>
      <c r="H364" s="88">
        <v>3.2</v>
      </c>
      <c r="I364" s="88">
        <v>1.4</v>
      </c>
      <c r="J364" s="46">
        <v>1.1000000000000001</v>
      </c>
      <c r="K364" s="46">
        <v>0.94096199999999897</v>
      </c>
      <c r="L364" s="126">
        <v>1.6</v>
      </c>
      <c r="M364" s="126">
        <v>3.1</v>
      </c>
      <c r="N364" s="126">
        <v>4</v>
      </c>
      <c r="O364" s="126">
        <v>7.6</v>
      </c>
      <c r="P364" s="1">
        <v>7.8</v>
      </c>
      <c r="R364" s="25">
        <f t="shared" si="116"/>
        <v>7.8</v>
      </c>
      <c r="S364" s="51" t="e">
        <f t="shared" si="117"/>
        <v>#DIV/0!</v>
      </c>
    </row>
    <row r="365" spans="1:19">
      <c r="A365" s="64" t="s">
        <v>230</v>
      </c>
      <c r="B365" s="125">
        <v>0</v>
      </c>
      <c r="C365" s="125">
        <v>0</v>
      </c>
      <c r="D365" s="125">
        <v>0</v>
      </c>
      <c r="E365" s="125">
        <v>0</v>
      </c>
      <c r="F365" s="88">
        <v>0</v>
      </c>
      <c r="G365" s="88">
        <v>2.8</v>
      </c>
      <c r="H365" s="88">
        <v>5.2</v>
      </c>
      <c r="I365" s="88">
        <v>8.6999999999999993</v>
      </c>
      <c r="J365" s="46">
        <v>5</v>
      </c>
      <c r="K365" s="46">
        <v>4.9053110000000002</v>
      </c>
      <c r="L365" s="126">
        <v>6.3</v>
      </c>
      <c r="M365" s="126">
        <v>2.6</v>
      </c>
      <c r="N365" s="126">
        <v>1.5</v>
      </c>
      <c r="O365" s="126">
        <v>1.8</v>
      </c>
      <c r="P365" s="1">
        <v>1.9</v>
      </c>
      <c r="R365" s="25">
        <f t="shared" si="116"/>
        <v>1.9</v>
      </c>
      <c r="S365" s="51" t="e">
        <f t="shared" si="117"/>
        <v>#DIV/0!</v>
      </c>
    </row>
    <row r="366" spans="1:19">
      <c r="A366" s="127" t="s">
        <v>231</v>
      </c>
      <c r="B366" s="125">
        <v>0.1</v>
      </c>
      <c r="C366" s="125">
        <v>0</v>
      </c>
      <c r="D366" s="125">
        <v>0.1</v>
      </c>
      <c r="E366" s="125">
        <v>0</v>
      </c>
      <c r="F366" s="125">
        <v>1</v>
      </c>
      <c r="G366" s="125">
        <v>0</v>
      </c>
      <c r="H366" s="125">
        <v>0.1</v>
      </c>
      <c r="I366" s="125">
        <v>0</v>
      </c>
      <c r="J366" s="125">
        <v>0</v>
      </c>
      <c r="K366" s="125">
        <v>3.4771000000000003E-2</v>
      </c>
      <c r="L366" s="125">
        <v>0</v>
      </c>
      <c r="M366" s="125">
        <v>19.8</v>
      </c>
      <c r="N366" s="125">
        <v>14.6</v>
      </c>
      <c r="O366" s="125">
        <v>11</v>
      </c>
      <c r="P366" s="1">
        <v>6.4</v>
      </c>
      <c r="R366" s="25">
        <f t="shared" si="116"/>
        <v>6.3000000000000007</v>
      </c>
      <c r="S366" s="51">
        <f t="shared" si="117"/>
        <v>63.000000000000007</v>
      </c>
    </row>
    <row r="367" spans="1:19">
      <c r="A367" s="127" t="s">
        <v>58</v>
      </c>
      <c r="B367" s="125">
        <v>3.4</v>
      </c>
      <c r="C367" s="125">
        <v>2.7</v>
      </c>
      <c r="D367" s="125">
        <v>0.9</v>
      </c>
      <c r="E367" s="125">
        <v>0.1</v>
      </c>
      <c r="F367" s="125">
        <v>0</v>
      </c>
      <c r="G367" s="125">
        <v>0</v>
      </c>
      <c r="H367" s="125">
        <v>0</v>
      </c>
      <c r="I367" s="125">
        <v>0</v>
      </c>
      <c r="J367" s="125">
        <v>0</v>
      </c>
      <c r="K367" s="125">
        <v>0</v>
      </c>
      <c r="L367" s="125">
        <v>0</v>
      </c>
      <c r="M367" s="125">
        <v>0</v>
      </c>
      <c r="N367" s="125">
        <v>0</v>
      </c>
      <c r="O367" s="125">
        <v>0</v>
      </c>
      <c r="P367" s="1">
        <v>0</v>
      </c>
      <c r="R367" s="25">
        <f t="shared" si="116"/>
        <v>-3.4</v>
      </c>
      <c r="S367" s="51">
        <f t="shared" si="117"/>
        <v>-1</v>
      </c>
    </row>
    <row r="368" spans="1:19" ht="13" thickBot="1">
      <c r="A368" s="127" t="s">
        <v>232</v>
      </c>
      <c r="B368" s="47">
        <v>0</v>
      </c>
      <c r="C368" s="47">
        <v>0</v>
      </c>
      <c r="D368" s="47">
        <v>0</v>
      </c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3.1</v>
      </c>
      <c r="P368" s="47">
        <v>3.4</v>
      </c>
      <c r="R368" s="25">
        <f t="shared" si="116"/>
        <v>3.4</v>
      </c>
      <c r="S368" s="51" t="e">
        <f t="shared" si="117"/>
        <v>#DIV/0!</v>
      </c>
    </row>
    <row r="369" spans="1:19" ht="13.5" thickBot="1">
      <c r="A369" s="34" t="s">
        <v>233</v>
      </c>
      <c r="B369" s="128">
        <f t="shared" ref="B369:G369" si="118">SUM(B360:B368)</f>
        <v>270.10000000000002</v>
      </c>
      <c r="C369" s="128">
        <f t="shared" si="118"/>
        <v>259.39999999999998</v>
      </c>
      <c r="D369" s="128">
        <f t="shared" si="118"/>
        <v>341.09999999999997</v>
      </c>
      <c r="E369" s="128">
        <f t="shared" si="118"/>
        <v>408.40000000000003</v>
      </c>
      <c r="F369" s="128">
        <f t="shared" si="118"/>
        <v>432.79999999999995</v>
      </c>
      <c r="G369" s="128">
        <f t="shared" si="118"/>
        <v>444.2</v>
      </c>
      <c r="H369" s="128">
        <f t="shared" ref="H369" si="119">SUM(H360:H368)</f>
        <v>452.5</v>
      </c>
      <c r="I369" s="128">
        <f t="shared" ref="I369:O369" si="120">SUM(I360:I368)</f>
        <v>584.9</v>
      </c>
      <c r="J369" s="128">
        <f t="shared" si="120"/>
        <v>653.99999999999989</v>
      </c>
      <c r="K369" s="128">
        <f t="shared" si="120"/>
        <v>652.28660200000002</v>
      </c>
      <c r="L369" s="128">
        <f t="shared" si="120"/>
        <v>656.8</v>
      </c>
      <c r="M369" s="128">
        <f t="shared" si="120"/>
        <v>943.30000000000007</v>
      </c>
      <c r="N369" s="128">
        <f t="shared" si="120"/>
        <v>1030.3999999999999</v>
      </c>
      <c r="O369" s="128">
        <f t="shared" si="120"/>
        <v>948</v>
      </c>
      <c r="P369" s="128">
        <f>SUM(P360:P368)</f>
        <v>868.49999999999989</v>
      </c>
      <c r="R369" s="25"/>
      <c r="S369" s="51"/>
    </row>
    <row r="370" spans="1:19" ht="13">
      <c r="A370" s="34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R370" s="25"/>
      <c r="S370" s="51"/>
    </row>
    <row r="371" spans="1:19" ht="13">
      <c r="A371" s="34" t="s">
        <v>155</v>
      </c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R371" s="25"/>
      <c r="S371" s="51"/>
    </row>
    <row r="372" spans="1:19">
      <c r="A372" s="64" t="s">
        <v>234</v>
      </c>
      <c r="B372" s="36">
        <v>0</v>
      </c>
      <c r="C372" s="36">
        <v>0</v>
      </c>
      <c r="D372" s="36">
        <v>0</v>
      </c>
      <c r="E372" s="36">
        <v>0</v>
      </c>
      <c r="F372" s="36">
        <v>0</v>
      </c>
      <c r="G372" s="36">
        <v>2.7</v>
      </c>
      <c r="H372" s="36">
        <v>3.5</v>
      </c>
      <c r="I372" s="36">
        <v>3.8</v>
      </c>
      <c r="J372" s="49">
        <v>2.2999999999999998</v>
      </c>
      <c r="K372" s="49">
        <v>2.8</v>
      </c>
      <c r="L372" s="49">
        <v>4</v>
      </c>
      <c r="M372" s="49">
        <v>2.2999999999999998</v>
      </c>
      <c r="N372" s="49">
        <v>2.4</v>
      </c>
      <c r="O372" s="49">
        <v>1.9</v>
      </c>
      <c r="P372" s="1">
        <v>0.4</v>
      </c>
      <c r="R372" s="25">
        <f t="shared" si="116"/>
        <v>0.4</v>
      </c>
      <c r="S372" s="51" t="e">
        <f t="shared" si="117"/>
        <v>#DIV/0!</v>
      </c>
    </row>
    <row r="373" spans="1:19">
      <c r="A373" s="64" t="s">
        <v>227</v>
      </c>
      <c r="B373" s="36">
        <v>0</v>
      </c>
      <c r="C373" s="36">
        <v>26.8</v>
      </c>
      <c r="D373" s="36">
        <v>24.7</v>
      </c>
      <c r="E373" s="36">
        <v>29.8</v>
      </c>
      <c r="F373" s="36">
        <v>58.5</v>
      </c>
      <c r="G373" s="36">
        <v>58.4</v>
      </c>
      <c r="H373" s="36">
        <v>66</v>
      </c>
      <c r="I373" s="36">
        <v>68.400000000000006</v>
      </c>
      <c r="J373" s="49">
        <v>67.2</v>
      </c>
      <c r="K373" s="49">
        <v>70.311592000000005</v>
      </c>
      <c r="L373" s="49">
        <v>69.8</v>
      </c>
      <c r="M373" s="49">
        <v>69.8</v>
      </c>
      <c r="N373" s="49">
        <v>66.099999999999994</v>
      </c>
      <c r="O373" s="49">
        <v>63.2</v>
      </c>
      <c r="P373" s="1">
        <v>70.2</v>
      </c>
      <c r="R373" s="25">
        <f t="shared" si="116"/>
        <v>70.2</v>
      </c>
      <c r="S373" s="51" t="e">
        <f t="shared" si="117"/>
        <v>#DIV/0!</v>
      </c>
    </row>
    <row r="374" spans="1:19">
      <c r="A374" s="64" t="s">
        <v>229</v>
      </c>
      <c r="B374" s="36">
        <v>0</v>
      </c>
      <c r="C374" s="36">
        <v>0</v>
      </c>
      <c r="D374" s="36">
        <v>0</v>
      </c>
      <c r="E374" s="36">
        <v>26.3</v>
      </c>
      <c r="F374" s="36">
        <v>27.9</v>
      </c>
      <c r="G374" s="36">
        <v>22.4</v>
      </c>
      <c r="H374" s="36">
        <v>6.5</v>
      </c>
      <c r="I374" s="36">
        <v>5</v>
      </c>
      <c r="J374" s="49">
        <v>4.5</v>
      </c>
      <c r="K374" s="49">
        <v>4.53</v>
      </c>
      <c r="L374" s="49">
        <v>3.2</v>
      </c>
      <c r="M374" s="49">
        <v>1.4</v>
      </c>
      <c r="N374" s="49">
        <v>2.9</v>
      </c>
      <c r="O374" s="49">
        <v>4.8</v>
      </c>
      <c r="P374" s="1">
        <v>4.7</v>
      </c>
      <c r="R374" s="25">
        <f t="shared" si="116"/>
        <v>4.7</v>
      </c>
      <c r="S374" s="51" t="e">
        <f t="shared" si="117"/>
        <v>#DIV/0!</v>
      </c>
    </row>
    <row r="375" spans="1:19">
      <c r="A375" s="64" t="s">
        <v>235</v>
      </c>
      <c r="B375" s="36">
        <v>0</v>
      </c>
      <c r="C375" s="36">
        <v>0</v>
      </c>
      <c r="D375" s="36">
        <v>0</v>
      </c>
      <c r="E375" s="36">
        <v>0</v>
      </c>
      <c r="F375" s="36">
        <v>0</v>
      </c>
      <c r="G375" s="36">
        <v>13.8</v>
      </c>
      <c r="H375" s="36">
        <v>28</v>
      </c>
      <c r="I375" s="36">
        <v>29.4</v>
      </c>
      <c r="J375" s="49">
        <v>24.1</v>
      </c>
      <c r="K375" s="49">
        <v>19.324604000000001</v>
      </c>
      <c r="L375" s="49">
        <v>26.7</v>
      </c>
      <c r="M375" s="49">
        <v>24.7</v>
      </c>
      <c r="N375" s="49">
        <v>38.1</v>
      </c>
      <c r="O375" s="49">
        <v>29.5</v>
      </c>
      <c r="P375" s="1">
        <v>101.2</v>
      </c>
      <c r="R375" s="25">
        <f t="shared" si="116"/>
        <v>101.2</v>
      </c>
      <c r="S375" s="51" t="e">
        <f t="shared" si="117"/>
        <v>#DIV/0!</v>
      </c>
    </row>
    <row r="376" spans="1:19">
      <c r="A376" s="64" t="s">
        <v>236</v>
      </c>
      <c r="B376" s="36">
        <v>6</v>
      </c>
      <c r="C376" s="36">
        <v>5.2</v>
      </c>
      <c r="D376" s="36">
        <v>4.0999999999999996</v>
      </c>
      <c r="E376" s="36">
        <v>4.2</v>
      </c>
      <c r="F376" s="36">
        <v>0.3</v>
      </c>
      <c r="G376" s="36">
        <v>0.4</v>
      </c>
      <c r="H376" s="36">
        <v>0.3</v>
      </c>
      <c r="I376" s="36">
        <v>0.3</v>
      </c>
      <c r="J376" s="49">
        <v>0.2</v>
      </c>
      <c r="K376" s="49">
        <v>0.25645400000000002</v>
      </c>
      <c r="L376" s="49">
        <v>0.4</v>
      </c>
      <c r="M376" s="49">
        <v>0.5</v>
      </c>
      <c r="N376" s="49">
        <v>0.5</v>
      </c>
      <c r="O376" s="49">
        <v>0.8</v>
      </c>
      <c r="P376" s="1">
        <v>1</v>
      </c>
      <c r="R376" s="25">
        <f t="shared" si="116"/>
        <v>-5</v>
      </c>
      <c r="S376" s="51">
        <f t="shared" si="117"/>
        <v>-0.83333333333333337</v>
      </c>
    </row>
    <row r="377" spans="1:19">
      <c r="A377" s="127" t="s">
        <v>232</v>
      </c>
      <c r="B377" s="36">
        <v>0</v>
      </c>
      <c r="C377" s="36">
        <v>0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49">
        <v>0</v>
      </c>
      <c r="K377" s="49">
        <v>0</v>
      </c>
      <c r="L377" s="49">
        <v>0</v>
      </c>
      <c r="M377" s="49">
        <v>0</v>
      </c>
      <c r="N377" s="49">
        <v>0</v>
      </c>
      <c r="O377" s="49">
        <v>21.2</v>
      </c>
      <c r="P377" s="1">
        <v>21.9</v>
      </c>
      <c r="R377" s="25">
        <f t="shared" si="116"/>
        <v>21.9</v>
      </c>
      <c r="S377" s="51" t="e">
        <f t="shared" si="117"/>
        <v>#DIV/0!</v>
      </c>
    </row>
    <row r="378" spans="1:19" ht="13" thickBot="1">
      <c r="A378" s="64" t="s">
        <v>36</v>
      </c>
      <c r="B378" s="90">
        <v>5.5</v>
      </c>
      <c r="C378" s="90">
        <v>4</v>
      </c>
      <c r="D378" s="90">
        <v>4.4000000000000004</v>
      </c>
      <c r="E378" s="90">
        <v>4.0999999999999996</v>
      </c>
      <c r="F378" s="90">
        <v>9.1999999999999993</v>
      </c>
      <c r="G378" s="90">
        <v>0.6</v>
      </c>
      <c r="H378" s="90">
        <v>0.6</v>
      </c>
      <c r="I378" s="90">
        <v>0.4</v>
      </c>
      <c r="J378" s="52">
        <v>0.5</v>
      </c>
      <c r="K378" s="52">
        <v>0.88728099999999999</v>
      </c>
      <c r="L378" s="52">
        <v>1</v>
      </c>
      <c r="M378" s="52">
        <v>76.8</v>
      </c>
      <c r="N378" s="52">
        <v>193.6</v>
      </c>
      <c r="O378" s="52">
        <v>181.8</v>
      </c>
      <c r="P378" s="52">
        <v>134.19999999999999</v>
      </c>
      <c r="R378" s="25">
        <f t="shared" si="116"/>
        <v>128.69999999999999</v>
      </c>
      <c r="S378" s="51">
        <f t="shared" si="117"/>
        <v>23.4</v>
      </c>
    </row>
    <row r="379" spans="1:19" ht="13.5" thickBot="1">
      <c r="A379" s="34" t="s">
        <v>237</v>
      </c>
      <c r="B379" s="90">
        <f t="shared" ref="B379:G379" si="121">SUM(B372:B378)</f>
        <v>11.5</v>
      </c>
      <c r="C379" s="90">
        <f t="shared" si="121"/>
        <v>36</v>
      </c>
      <c r="D379" s="90">
        <f t="shared" si="121"/>
        <v>33.199999999999996</v>
      </c>
      <c r="E379" s="90">
        <f t="shared" si="121"/>
        <v>64.400000000000006</v>
      </c>
      <c r="F379" s="90">
        <f t="shared" si="121"/>
        <v>95.9</v>
      </c>
      <c r="G379" s="90">
        <f t="shared" si="121"/>
        <v>98.3</v>
      </c>
      <c r="H379" s="90">
        <f t="shared" ref="H379" si="122">SUM(H372:H378)</f>
        <v>104.89999999999999</v>
      </c>
      <c r="I379" s="90">
        <f>SUM(I372:I378)</f>
        <v>107.3</v>
      </c>
      <c r="J379" s="86">
        <f>SUM(J372:J378)</f>
        <v>98.8</v>
      </c>
      <c r="K379" s="86">
        <f>SUM(K372:K378)</f>
        <v>98.109931000000003</v>
      </c>
      <c r="L379" s="86">
        <f t="shared" ref="L379" si="123">SUM(L372:L378)</f>
        <v>105.10000000000001</v>
      </c>
      <c r="M379" s="86">
        <f>SUM(M372:M378)</f>
        <v>175.5</v>
      </c>
      <c r="N379" s="86">
        <f>SUM(N372:N378)</f>
        <v>303.60000000000002</v>
      </c>
      <c r="O379" s="86">
        <f>SUM(O372:O378)</f>
        <v>303.20000000000005</v>
      </c>
      <c r="P379" s="86">
        <f>SUM(P372:P378)</f>
        <v>333.6</v>
      </c>
      <c r="S379" s="51"/>
    </row>
    <row r="380" spans="1:19" ht="13.5" thickBot="1">
      <c r="A380" s="34"/>
      <c r="B380" s="90"/>
      <c r="C380" s="90"/>
      <c r="D380" s="90"/>
      <c r="E380" s="90"/>
      <c r="F380" s="90"/>
      <c r="G380" s="90"/>
      <c r="H380" s="90"/>
      <c r="I380" s="90"/>
      <c r="J380" s="90"/>
      <c r="K380" s="86"/>
      <c r="L380" s="86"/>
      <c r="M380" s="86"/>
      <c r="N380" s="86"/>
      <c r="O380" s="86"/>
      <c r="P380" s="86"/>
    </row>
    <row r="381" spans="1:19" ht="13.5" thickBot="1">
      <c r="A381" s="80" t="s">
        <v>80</v>
      </c>
      <c r="B381" s="90">
        <f t="shared" ref="B381:G381" si="124">B369+B379</f>
        <v>281.60000000000002</v>
      </c>
      <c r="C381" s="90">
        <f t="shared" si="124"/>
        <v>295.39999999999998</v>
      </c>
      <c r="D381" s="90">
        <f t="shared" si="124"/>
        <v>374.29999999999995</v>
      </c>
      <c r="E381" s="90">
        <f t="shared" si="124"/>
        <v>472.80000000000007</v>
      </c>
      <c r="F381" s="90">
        <f t="shared" si="124"/>
        <v>528.69999999999993</v>
      </c>
      <c r="G381" s="90">
        <f t="shared" si="124"/>
        <v>542.5</v>
      </c>
      <c r="H381" s="90">
        <f t="shared" ref="H381" si="125">H369+H379</f>
        <v>557.4</v>
      </c>
      <c r="I381" s="90">
        <f>I369+I379</f>
        <v>692.19999999999993</v>
      </c>
      <c r="J381" s="90">
        <f>J369+J379</f>
        <v>752.79999999999984</v>
      </c>
      <c r="K381" s="86">
        <f>K369+K379</f>
        <v>750.39653299999998</v>
      </c>
      <c r="L381" s="86">
        <f t="shared" ref="L381" si="126">L369+L379</f>
        <v>761.9</v>
      </c>
      <c r="M381" s="86">
        <f>M369+M379</f>
        <v>1118.8000000000002</v>
      </c>
      <c r="N381" s="86">
        <f>N369+N379</f>
        <v>1334</v>
      </c>
      <c r="O381" s="86">
        <f>O369+O379</f>
        <v>1251.2</v>
      </c>
      <c r="P381" s="86">
        <f>P369+P379</f>
        <v>1202.0999999999999</v>
      </c>
    </row>
    <row r="385" spans="1:16" ht="13.5" thickBot="1">
      <c r="A385" s="27" t="s">
        <v>238</v>
      </c>
      <c r="L385" s="27"/>
      <c r="M385" s="27"/>
      <c r="N385" s="27"/>
      <c r="O385" s="27"/>
    </row>
    <row r="386" spans="1:16" ht="13">
      <c r="A386" s="129"/>
      <c r="B386" s="33" t="s">
        <v>15</v>
      </c>
      <c r="C386" s="33" t="s">
        <v>14</v>
      </c>
      <c r="D386" s="33" t="s">
        <v>13</v>
      </c>
      <c r="E386" s="33" t="s">
        <v>12</v>
      </c>
      <c r="F386" s="33" t="s">
        <v>11</v>
      </c>
      <c r="G386" s="33" t="s">
        <v>10</v>
      </c>
      <c r="H386" s="33" t="s">
        <v>9</v>
      </c>
      <c r="I386" s="33" t="s">
        <v>8</v>
      </c>
      <c r="J386" s="33" t="s">
        <v>7</v>
      </c>
      <c r="K386" s="33" t="s">
        <v>6</v>
      </c>
      <c r="L386" s="33" t="s">
        <v>5</v>
      </c>
      <c r="M386" s="33" t="s">
        <v>4</v>
      </c>
      <c r="N386" s="33" t="s">
        <v>3</v>
      </c>
      <c r="O386" s="33" t="s">
        <v>2</v>
      </c>
      <c r="P386" s="33" t="s">
        <v>1</v>
      </c>
    </row>
    <row r="387" spans="1:16" ht="13">
      <c r="A387" s="35"/>
      <c r="B387" s="12" t="s">
        <v>17</v>
      </c>
      <c r="C387" s="12" t="s">
        <v>17</v>
      </c>
      <c r="D387" s="12" t="s">
        <v>17</v>
      </c>
      <c r="E387" s="12" t="s">
        <v>17</v>
      </c>
      <c r="F387" s="12" t="s">
        <v>154</v>
      </c>
      <c r="G387" s="12" t="s">
        <v>154</v>
      </c>
      <c r="H387" s="12" t="s">
        <v>154</v>
      </c>
      <c r="I387" s="12" t="s">
        <v>154</v>
      </c>
      <c r="J387" s="12" t="s">
        <v>154</v>
      </c>
      <c r="K387" s="12" t="s">
        <v>154</v>
      </c>
      <c r="L387" s="12" t="s">
        <v>17</v>
      </c>
      <c r="M387" s="12" t="s">
        <v>17</v>
      </c>
      <c r="N387" s="12" t="s">
        <v>17</v>
      </c>
      <c r="O387" s="12" t="s">
        <v>17</v>
      </c>
      <c r="P387" s="12" t="s">
        <v>17</v>
      </c>
    </row>
    <row r="388" spans="1:16" ht="13">
      <c r="A388" s="35" t="s">
        <v>162</v>
      </c>
      <c r="F388" s="36"/>
      <c r="G388" s="36"/>
      <c r="H388" s="36"/>
      <c r="I388" s="36"/>
      <c r="J388" s="36"/>
      <c r="K388" s="36"/>
      <c r="L388" s="37"/>
      <c r="M388" s="37"/>
      <c r="N388" s="37"/>
      <c r="O388" s="37"/>
    </row>
    <row r="389" spans="1:16">
      <c r="A389" s="38" t="s">
        <v>239</v>
      </c>
      <c r="B389" s="1">
        <v>43.1</v>
      </c>
      <c r="C389" s="1">
        <v>41.3</v>
      </c>
      <c r="D389" s="1">
        <v>39.6</v>
      </c>
      <c r="E389" s="1">
        <v>37.299999999999997</v>
      </c>
      <c r="F389" s="36">
        <v>36.6</v>
      </c>
      <c r="G389" s="36">
        <v>38.4</v>
      </c>
      <c r="H389" s="36">
        <v>39.299999999999997</v>
      </c>
      <c r="I389" s="36">
        <v>41.4</v>
      </c>
      <c r="J389" s="36">
        <v>42.4</v>
      </c>
      <c r="K389" s="46">
        <v>43.4</v>
      </c>
      <c r="L389" s="40">
        <v>49.7</v>
      </c>
      <c r="M389" s="40">
        <v>38.799999999999997</v>
      </c>
      <c r="N389" s="40">
        <v>37.799999999999997</v>
      </c>
      <c r="O389" s="40">
        <v>37.6</v>
      </c>
      <c r="P389" s="1">
        <v>36.4</v>
      </c>
    </row>
    <row r="390" spans="1:16">
      <c r="A390" s="38" t="s">
        <v>240</v>
      </c>
      <c r="B390" s="1">
        <v>30</v>
      </c>
      <c r="C390" s="1">
        <v>33.9</v>
      </c>
      <c r="D390" s="1">
        <v>37.1</v>
      </c>
      <c r="E390" s="1">
        <v>34.9</v>
      </c>
      <c r="F390" s="36">
        <v>38.9</v>
      </c>
      <c r="G390" s="36">
        <v>42</v>
      </c>
      <c r="H390" s="36">
        <v>43.2</v>
      </c>
      <c r="I390" s="36">
        <v>47.5</v>
      </c>
      <c r="J390" s="36">
        <v>49.2</v>
      </c>
      <c r="K390" s="46">
        <v>50.9</v>
      </c>
      <c r="L390" s="40">
        <v>55.5</v>
      </c>
      <c r="M390" s="40">
        <v>71</v>
      </c>
      <c r="N390" s="40">
        <v>76.3</v>
      </c>
      <c r="O390" s="40">
        <v>81.8</v>
      </c>
      <c r="P390" s="1">
        <v>81.599999999999994</v>
      </c>
    </row>
    <row r="391" spans="1:16">
      <c r="A391" s="38" t="s">
        <v>241</v>
      </c>
      <c r="B391" s="1">
        <v>22.4</v>
      </c>
      <c r="C391" s="1">
        <v>22.2</v>
      </c>
      <c r="D391" s="1">
        <v>22.9</v>
      </c>
      <c r="E391" s="1">
        <v>23.2</v>
      </c>
      <c r="F391" s="36">
        <v>24.8</v>
      </c>
      <c r="G391" s="36">
        <v>26.7</v>
      </c>
      <c r="H391" s="36">
        <v>30.2</v>
      </c>
      <c r="I391" s="36">
        <v>31.7</v>
      </c>
      <c r="J391" s="36">
        <v>33.299999999999997</v>
      </c>
      <c r="K391" s="46">
        <v>34.700000000000003</v>
      </c>
      <c r="L391" s="40">
        <v>33.799999999999997</v>
      </c>
      <c r="M391" s="40">
        <v>55.3</v>
      </c>
      <c r="N391" s="40">
        <v>42</v>
      </c>
      <c r="O391" s="40">
        <v>44.6</v>
      </c>
      <c r="P391" s="1">
        <v>51.6</v>
      </c>
    </row>
    <row r="392" spans="1:16">
      <c r="A392" s="38" t="s">
        <v>242</v>
      </c>
      <c r="B392" s="1">
        <v>0.9</v>
      </c>
      <c r="C392" s="1">
        <v>1</v>
      </c>
      <c r="D392" s="1">
        <v>1.3</v>
      </c>
      <c r="E392" s="1">
        <v>1.3</v>
      </c>
      <c r="F392" s="36">
        <f>1.4</f>
        <v>1.4</v>
      </c>
      <c r="G392" s="36">
        <v>1.4</v>
      </c>
      <c r="H392" s="36">
        <v>1.7</v>
      </c>
      <c r="I392" s="36">
        <v>1.6</v>
      </c>
      <c r="J392" s="36">
        <v>1.6</v>
      </c>
      <c r="K392" s="46">
        <v>1.7</v>
      </c>
      <c r="L392" s="40">
        <v>1.7</v>
      </c>
      <c r="M392" s="40">
        <v>1.6</v>
      </c>
      <c r="N392" s="40">
        <v>1.5</v>
      </c>
      <c r="O392" s="40">
        <v>1.4</v>
      </c>
      <c r="P392" s="1">
        <v>1.9</v>
      </c>
    </row>
    <row r="393" spans="1:16">
      <c r="A393" s="38" t="s">
        <v>243</v>
      </c>
      <c r="B393" s="1">
        <v>0.9</v>
      </c>
      <c r="C393" s="1">
        <v>0.6</v>
      </c>
      <c r="D393" s="1">
        <v>0.4</v>
      </c>
      <c r="E393" s="1">
        <v>0.4</v>
      </c>
      <c r="F393" s="36">
        <v>0.3</v>
      </c>
      <c r="G393" s="36">
        <v>0.3</v>
      </c>
      <c r="H393" s="36">
        <v>0.3</v>
      </c>
      <c r="I393" s="36">
        <v>0.3</v>
      </c>
      <c r="J393" s="36">
        <v>0.3</v>
      </c>
      <c r="K393" s="46">
        <v>0.3</v>
      </c>
      <c r="L393" s="46">
        <v>0.3</v>
      </c>
      <c r="M393" s="46">
        <v>0.2</v>
      </c>
      <c r="N393" s="46">
        <v>0.2</v>
      </c>
      <c r="O393" s="46">
        <v>0.2</v>
      </c>
      <c r="P393" s="1">
        <v>0.1</v>
      </c>
    </row>
    <row r="394" spans="1:16">
      <c r="A394" s="38" t="s">
        <v>244</v>
      </c>
      <c r="B394" s="36" t="s">
        <v>21</v>
      </c>
      <c r="C394" s="36" t="s">
        <v>21</v>
      </c>
      <c r="D394" s="36" t="s">
        <v>21</v>
      </c>
      <c r="E394" s="36" t="s">
        <v>21</v>
      </c>
      <c r="F394" s="36" t="s">
        <v>21</v>
      </c>
      <c r="G394" s="36" t="s">
        <v>21</v>
      </c>
      <c r="H394" s="36" t="s">
        <v>21</v>
      </c>
      <c r="I394" s="36" t="s">
        <v>21</v>
      </c>
      <c r="J394" s="36" t="s">
        <v>21</v>
      </c>
      <c r="K394" s="46">
        <v>2.2999999999999998</v>
      </c>
      <c r="L394" s="46">
        <v>2.2000000000000002</v>
      </c>
      <c r="M394" s="46">
        <v>2.4</v>
      </c>
      <c r="N394" s="46">
        <v>3</v>
      </c>
      <c r="O394" s="46">
        <v>3</v>
      </c>
      <c r="P394" s="1">
        <v>3.4</v>
      </c>
    </row>
    <row r="395" spans="1:16">
      <c r="A395" s="38" t="s">
        <v>245</v>
      </c>
      <c r="B395" s="36">
        <v>5.2</v>
      </c>
      <c r="C395" s="36">
        <v>5.2</v>
      </c>
      <c r="D395" s="36" t="s">
        <v>21</v>
      </c>
      <c r="E395" s="36" t="s">
        <v>21</v>
      </c>
      <c r="F395" s="36" t="s">
        <v>21</v>
      </c>
      <c r="G395" s="36" t="s">
        <v>21</v>
      </c>
      <c r="H395" s="36" t="s">
        <v>21</v>
      </c>
      <c r="I395" s="36" t="s">
        <v>21</v>
      </c>
      <c r="J395" s="36" t="s">
        <v>21</v>
      </c>
      <c r="K395" s="46" t="s">
        <v>21</v>
      </c>
      <c r="L395" s="46" t="s">
        <v>21</v>
      </c>
      <c r="M395" s="46" t="s">
        <v>21</v>
      </c>
      <c r="N395" s="46" t="s">
        <v>21</v>
      </c>
      <c r="O395" s="46" t="s">
        <v>21</v>
      </c>
      <c r="P395" s="46" t="s">
        <v>21</v>
      </c>
    </row>
    <row r="396" spans="1:16" ht="13" thickBot="1">
      <c r="A396" s="38" t="s">
        <v>202</v>
      </c>
      <c r="B396" s="90">
        <v>0.6</v>
      </c>
      <c r="C396" s="90">
        <v>-5.6</v>
      </c>
      <c r="D396" s="90">
        <v>2.4</v>
      </c>
      <c r="E396" s="90">
        <v>1.2</v>
      </c>
      <c r="F396" s="90">
        <v>5</v>
      </c>
      <c r="G396" s="90" t="s">
        <v>21</v>
      </c>
      <c r="H396" s="90" t="s">
        <v>21</v>
      </c>
      <c r="I396" s="90" t="s">
        <v>21</v>
      </c>
      <c r="J396" s="90" t="s">
        <v>21</v>
      </c>
      <c r="K396" s="90" t="s">
        <v>21</v>
      </c>
      <c r="L396" s="90" t="s">
        <v>21</v>
      </c>
      <c r="M396" s="90" t="s">
        <v>21</v>
      </c>
      <c r="N396" s="90" t="s">
        <v>21</v>
      </c>
      <c r="O396" s="90" t="s">
        <v>21</v>
      </c>
      <c r="P396" s="90" t="s">
        <v>21</v>
      </c>
    </row>
    <row r="397" spans="1:16" ht="13.5" thickBot="1">
      <c r="A397" s="35" t="s">
        <v>246</v>
      </c>
      <c r="B397" s="90">
        <f>SUM(B389:B396)</f>
        <v>103.10000000000001</v>
      </c>
      <c r="C397" s="90">
        <f>SUM(C389:C396)</f>
        <v>98.6</v>
      </c>
      <c r="D397" s="90">
        <f>SUM(D389:D396)</f>
        <v>103.7</v>
      </c>
      <c r="E397" s="90">
        <f t="shared" ref="E397" si="127">SUM(E389:E396)</f>
        <v>98.3</v>
      </c>
      <c r="F397" s="90">
        <f>SUM(F389:F396)</f>
        <v>107</v>
      </c>
      <c r="G397" s="90">
        <f>SUM(G389:G396)</f>
        <v>108.80000000000001</v>
      </c>
      <c r="H397" s="90">
        <f t="shared" ref="H397" si="128">SUM(H389:H396)</f>
        <v>114.7</v>
      </c>
      <c r="I397" s="90">
        <f t="shared" ref="I397:O397" si="129">SUM(I389:I396)</f>
        <v>122.5</v>
      </c>
      <c r="J397" s="90">
        <f t="shared" si="129"/>
        <v>126.79999999999998</v>
      </c>
      <c r="K397" s="90">
        <f t="shared" si="129"/>
        <v>133.30000000000001</v>
      </c>
      <c r="L397" s="90">
        <f t="shared" si="129"/>
        <v>143.19999999999999</v>
      </c>
      <c r="M397" s="90">
        <f t="shared" si="129"/>
        <v>169.29999999999998</v>
      </c>
      <c r="N397" s="90">
        <f t="shared" si="129"/>
        <v>160.79999999999998</v>
      </c>
      <c r="O397" s="90">
        <f t="shared" si="129"/>
        <v>168.6</v>
      </c>
      <c r="P397" s="90">
        <f>SUM(P389:P396)</f>
        <v>175</v>
      </c>
    </row>
    <row r="398" spans="1:16" ht="13">
      <c r="A398" s="35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</row>
    <row r="399" spans="1:16" ht="13">
      <c r="A399" s="35" t="s">
        <v>155</v>
      </c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</row>
    <row r="400" spans="1:16">
      <c r="A400" s="38" t="s">
        <v>239</v>
      </c>
      <c r="B400" s="36">
        <v>9.8000000000000007</v>
      </c>
      <c r="C400" s="36">
        <v>10.5</v>
      </c>
      <c r="D400" s="36">
        <v>10.5</v>
      </c>
      <c r="E400" s="36">
        <v>10.6</v>
      </c>
      <c r="F400" s="36">
        <v>10.199999999999999</v>
      </c>
      <c r="G400" s="36">
        <v>9.9</v>
      </c>
      <c r="H400" s="36">
        <v>11.4</v>
      </c>
      <c r="I400" s="36">
        <v>9.5</v>
      </c>
      <c r="J400" s="36">
        <v>9.8000000000000007</v>
      </c>
      <c r="K400" s="46">
        <v>6</v>
      </c>
      <c r="L400" s="46">
        <v>5.6</v>
      </c>
      <c r="M400" s="46">
        <v>5.6</v>
      </c>
      <c r="N400" s="46">
        <v>6.8</v>
      </c>
      <c r="O400" s="46">
        <v>7.2</v>
      </c>
      <c r="P400" s="1">
        <v>6.3</v>
      </c>
    </row>
    <row r="401" spans="1:18">
      <c r="A401" s="38" t="s">
        <v>240</v>
      </c>
      <c r="B401" s="36">
        <v>5.2</v>
      </c>
      <c r="C401" s="36">
        <v>3.4</v>
      </c>
      <c r="D401" s="36">
        <v>3.3</v>
      </c>
      <c r="E401" s="36">
        <v>3.8</v>
      </c>
      <c r="F401" s="36">
        <v>5.4</v>
      </c>
      <c r="G401" s="36">
        <v>12.6</v>
      </c>
      <c r="H401" s="36">
        <v>11.9</v>
      </c>
      <c r="I401" s="36">
        <v>11.3</v>
      </c>
      <c r="J401" s="36">
        <v>12.7</v>
      </c>
      <c r="K401" s="46">
        <v>9.9</v>
      </c>
      <c r="L401" s="46">
        <v>10.9</v>
      </c>
      <c r="M401" s="46">
        <v>10.199999999999999</v>
      </c>
      <c r="N401" s="46">
        <v>11.3</v>
      </c>
      <c r="O401" s="46">
        <v>12</v>
      </c>
      <c r="P401" s="1">
        <v>10.5</v>
      </c>
    </row>
    <row r="402" spans="1:18">
      <c r="A402" s="38" t="s">
        <v>242</v>
      </c>
      <c r="B402" s="36">
        <v>27.2</v>
      </c>
      <c r="C402" s="36">
        <v>31</v>
      </c>
      <c r="D402" s="36">
        <v>34.799999999999997</v>
      </c>
      <c r="E402" s="36">
        <v>35.299999999999997</v>
      </c>
      <c r="F402" s="36">
        <v>36.4</v>
      </c>
      <c r="G402" s="36">
        <v>37.1</v>
      </c>
      <c r="H402" s="36">
        <v>37.5</v>
      </c>
      <c r="I402" s="36">
        <v>37.700000000000003</v>
      </c>
      <c r="J402" s="36">
        <v>37.4</v>
      </c>
      <c r="K402" s="46">
        <v>36.200000000000003</v>
      </c>
      <c r="L402" s="46">
        <v>35</v>
      </c>
      <c r="M402" s="46">
        <v>31</v>
      </c>
      <c r="N402" s="46">
        <v>28.7</v>
      </c>
      <c r="O402" s="46">
        <v>25.5</v>
      </c>
      <c r="P402" s="1">
        <v>34</v>
      </c>
    </row>
    <row r="403" spans="1:18">
      <c r="A403" s="38" t="s">
        <v>243</v>
      </c>
      <c r="B403" s="36">
        <v>5.7</v>
      </c>
      <c r="C403" s="36">
        <v>6</v>
      </c>
      <c r="D403" s="36">
        <v>4.9000000000000004</v>
      </c>
      <c r="E403" s="36">
        <v>5.0999999999999996</v>
      </c>
      <c r="F403" s="36">
        <v>4.7</v>
      </c>
      <c r="G403" s="36">
        <v>4.5</v>
      </c>
      <c r="H403" s="36">
        <v>4.7</v>
      </c>
      <c r="I403" s="36">
        <v>4.5999999999999996</v>
      </c>
      <c r="J403" s="36">
        <v>4.5</v>
      </c>
      <c r="K403" s="46">
        <v>4.7</v>
      </c>
      <c r="L403" s="46">
        <v>4.7</v>
      </c>
      <c r="M403" s="46">
        <v>3.5</v>
      </c>
      <c r="N403" s="46">
        <v>3.3</v>
      </c>
      <c r="O403" s="46">
        <v>1.2</v>
      </c>
      <c r="P403" s="1">
        <v>0.9</v>
      </c>
    </row>
    <row r="404" spans="1:18">
      <c r="A404" s="38" t="s">
        <v>244</v>
      </c>
      <c r="B404" s="36" t="s">
        <v>21</v>
      </c>
      <c r="C404" s="36" t="s">
        <v>21</v>
      </c>
      <c r="D404" s="36" t="s">
        <v>21</v>
      </c>
      <c r="E404" s="36" t="s">
        <v>21</v>
      </c>
      <c r="F404" s="36" t="s">
        <v>21</v>
      </c>
      <c r="G404" s="36" t="s">
        <v>21</v>
      </c>
      <c r="H404" s="36" t="s">
        <v>21</v>
      </c>
      <c r="I404" s="36" t="s">
        <v>21</v>
      </c>
      <c r="J404" s="36" t="s">
        <v>21</v>
      </c>
      <c r="K404" s="46">
        <v>1.8</v>
      </c>
      <c r="L404" s="46">
        <v>1.7</v>
      </c>
      <c r="M404" s="46">
        <v>1.7</v>
      </c>
      <c r="N404" s="46">
        <v>1.7</v>
      </c>
      <c r="O404" s="46">
        <v>1.8</v>
      </c>
      <c r="P404" s="1">
        <v>1.6</v>
      </c>
    </row>
    <row r="405" spans="1:18">
      <c r="A405" s="38" t="s">
        <v>245</v>
      </c>
      <c r="B405" s="36">
        <v>25.8</v>
      </c>
      <c r="C405" s="36">
        <v>26.8</v>
      </c>
      <c r="D405" s="36" t="s">
        <v>21</v>
      </c>
      <c r="E405" s="36" t="s">
        <v>21</v>
      </c>
      <c r="F405" s="36" t="s">
        <v>21</v>
      </c>
      <c r="G405" s="36" t="s">
        <v>21</v>
      </c>
      <c r="H405" s="36" t="s">
        <v>21</v>
      </c>
      <c r="I405" s="36" t="s">
        <v>21</v>
      </c>
      <c r="J405" s="36" t="s">
        <v>21</v>
      </c>
      <c r="K405" s="46" t="s">
        <v>21</v>
      </c>
      <c r="L405" s="46" t="s">
        <v>21</v>
      </c>
      <c r="M405" s="46" t="s">
        <v>21</v>
      </c>
      <c r="N405" s="46" t="s">
        <v>21</v>
      </c>
      <c r="O405" s="46" t="s">
        <v>21</v>
      </c>
      <c r="P405" s="46" t="s">
        <v>21</v>
      </c>
    </row>
    <row r="406" spans="1:18" ht="13" thickBot="1">
      <c r="A406" s="38" t="s">
        <v>202</v>
      </c>
      <c r="B406" s="90">
        <v>0.3</v>
      </c>
      <c r="C406" s="90">
        <v>-27.9</v>
      </c>
      <c r="D406" s="90">
        <v>1.7</v>
      </c>
      <c r="E406" s="90">
        <v>0.4</v>
      </c>
      <c r="F406" s="90">
        <v>9.3000000000000007</v>
      </c>
      <c r="G406" s="90" t="s">
        <v>21</v>
      </c>
      <c r="H406" s="90" t="s">
        <v>21</v>
      </c>
      <c r="I406" s="90" t="s">
        <v>21</v>
      </c>
      <c r="J406" s="90" t="s">
        <v>21</v>
      </c>
      <c r="K406" s="90" t="s">
        <v>21</v>
      </c>
      <c r="L406" s="90" t="s">
        <v>21</v>
      </c>
      <c r="M406" s="90" t="s">
        <v>21</v>
      </c>
      <c r="N406" s="90" t="s">
        <v>21</v>
      </c>
      <c r="O406" s="90" t="s">
        <v>21</v>
      </c>
      <c r="P406" s="90" t="s">
        <v>21</v>
      </c>
    </row>
    <row r="407" spans="1:18" ht="13.5" thickBot="1">
      <c r="A407" s="35" t="s">
        <v>247</v>
      </c>
      <c r="B407" s="90">
        <f>SUM(B400:B406)</f>
        <v>74</v>
      </c>
      <c r="C407" s="90">
        <f>SUM(C400:C406)</f>
        <v>49.800000000000004</v>
      </c>
      <c r="D407" s="90">
        <f>SUM(D400:D406)</f>
        <v>55.199999999999996</v>
      </c>
      <c r="E407" s="90">
        <f t="shared" ref="E407" si="130">SUM(E400:E406)</f>
        <v>55.199999999999996</v>
      </c>
      <c r="F407" s="90">
        <f>SUM(F400:F406)</f>
        <v>66</v>
      </c>
      <c r="G407" s="90">
        <f>SUM(G400:G406)</f>
        <v>64.099999999999994</v>
      </c>
      <c r="H407" s="90">
        <f t="shared" ref="H407" si="131">SUM(H400:H406)</f>
        <v>65.5</v>
      </c>
      <c r="I407" s="90">
        <f t="shared" ref="I407:O407" si="132">SUM(I400:I406)</f>
        <v>63.1</v>
      </c>
      <c r="J407" s="90">
        <f t="shared" si="132"/>
        <v>64.400000000000006</v>
      </c>
      <c r="K407" s="90">
        <f t="shared" si="132"/>
        <v>58.6</v>
      </c>
      <c r="L407" s="90">
        <f t="shared" si="132"/>
        <v>57.900000000000006</v>
      </c>
      <c r="M407" s="90">
        <f t="shared" si="132"/>
        <v>52</v>
      </c>
      <c r="N407" s="90">
        <f t="shared" si="132"/>
        <v>51.8</v>
      </c>
      <c r="O407" s="90">
        <f t="shared" si="132"/>
        <v>47.7</v>
      </c>
      <c r="P407" s="90">
        <f>SUM(P400:P406)</f>
        <v>53.3</v>
      </c>
    </row>
    <row r="408" spans="1:18" ht="13.5" thickBot="1">
      <c r="A408" s="35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1:18" ht="13.5" thickBot="1">
      <c r="A409" s="57" t="s">
        <v>248</v>
      </c>
      <c r="B409" s="90">
        <f t="shared" ref="B409:G409" si="133">B397+B407</f>
        <v>177.10000000000002</v>
      </c>
      <c r="C409" s="90">
        <f t="shared" si="133"/>
        <v>148.4</v>
      </c>
      <c r="D409" s="90">
        <f t="shared" si="133"/>
        <v>158.9</v>
      </c>
      <c r="E409" s="90">
        <f t="shared" si="133"/>
        <v>153.5</v>
      </c>
      <c r="F409" s="90">
        <f t="shared" si="133"/>
        <v>173</v>
      </c>
      <c r="G409" s="90">
        <f t="shared" si="133"/>
        <v>172.9</v>
      </c>
      <c r="H409" s="90">
        <f t="shared" ref="H409" si="134">H397+H407</f>
        <v>180.2</v>
      </c>
      <c r="I409" s="90">
        <f t="shared" ref="I409:O409" si="135">I397+I407</f>
        <v>185.6</v>
      </c>
      <c r="J409" s="90">
        <f t="shared" si="135"/>
        <v>191.2</v>
      </c>
      <c r="K409" s="128">
        <f t="shared" si="135"/>
        <v>191.9</v>
      </c>
      <c r="L409" s="128">
        <f t="shared" si="135"/>
        <v>201.1</v>
      </c>
      <c r="M409" s="128">
        <f t="shared" si="135"/>
        <v>221.29999999999998</v>
      </c>
      <c r="N409" s="128">
        <f t="shared" si="135"/>
        <v>212.59999999999997</v>
      </c>
      <c r="O409" s="128">
        <f t="shared" si="135"/>
        <v>216.3</v>
      </c>
      <c r="P409" s="128">
        <f>P397+P407</f>
        <v>228.3</v>
      </c>
    </row>
    <row r="412" spans="1:18" ht="13.5" thickBot="1">
      <c r="A412" s="27" t="s">
        <v>249</v>
      </c>
      <c r="B412" s="27"/>
      <c r="C412" s="27"/>
      <c r="D412" s="27"/>
      <c r="E412" s="27"/>
    </row>
    <row r="413" spans="1:18" ht="13">
      <c r="A413" s="129"/>
      <c r="B413" s="33" t="s">
        <v>7</v>
      </c>
      <c r="C413" s="33" t="s">
        <v>6</v>
      </c>
      <c r="D413" s="33" t="s">
        <v>5</v>
      </c>
      <c r="E413" s="33" t="s">
        <v>4</v>
      </c>
      <c r="F413" s="33" t="s">
        <v>3</v>
      </c>
      <c r="G413" s="33" t="s">
        <v>2</v>
      </c>
      <c r="H413" s="33" t="s">
        <v>1</v>
      </c>
      <c r="J413" s="26" t="s">
        <v>250</v>
      </c>
      <c r="K413" s="33" t="s">
        <v>15</v>
      </c>
      <c r="L413" s="33" t="s">
        <v>14</v>
      </c>
      <c r="M413" s="33" t="s">
        <v>13</v>
      </c>
      <c r="N413" s="33" t="s">
        <v>12</v>
      </c>
      <c r="O413" s="33" t="s">
        <v>11</v>
      </c>
      <c r="P413" s="33" t="s">
        <v>10</v>
      </c>
      <c r="Q413" s="33" t="s">
        <v>9</v>
      </c>
      <c r="R413" s="33" t="s">
        <v>8</v>
      </c>
    </row>
    <row r="414" spans="1:18" ht="13">
      <c r="A414" s="35"/>
      <c r="B414" s="36" t="s">
        <v>154</v>
      </c>
      <c r="C414" s="36" t="s">
        <v>154</v>
      </c>
      <c r="D414" s="12" t="s">
        <v>17</v>
      </c>
      <c r="E414" s="12" t="s">
        <v>17</v>
      </c>
      <c r="F414" s="12" t="s">
        <v>17</v>
      </c>
      <c r="G414" s="12" t="s">
        <v>17</v>
      </c>
      <c r="H414" s="12" t="s">
        <v>17</v>
      </c>
      <c r="K414" s="12" t="s">
        <v>17</v>
      </c>
      <c r="L414" s="12" t="s">
        <v>17</v>
      </c>
      <c r="M414" s="12" t="s">
        <v>17</v>
      </c>
      <c r="N414" s="12" t="s">
        <v>17</v>
      </c>
      <c r="O414" s="12" t="s">
        <v>154</v>
      </c>
      <c r="P414" s="12" t="s">
        <v>154</v>
      </c>
      <c r="Q414" s="36" t="s">
        <v>154</v>
      </c>
      <c r="R414" s="36" t="s">
        <v>154</v>
      </c>
    </row>
    <row r="415" spans="1:18">
      <c r="A415" s="1" t="s">
        <v>251</v>
      </c>
      <c r="B415" s="46">
        <v>32.504663000000001</v>
      </c>
      <c r="C415" s="46">
        <v>35.564171999999999</v>
      </c>
      <c r="D415" s="1">
        <v>33.1</v>
      </c>
      <c r="E415" s="1">
        <v>19.100000000000001</v>
      </c>
      <c r="F415" s="1">
        <v>26.6</v>
      </c>
      <c r="G415" s="1">
        <v>32.5</v>
      </c>
      <c r="H415" s="1">
        <v>31.6</v>
      </c>
      <c r="J415" s="1" t="s">
        <v>252</v>
      </c>
      <c r="K415" s="44" t="s">
        <v>21</v>
      </c>
      <c r="L415" s="44" t="s">
        <v>21</v>
      </c>
      <c r="M415" s="44" t="s">
        <v>21</v>
      </c>
      <c r="N415" s="44" t="s">
        <v>21</v>
      </c>
      <c r="O415" s="44" t="s">
        <v>21</v>
      </c>
      <c r="P415" s="44">
        <v>33.4</v>
      </c>
      <c r="Q415" s="44">
        <v>35.5</v>
      </c>
      <c r="R415" s="44">
        <v>35.200000000000003</v>
      </c>
    </row>
    <row r="416" spans="1:18">
      <c r="A416" s="1" t="s">
        <v>253</v>
      </c>
      <c r="B416" s="46">
        <v>3.1118060000000001</v>
      </c>
      <c r="C416" s="46">
        <v>4.5643979999999997</v>
      </c>
      <c r="D416" s="1">
        <v>5.4</v>
      </c>
      <c r="E416" s="1">
        <v>6.1</v>
      </c>
      <c r="F416" s="1">
        <v>4.0999999999999996</v>
      </c>
      <c r="G416" s="1">
        <v>2.8</v>
      </c>
      <c r="H416" s="1">
        <v>2.8</v>
      </c>
      <c r="J416" s="1" t="s">
        <v>254</v>
      </c>
      <c r="K416" s="44">
        <v>10.199999999999999</v>
      </c>
      <c r="L416" s="44">
        <v>10.199999999999999</v>
      </c>
      <c r="M416" s="44">
        <v>9.4</v>
      </c>
      <c r="N416" s="44">
        <v>8</v>
      </c>
      <c r="O416" s="44">
        <v>12.2</v>
      </c>
      <c r="P416" s="44">
        <v>13.2</v>
      </c>
      <c r="Q416" s="44">
        <v>12.8</v>
      </c>
      <c r="R416" s="44">
        <v>12.5</v>
      </c>
    </row>
    <row r="417" spans="1:18">
      <c r="A417" s="1" t="s">
        <v>255</v>
      </c>
      <c r="B417" s="46">
        <v>2.4</v>
      </c>
      <c r="C417" s="46">
        <v>2.6</v>
      </c>
      <c r="D417" s="1">
        <v>0.8</v>
      </c>
      <c r="E417" s="1">
        <v>0.7</v>
      </c>
      <c r="F417" s="1">
        <v>1.3</v>
      </c>
      <c r="G417" s="1">
        <v>1.1000000000000001</v>
      </c>
      <c r="H417" s="1">
        <v>1.1000000000000001</v>
      </c>
      <c r="J417" s="1" t="s">
        <v>256</v>
      </c>
      <c r="K417" s="44">
        <v>6.8</v>
      </c>
      <c r="L417" s="44">
        <v>7</v>
      </c>
      <c r="M417" s="44">
        <v>7.5</v>
      </c>
      <c r="N417" s="44">
        <v>7.9</v>
      </c>
      <c r="O417" s="44">
        <v>8.1999999999999993</v>
      </c>
      <c r="P417" s="44">
        <v>10.1</v>
      </c>
      <c r="Q417" s="44">
        <v>10.5</v>
      </c>
      <c r="R417" s="44">
        <v>10.5</v>
      </c>
    </row>
    <row r="418" spans="1:18">
      <c r="A418" s="1" t="s">
        <v>257</v>
      </c>
      <c r="B418" s="46">
        <v>6.3</v>
      </c>
      <c r="C418" s="46">
        <v>6.4</v>
      </c>
      <c r="D418" s="1">
        <v>8.4</v>
      </c>
      <c r="E418" s="1">
        <v>4.3</v>
      </c>
      <c r="F418" s="1">
        <v>5.4</v>
      </c>
      <c r="G418" s="1">
        <v>7.4</v>
      </c>
      <c r="H418" s="1">
        <v>10</v>
      </c>
      <c r="J418" s="1" t="s">
        <v>258</v>
      </c>
      <c r="K418" s="44" t="s">
        <v>21</v>
      </c>
      <c r="L418" s="44" t="s">
        <v>21</v>
      </c>
      <c r="M418" s="44" t="s">
        <v>21</v>
      </c>
      <c r="N418" s="44" t="s">
        <v>21</v>
      </c>
      <c r="O418" s="44" t="s">
        <v>21</v>
      </c>
      <c r="P418" s="44">
        <v>7.2</v>
      </c>
      <c r="Q418" s="44">
        <v>6.3</v>
      </c>
      <c r="R418" s="44">
        <v>7.4</v>
      </c>
    </row>
    <row r="419" spans="1:18">
      <c r="A419" s="1" t="s">
        <v>259</v>
      </c>
      <c r="B419" s="46">
        <v>5.0563359999999991</v>
      </c>
      <c r="C419" s="46">
        <v>2.5058379999999998</v>
      </c>
      <c r="D419" s="1">
        <v>7</v>
      </c>
      <c r="E419" s="1">
        <v>5.6</v>
      </c>
      <c r="F419" s="1">
        <v>7.4</v>
      </c>
      <c r="G419" s="1">
        <v>7</v>
      </c>
      <c r="H419" s="1">
        <v>6.8</v>
      </c>
      <c r="J419" s="1" t="s">
        <v>260</v>
      </c>
      <c r="K419" s="44" t="s">
        <v>21</v>
      </c>
      <c r="L419" s="44" t="s">
        <v>21</v>
      </c>
      <c r="M419" s="44" t="s">
        <v>21</v>
      </c>
      <c r="N419" s="44" t="s">
        <v>21</v>
      </c>
      <c r="O419" s="44" t="s">
        <v>21</v>
      </c>
      <c r="P419" s="44">
        <v>1.7</v>
      </c>
      <c r="Q419" s="44">
        <v>6.3</v>
      </c>
      <c r="R419" s="44">
        <v>-2.1</v>
      </c>
    </row>
    <row r="420" spans="1:18">
      <c r="A420" s="1" t="s">
        <v>256</v>
      </c>
      <c r="B420" s="46">
        <v>9.9331800000000001</v>
      </c>
      <c r="C420" s="46">
        <v>9.762893</v>
      </c>
      <c r="D420" s="1">
        <v>9.8000000000000007</v>
      </c>
      <c r="E420" s="1">
        <v>7.8</v>
      </c>
      <c r="F420" s="1">
        <v>7</v>
      </c>
      <c r="G420" s="1">
        <v>6.9</v>
      </c>
      <c r="H420" s="1">
        <v>6.9</v>
      </c>
      <c r="J420" s="1" t="s">
        <v>261</v>
      </c>
      <c r="K420" s="44">
        <v>5.5</v>
      </c>
      <c r="L420" s="44">
        <v>4.9000000000000004</v>
      </c>
      <c r="M420" s="44">
        <v>5</v>
      </c>
      <c r="N420" s="44">
        <v>4.7</v>
      </c>
      <c r="O420" s="44">
        <v>4.7</v>
      </c>
      <c r="P420" s="44">
        <v>5.6</v>
      </c>
      <c r="Q420" s="44">
        <v>4</v>
      </c>
      <c r="R420" s="44">
        <v>4.0999999999999996</v>
      </c>
    </row>
    <row r="421" spans="1:18">
      <c r="A421" s="1" t="s">
        <v>262</v>
      </c>
      <c r="B421" s="46">
        <v>4.1225569999999996</v>
      </c>
      <c r="C421" s="46">
        <v>5.8799520000000003</v>
      </c>
      <c r="D421" s="1">
        <v>8.4</v>
      </c>
      <c r="E421" s="1">
        <v>2.2999999999999998</v>
      </c>
      <c r="F421" s="1">
        <v>1.9</v>
      </c>
      <c r="G421" s="1">
        <v>2.2000000000000002</v>
      </c>
      <c r="H421" s="1">
        <v>2.5</v>
      </c>
      <c r="J421" s="1" t="s">
        <v>263</v>
      </c>
      <c r="K421" s="44">
        <v>4.5999999999999996</v>
      </c>
      <c r="L421" s="44">
        <v>4</v>
      </c>
      <c r="M421" s="44">
        <v>2.9</v>
      </c>
      <c r="N421" s="44">
        <v>2.7</v>
      </c>
      <c r="O421" s="44">
        <v>2.4</v>
      </c>
      <c r="P421" s="44">
        <v>2.6</v>
      </c>
      <c r="Q421" s="44">
        <v>3.1</v>
      </c>
      <c r="R421" s="44">
        <v>2.7</v>
      </c>
    </row>
    <row r="422" spans="1:18" ht="13" thickBot="1">
      <c r="A422" s="130" t="s">
        <v>264</v>
      </c>
      <c r="B422" s="131">
        <v>1.62558</v>
      </c>
      <c r="C422" s="131">
        <v>2.961551</v>
      </c>
      <c r="D422" s="130">
        <v>1.6</v>
      </c>
      <c r="E422" s="130">
        <v>0.5</v>
      </c>
      <c r="F422" s="130">
        <v>0.5</v>
      </c>
      <c r="G422" s="130">
        <v>1.2</v>
      </c>
      <c r="H422" s="130">
        <v>0.5</v>
      </c>
      <c r="J422" s="1" t="s">
        <v>265</v>
      </c>
      <c r="K422" s="44">
        <v>7.5</v>
      </c>
      <c r="L422" s="44">
        <v>7.7</v>
      </c>
      <c r="M422" s="44">
        <v>7.7</v>
      </c>
      <c r="N422" s="44">
        <v>8.5</v>
      </c>
      <c r="O422" s="44">
        <v>9.1</v>
      </c>
      <c r="P422" s="44">
        <v>2.4</v>
      </c>
      <c r="Q422" s="44">
        <v>2.5</v>
      </c>
      <c r="R422" s="44">
        <v>2.6</v>
      </c>
    </row>
    <row r="423" spans="1:18" ht="13.5" thickBot="1">
      <c r="A423" s="132" t="s">
        <v>266</v>
      </c>
      <c r="B423" s="133">
        <f t="shared" ref="B423:H423" si="136">SUM(B415:B422)</f>
        <v>65.054122000000007</v>
      </c>
      <c r="C423" s="133">
        <f t="shared" si="136"/>
        <v>70.238803999999988</v>
      </c>
      <c r="D423" s="133">
        <f t="shared" si="136"/>
        <v>74.5</v>
      </c>
      <c r="E423" s="133">
        <f t="shared" si="136"/>
        <v>46.4</v>
      </c>
      <c r="F423" s="133">
        <f t="shared" si="136"/>
        <v>54.199999999999996</v>
      </c>
      <c r="G423" s="133">
        <f t="shared" si="136"/>
        <v>61.1</v>
      </c>
      <c r="H423" s="133">
        <f t="shared" si="136"/>
        <v>62.199999999999996</v>
      </c>
      <c r="J423" s="1" t="s">
        <v>267</v>
      </c>
      <c r="K423" s="44" t="s">
        <v>21</v>
      </c>
      <c r="L423" s="44" t="s">
        <v>21</v>
      </c>
      <c r="M423" s="44" t="s">
        <v>21</v>
      </c>
      <c r="N423" s="44" t="s">
        <v>21</v>
      </c>
      <c r="O423" s="44" t="s">
        <v>21</v>
      </c>
      <c r="P423" s="44">
        <v>2.4</v>
      </c>
      <c r="Q423" s="44">
        <v>2.6</v>
      </c>
      <c r="R423" s="44">
        <v>3.1</v>
      </c>
    </row>
    <row r="424" spans="1:18" ht="13">
      <c r="A424" s="26"/>
      <c r="B424" s="113"/>
      <c r="C424" s="113"/>
      <c r="D424" s="113"/>
      <c r="E424" s="113"/>
      <c r="F424" s="113"/>
      <c r="G424" s="113"/>
      <c r="H424" s="113"/>
      <c r="J424" s="1" t="s">
        <v>268</v>
      </c>
      <c r="K424" s="44" t="s">
        <v>21</v>
      </c>
      <c r="L424" s="44" t="s">
        <v>21</v>
      </c>
      <c r="M424" s="44" t="s">
        <v>21</v>
      </c>
      <c r="N424" s="44" t="s">
        <v>21</v>
      </c>
      <c r="O424" s="44" t="s">
        <v>21</v>
      </c>
      <c r="P424" s="44">
        <v>1.8</v>
      </c>
      <c r="Q424" s="44">
        <v>1.8</v>
      </c>
      <c r="R424" s="44">
        <v>1.9</v>
      </c>
    </row>
    <row r="425" spans="1:18">
      <c r="A425" s="1" t="s">
        <v>251</v>
      </c>
      <c r="B425" s="46">
        <v>1.8</v>
      </c>
      <c r="C425" s="46">
        <v>1</v>
      </c>
      <c r="D425" s="1">
        <v>4.5999999999999996</v>
      </c>
      <c r="E425" s="1">
        <v>3.2</v>
      </c>
      <c r="F425" s="1">
        <v>3.7</v>
      </c>
      <c r="G425" s="1">
        <v>5.6</v>
      </c>
      <c r="H425" s="1">
        <v>6.3</v>
      </c>
      <c r="J425" s="1" t="s">
        <v>269</v>
      </c>
      <c r="K425" s="44" t="s">
        <v>21</v>
      </c>
      <c r="L425" s="44" t="s">
        <v>21</v>
      </c>
      <c r="M425" s="44" t="s">
        <v>21</v>
      </c>
      <c r="N425" s="44" t="s">
        <v>21</v>
      </c>
      <c r="O425" s="44">
        <v>1.6</v>
      </c>
      <c r="P425" s="44">
        <v>1.4</v>
      </c>
      <c r="Q425" s="44">
        <v>1.6</v>
      </c>
      <c r="R425" s="44">
        <v>1.6</v>
      </c>
    </row>
    <row r="426" spans="1:18">
      <c r="A426" s="1" t="s">
        <v>270</v>
      </c>
      <c r="B426" s="46">
        <v>1.8</v>
      </c>
      <c r="C426" s="46">
        <v>1.9</v>
      </c>
      <c r="D426" s="1">
        <v>1.9</v>
      </c>
      <c r="E426" s="1">
        <v>1.4</v>
      </c>
      <c r="F426" s="1">
        <v>2.2000000000000002</v>
      </c>
      <c r="G426" s="1">
        <v>1.9</v>
      </c>
      <c r="H426" s="1">
        <v>2</v>
      </c>
      <c r="J426" s="1" t="s">
        <v>271</v>
      </c>
      <c r="K426" s="44">
        <v>0.3</v>
      </c>
      <c r="L426" s="44">
        <v>0.3</v>
      </c>
      <c r="M426" s="44">
        <v>0.2</v>
      </c>
      <c r="N426" s="44">
        <v>2.7</v>
      </c>
      <c r="O426" s="44">
        <v>1.5</v>
      </c>
      <c r="P426" s="44">
        <v>1.5</v>
      </c>
      <c r="Q426" s="44">
        <v>1.6</v>
      </c>
      <c r="R426" s="44">
        <v>1.7</v>
      </c>
    </row>
    <row r="427" spans="1:18" ht="13" thickBot="1">
      <c r="A427" s="130" t="s">
        <v>272</v>
      </c>
      <c r="B427" s="131">
        <v>5.0999999999999996</v>
      </c>
      <c r="C427" s="131">
        <v>4.8</v>
      </c>
      <c r="D427" s="130">
        <v>1.6</v>
      </c>
      <c r="E427" s="130">
        <v>2</v>
      </c>
      <c r="F427" s="130">
        <v>1.7</v>
      </c>
      <c r="G427" s="130">
        <v>2.2000000000000002</v>
      </c>
      <c r="H427" s="130">
        <v>1.9</v>
      </c>
      <c r="J427" s="1" t="s">
        <v>273</v>
      </c>
      <c r="K427" s="44" t="s">
        <v>21</v>
      </c>
      <c r="L427" s="44" t="s">
        <v>21</v>
      </c>
      <c r="M427" s="44" t="s">
        <v>21</v>
      </c>
      <c r="N427" s="44" t="s">
        <v>21</v>
      </c>
      <c r="O427" s="44" t="s">
        <v>21</v>
      </c>
      <c r="P427" s="44">
        <v>1.2</v>
      </c>
      <c r="Q427" s="44">
        <v>1.4</v>
      </c>
      <c r="R427" s="44">
        <v>1.6</v>
      </c>
    </row>
    <row r="428" spans="1:18" ht="13.5" thickBot="1">
      <c r="A428" s="132" t="s">
        <v>274</v>
      </c>
      <c r="B428" s="133">
        <f t="shared" ref="B428:H428" si="137">SUM(B425:B427)</f>
        <v>8.6999999999999993</v>
      </c>
      <c r="C428" s="133">
        <f t="shared" si="137"/>
        <v>7.6999999999999993</v>
      </c>
      <c r="D428" s="133">
        <f t="shared" si="137"/>
        <v>8.1</v>
      </c>
      <c r="E428" s="133">
        <f t="shared" si="137"/>
        <v>6.6</v>
      </c>
      <c r="F428" s="133">
        <f t="shared" si="137"/>
        <v>7.6000000000000005</v>
      </c>
      <c r="G428" s="133">
        <f t="shared" si="137"/>
        <v>9.6999999999999993</v>
      </c>
      <c r="H428" s="133">
        <f t="shared" si="137"/>
        <v>10.200000000000001</v>
      </c>
      <c r="J428" s="1" t="s">
        <v>275</v>
      </c>
      <c r="K428" s="44" t="s">
        <v>21</v>
      </c>
      <c r="L428" s="44" t="s">
        <v>21</v>
      </c>
      <c r="M428" s="44" t="s">
        <v>21</v>
      </c>
      <c r="N428" s="44" t="s">
        <v>21</v>
      </c>
      <c r="O428" s="44" t="s">
        <v>21</v>
      </c>
      <c r="P428" s="44">
        <v>1.1000000000000001</v>
      </c>
      <c r="Q428" s="44">
        <v>1.1000000000000001</v>
      </c>
      <c r="R428" s="44">
        <v>1.1000000000000001</v>
      </c>
    </row>
    <row r="429" spans="1:18">
      <c r="B429" s="46"/>
      <c r="C429" s="46"/>
      <c r="J429" s="1" t="s">
        <v>276</v>
      </c>
      <c r="K429" s="44" t="s">
        <v>21</v>
      </c>
      <c r="L429" s="44">
        <v>0.2</v>
      </c>
      <c r="M429" s="44">
        <v>3.6</v>
      </c>
      <c r="N429" s="44">
        <v>4.2</v>
      </c>
      <c r="O429" s="44">
        <v>2.7</v>
      </c>
      <c r="P429" s="44">
        <v>1.4</v>
      </c>
      <c r="Q429" s="44">
        <v>1</v>
      </c>
      <c r="R429" s="44">
        <v>0.9</v>
      </c>
    </row>
    <row r="430" spans="1:18">
      <c r="A430" s="1" t="s">
        <v>258</v>
      </c>
      <c r="B430" s="46">
        <v>8.1030119999999997</v>
      </c>
      <c r="C430" s="46">
        <v>7.1275500000000003</v>
      </c>
      <c r="D430" s="1">
        <v>8.1999999999999993</v>
      </c>
      <c r="E430" s="1">
        <v>6.4</v>
      </c>
      <c r="F430" s="1">
        <v>5.9</v>
      </c>
      <c r="G430" s="1">
        <v>14.9</v>
      </c>
      <c r="H430" s="1">
        <v>23.2</v>
      </c>
      <c r="J430" s="1" t="s">
        <v>277</v>
      </c>
      <c r="K430" s="44" t="s">
        <v>21</v>
      </c>
      <c r="L430" s="44" t="s">
        <v>21</v>
      </c>
      <c r="M430" s="44" t="s">
        <v>21</v>
      </c>
      <c r="N430" s="44" t="s">
        <v>21</v>
      </c>
      <c r="O430" s="44" t="s">
        <v>21</v>
      </c>
      <c r="P430" s="44">
        <v>1.8</v>
      </c>
      <c r="Q430" s="44">
        <v>0.8</v>
      </c>
      <c r="R430" s="44">
        <v>0.5</v>
      </c>
    </row>
    <row r="431" spans="1:18">
      <c r="A431" s="1" t="s">
        <v>263</v>
      </c>
      <c r="B431" s="46">
        <v>3.194931</v>
      </c>
      <c r="C431" s="46">
        <v>3.543031</v>
      </c>
      <c r="D431" s="1">
        <v>3.8</v>
      </c>
      <c r="E431" s="1">
        <v>3.1</v>
      </c>
      <c r="F431" s="1">
        <v>3.4</v>
      </c>
      <c r="G431" s="1">
        <v>2.9</v>
      </c>
      <c r="H431" s="1">
        <v>2.9</v>
      </c>
      <c r="J431" s="1" t="s">
        <v>278</v>
      </c>
      <c r="K431" s="44" t="s">
        <v>21</v>
      </c>
      <c r="L431" s="44" t="s">
        <v>21</v>
      </c>
      <c r="M431" s="44" t="s">
        <v>21</v>
      </c>
      <c r="N431" s="44" t="s">
        <v>21</v>
      </c>
      <c r="O431" s="44" t="s">
        <v>21</v>
      </c>
      <c r="P431" s="44">
        <v>0.9</v>
      </c>
      <c r="Q431" s="44">
        <v>0.4</v>
      </c>
      <c r="R431" s="44">
        <v>0.5</v>
      </c>
    </row>
    <row r="432" spans="1:18">
      <c r="A432" s="1" t="s">
        <v>279</v>
      </c>
      <c r="B432" s="46">
        <v>2.8818060000000001</v>
      </c>
      <c r="C432" s="46">
        <v>3.1411920000000002</v>
      </c>
      <c r="D432" s="1">
        <v>4.2</v>
      </c>
      <c r="E432" s="1">
        <v>4.5999999999999996</v>
      </c>
      <c r="F432" s="1">
        <v>6.9</v>
      </c>
      <c r="G432" s="1">
        <v>6.8</v>
      </c>
      <c r="H432" s="1">
        <v>7.3</v>
      </c>
      <c r="J432" s="1" t="s">
        <v>280</v>
      </c>
      <c r="K432" s="44">
        <v>0.1</v>
      </c>
      <c r="L432" s="44" t="s">
        <v>21</v>
      </c>
      <c r="M432" s="44" t="s">
        <v>21</v>
      </c>
      <c r="N432" s="44" t="s">
        <v>21</v>
      </c>
      <c r="O432" s="44" t="s">
        <v>21</v>
      </c>
      <c r="P432" s="44" t="s">
        <v>21</v>
      </c>
      <c r="Q432" s="44" t="s">
        <v>21</v>
      </c>
      <c r="R432" s="44" t="s">
        <v>21</v>
      </c>
    </row>
    <row r="433" spans="1:18">
      <c r="A433" s="1" t="s">
        <v>281</v>
      </c>
      <c r="B433" s="46">
        <v>1.1000000000000001</v>
      </c>
      <c r="C433" s="46">
        <v>1.7</v>
      </c>
      <c r="D433" s="1">
        <v>0.5</v>
      </c>
      <c r="E433" s="1">
        <v>2.2000000000000002</v>
      </c>
      <c r="F433" s="1">
        <v>5.9</v>
      </c>
      <c r="G433" s="1">
        <v>6.1</v>
      </c>
      <c r="H433" s="1">
        <v>3.5</v>
      </c>
      <c r="J433" s="1" t="s">
        <v>282</v>
      </c>
      <c r="K433" s="44">
        <v>10.7</v>
      </c>
      <c r="L433" s="44">
        <v>14.5</v>
      </c>
      <c r="M433" s="44">
        <v>14.8</v>
      </c>
      <c r="N433" s="44">
        <v>14.9</v>
      </c>
      <c r="O433" s="44">
        <v>15.7</v>
      </c>
      <c r="P433" s="44">
        <v>3.5</v>
      </c>
      <c r="Q433" s="44">
        <v>8</v>
      </c>
      <c r="R433" s="44">
        <v>6.9</v>
      </c>
    </row>
    <row r="434" spans="1:18">
      <c r="A434" s="1" t="s">
        <v>273</v>
      </c>
      <c r="B434" s="46">
        <v>1.804414</v>
      </c>
      <c r="C434" s="46">
        <v>2.0696150000000002</v>
      </c>
      <c r="D434" s="1">
        <v>2.4</v>
      </c>
      <c r="E434" s="1">
        <v>2</v>
      </c>
      <c r="F434" s="1">
        <v>1.9</v>
      </c>
      <c r="G434" s="1">
        <v>1.6</v>
      </c>
      <c r="H434" s="1">
        <v>1.7</v>
      </c>
      <c r="J434" s="1" t="s">
        <v>202</v>
      </c>
      <c r="K434" s="44">
        <v>1.4</v>
      </c>
      <c r="L434" s="44" t="s">
        <v>21</v>
      </c>
      <c r="M434" s="44" t="s">
        <v>21</v>
      </c>
      <c r="N434" s="44" t="s">
        <v>21</v>
      </c>
      <c r="O434" s="44" t="s">
        <v>21</v>
      </c>
      <c r="P434" s="44" t="s">
        <v>21</v>
      </c>
      <c r="Q434" s="44" t="s">
        <v>21</v>
      </c>
      <c r="R434" s="44" t="s">
        <v>21</v>
      </c>
    </row>
    <row r="435" spans="1:18" ht="13" thickBot="1">
      <c r="A435" s="1" t="s">
        <v>283</v>
      </c>
      <c r="B435" s="46">
        <v>12.055523999999998</v>
      </c>
      <c r="C435" s="46">
        <v>14.414563000000001</v>
      </c>
      <c r="D435" s="1">
        <v>14.9</v>
      </c>
      <c r="E435" s="1">
        <v>9.5</v>
      </c>
      <c r="F435" s="1">
        <v>21.1</v>
      </c>
      <c r="G435" s="1">
        <v>13.7</v>
      </c>
      <c r="H435" s="1">
        <v>20.100000000000001</v>
      </c>
      <c r="J435" s="1" t="s">
        <v>284</v>
      </c>
      <c r="K435" s="90">
        <f>SUM(K415:K434)</f>
        <v>47.1</v>
      </c>
      <c r="L435" s="90">
        <f t="shared" ref="L435:R435" si="138">SUM(L415:L433)</f>
        <v>48.800000000000004</v>
      </c>
      <c r="M435" s="90">
        <f t="shared" si="138"/>
        <v>51.100000000000009</v>
      </c>
      <c r="N435" s="90">
        <f t="shared" si="138"/>
        <v>53.6</v>
      </c>
      <c r="O435" s="90">
        <f t="shared" si="138"/>
        <v>58.099999999999994</v>
      </c>
      <c r="P435" s="90">
        <f t="shared" si="138"/>
        <v>93.2</v>
      </c>
      <c r="Q435" s="90">
        <f t="shared" si="138"/>
        <v>101.29999999999997</v>
      </c>
      <c r="R435" s="90">
        <f t="shared" si="138"/>
        <v>92.7</v>
      </c>
    </row>
    <row r="436" spans="1:18" ht="13.5" thickBot="1">
      <c r="A436" s="132" t="s">
        <v>285</v>
      </c>
      <c r="B436" s="133">
        <f t="shared" ref="B436:H436" si="139">SUM(B430:B435)</f>
        <v>29.139686999999999</v>
      </c>
      <c r="C436" s="133">
        <f t="shared" si="139"/>
        <v>31.995951000000002</v>
      </c>
      <c r="D436" s="133">
        <f t="shared" si="139"/>
        <v>34</v>
      </c>
      <c r="E436" s="133">
        <f t="shared" si="139"/>
        <v>27.8</v>
      </c>
      <c r="F436" s="133">
        <f t="shared" si="139"/>
        <v>45.1</v>
      </c>
      <c r="G436" s="133">
        <f t="shared" si="139"/>
        <v>46</v>
      </c>
      <c r="H436" s="133">
        <f t="shared" si="139"/>
        <v>58.7</v>
      </c>
    </row>
    <row r="437" spans="1:18" ht="13">
      <c r="A437" s="26"/>
      <c r="B437" s="113"/>
      <c r="C437" s="113"/>
      <c r="D437" s="113"/>
      <c r="E437" s="113"/>
      <c r="F437" s="113"/>
      <c r="G437" s="113"/>
      <c r="H437" s="113"/>
    </row>
    <row r="438" spans="1:18" ht="13.5" thickBot="1">
      <c r="A438" s="132" t="s">
        <v>286</v>
      </c>
      <c r="B438" s="133">
        <f t="shared" ref="B438:H438" si="140">SUM(B423+B428+B436)</f>
        <v>102.893809</v>
      </c>
      <c r="C438" s="133">
        <f t="shared" si="140"/>
        <v>109.934755</v>
      </c>
      <c r="D438" s="133">
        <f t="shared" si="140"/>
        <v>116.6</v>
      </c>
      <c r="E438" s="133">
        <f t="shared" si="140"/>
        <v>80.8</v>
      </c>
      <c r="F438" s="133">
        <f t="shared" si="140"/>
        <v>106.9</v>
      </c>
      <c r="G438" s="133">
        <f t="shared" si="140"/>
        <v>116.8</v>
      </c>
      <c r="H438" s="133">
        <f t="shared" si="140"/>
        <v>131.1</v>
      </c>
    </row>
    <row r="439" spans="1:18" ht="13">
      <c r="B439" s="113"/>
      <c r="F439" s="113"/>
    </row>
    <row r="441" spans="1:18" ht="13.5" thickBot="1">
      <c r="A441" s="27" t="s">
        <v>287</v>
      </c>
    </row>
    <row r="442" spans="1:18" ht="52">
      <c r="A442" s="271"/>
      <c r="B442" s="135" t="s">
        <v>135</v>
      </c>
      <c r="C442" s="135" t="s">
        <v>136</v>
      </c>
      <c r="D442" s="135" t="s">
        <v>137</v>
      </c>
      <c r="E442" s="135" t="s">
        <v>138</v>
      </c>
      <c r="F442" s="135" t="s">
        <v>288</v>
      </c>
      <c r="G442" s="135" t="s">
        <v>289</v>
      </c>
    </row>
    <row r="443" spans="1:18" ht="13">
      <c r="A443" s="272"/>
      <c r="B443" s="136" t="s">
        <v>17</v>
      </c>
      <c r="C443" s="136" t="s">
        <v>17</v>
      </c>
      <c r="D443" s="136" t="s">
        <v>17</v>
      </c>
      <c r="E443" s="136" t="s">
        <v>17</v>
      </c>
      <c r="F443" s="136" t="s">
        <v>17</v>
      </c>
      <c r="G443" s="136" t="s">
        <v>17</v>
      </c>
    </row>
    <row r="444" spans="1:18" ht="13">
      <c r="A444" s="137" t="s">
        <v>290</v>
      </c>
      <c r="B444" s="110"/>
      <c r="C444" s="110"/>
      <c r="D444" s="110"/>
      <c r="E444" s="110"/>
      <c r="F444" s="110"/>
      <c r="G444" s="114"/>
    </row>
    <row r="445" spans="1:18" ht="13">
      <c r="A445" s="137" t="s">
        <v>291</v>
      </c>
      <c r="B445" s="110">
        <v>879.6</v>
      </c>
      <c r="C445" s="110">
        <v>371.8</v>
      </c>
      <c r="D445" s="110">
        <v>113.5</v>
      </c>
      <c r="E445" s="110">
        <v>46.5</v>
      </c>
      <c r="F445" s="110">
        <v>56.4</v>
      </c>
      <c r="G445" s="138">
        <f>SUM(B445:F445)</f>
        <v>1467.8000000000002</v>
      </c>
    </row>
    <row r="446" spans="1:18" ht="13">
      <c r="A446" s="137" t="s">
        <v>292</v>
      </c>
      <c r="B446" s="110" t="s">
        <v>21</v>
      </c>
      <c r="C446" s="110">
        <v>2.2000000000000002</v>
      </c>
      <c r="D446" s="110" t="s">
        <v>21</v>
      </c>
      <c r="E446" s="110" t="s">
        <v>21</v>
      </c>
      <c r="F446" s="110">
        <v>0.2</v>
      </c>
      <c r="G446" s="138">
        <f>SUM(B446:F446)</f>
        <v>2.4000000000000004</v>
      </c>
    </row>
    <row r="447" spans="1:18" ht="13.5" thickBot="1">
      <c r="A447" s="137" t="s">
        <v>293</v>
      </c>
      <c r="B447" s="111">
        <v>36.299999999999997</v>
      </c>
      <c r="C447" s="111">
        <v>29.5</v>
      </c>
      <c r="D447" s="111">
        <v>0.5</v>
      </c>
      <c r="E447" s="111" t="s">
        <v>21</v>
      </c>
      <c r="F447" s="111">
        <v>2.6</v>
      </c>
      <c r="G447" s="138">
        <f>SUM(B447:F447)</f>
        <v>68.899999999999991</v>
      </c>
    </row>
    <row r="448" spans="1:18" ht="13.5" thickBot="1">
      <c r="A448" s="139" t="s">
        <v>294</v>
      </c>
      <c r="B448" s="111">
        <f>SUM(B445:B447)</f>
        <v>915.9</v>
      </c>
      <c r="C448" s="111">
        <f t="shared" ref="C448:F448" si="141">SUM(C445:C447)</f>
        <v>403.5</v>
      </c>
      <c r="D448" s="111">
        <f t="shared" si="141"/>
        <v>114</v>
      </c>
      <c r="E448" s="111">
        <f t="shared" si="141"/>
        <v>46.5</v>
      </c>
      <c r="F448" s="111">
        <f t="shared" si="141"/>
        <v>59.2</v>
      </c>
      <c r="G448" s="138">
        <f>SUM(B448:F448)</f>
        <v>1539.1000000000001</v>
      </c>
    </row>
    <row r="449" spans="1:7" ht="13">
      <c r="A449" s="137" t="s">
        <v>290</v>
      </c>
      <c r="B449" s="110"/>
      <c r="C449" s="110"/>
      <c r="D449" s="110"/>
      <c r="E449" s="110"/>
      <c r="F449" s="110"/>
      <c r="G449" s="114"/>
    </row>
    <row r="450" spans="1:7" ht="13">
      <c r="A450" s="137" t="s">
        <v>291</v>
      </c>
      <c r="B450" s="110">
        <v>795.6</v>
      </c>
      <c r="C450" s="110">
        <v>373.5</v>
      </c>
      <c r="D450" s="110">
        <v>97</v>
      </c>
      <c r="E450" s="110">
        <v>44.8</v>
      </c>
      <c r="F450" s="110">
        <v>55.6</v>
      </c>
      <c r="G450" s="138">
        <f>SUM(B450:F450)</f>
        <v>1366.4999999999998</v>
      </c>
    </row>
    <row r="451" spans="1:7" ht="13">
      <c r="A451" s="137" t="s">
        <v>292</v>
      </c>
      <c r="B451" s="110">
        <v>0.7</v>
      </c>
      <c r="C451" s="110">
        <v>2.1</v>
      </c>
      <c r="D451" s="110">
        <v>0.3</v>
      </c>
      <c r="E451" s="110" t="s">
        <v>21</v>
      </c>
      <c r="F451" s="110">
        <v>0.2</v>
      </c>
      <c r="G451" s="138">
        <f>SUM(B451:F451)</f>
        <v>3.3</v>
      </c>
    </row>
    <row r="452" spans="1:7" ht="13.5" thickBot="1">
      <c r="A452" s="137" t="s">
        <v>293</v>
      </c>
      <c r="B452" s="111">
        <v>34.700000000000003</v>
      </c>
      <c r="C452" s="111">
        <v>27.9</v>
      </c>
      <c r="D452" s="111" t="s">
        <v>21</v>
      </c>
      <c r="E452" s="111" t="s">
        <v>21</v>
      </c>
      <c r="F452" s="111">
        <v>2.9</v>
      </c>
      <c r="G452" s="138">
        <f>SUM(B452:F452)</f>
        <v>65.5</v>
      </c>
    </row>
    <row r="453" spans="1:7" ht="13.5" thickBot="1">
      <c r="A453" s="139" t="s">
        <v>295</v>
      </c>
      <c r="B453" s="111">
        <f>SUM(B450:B452)</f>
        <v>831.00000000000011</v>
      </c>
      <c r="C453" s="111">
        <f>SUM(C450:C452)</f>
        <v>403.5</v>
      </c>
      <c r="D453" s="111">
        <f>SUM(D450:D452)</f>
        <v>97.3</v>
      </c>
      <c r="E453" s="111">
        <f>SUM(E450:E452)</f>
        <v>44.8</v>
      </c>
      <c r="F453" s="111">
        <f>SUM(F450:F452)</f>
        <v>58.7</v>
      </c>
      <c r="G453" s="138">
        <f>SUM(B453:F453)</f>
        <v>1435.3</v>
      </c>
    </row>
    <row r="454" spans="1:7" ht="13">
      <c r="A454" s="137" t="s">
        <v>290</v>
      </c>
      <c r="B454" s="110"/>
      <c r="C454" s="110"/>
      <c r="D454" s="110"/>
      <c r="E454" s="110"/>
      <c r="F454" s="110"/>
      <c r="G454" s="114"/>
    </row>
    <row r="455" spans="1:7" ht="13">
      <c r="A455" s="137" t="s">
        <v>291</v>
      </c>
      <c r="B455" s="110">
        <v>697.1</v>
      </c>
      <c r="C455" s="110">
        <v>368.6</v>
      </c>
      <c r="D455" s="110">
        <v>94.7</v>
      </c>
      <c r="E455" s="110">
        <v>44</v>
      </c>
      <c r="F455" s="110">
        <v>46.1</v>
      </c>
      <c r="G455" s="138">
        <f>SUM(B455:F455)</f>
        <v>1250.5</v>
      </c>
    </row>
    <row r="456" spans="1:7" ht="13">
      <c r="A456" s="137" t="s">
        <v>292</v>
      </c>
      <c r="B456" s="110" t="s">
        <v>21</v>
      </c>
      <c r="C456" s="110">
        <v>13</v>
      </c>
      <c r="D456" s="110">
        <v>2.5</v>
      </c>
      <c r="E456" s="110" t="s">
        <v>21</v>
      </c>
      <c r="F456" s="110">
        <v>4.3</v>
      </c>
      <c r="G456" s="138">
        <f>SUM(B456:F456)</f>
        <v>19.8</v>
      </c>
    </row>
    <row r="457" spans="1:7" ht="13">
      <c r="A457" s="137" t="s">
        <v>296</v>
      </c>
      <c r="B457" s="110" t="s">
        <v>21</v>
      </c>
      <c r="C457" s="110">
        <v>1.2</v>
      </c>
      <c r="D457" s="110" t="s">
        <v>21</v>
      </c>
      <c r="E457" s="110" t="s">
        <v>21</v>
      </c>
      <c r="F457" s="110">
        <v>0.1</v>
      </c>
      <c r="G457" s="138">
        <f>SUM(B457:F457)</f>
        <v>1.3</v>
      </c>
    </row>
    <row r="458" spans="1:7" ht="13.5" thickBot="1">
      <c r="A458" s="137" t="s">
        <v>293</v>
      </c>
      <c r="B458" s="111">
        <v>37.299999999999997</v>
      </c>
      <c r="C458" s="111">
        <v>28.3</v>
      </c>
      <c r="D458" s="111" t="s">
        <v>21</v>
      </c>
      <c r="E458" s="111" t="s">
        <v>21</v>
      </c>
      <c r="F458" s="111">
        <v>3.2</v>
      </c>
      <c r="G458" s="138">
        <f>SUM(B458:F458)</f>
        <v>68.8</v>
      </c>
    </row>
    <row r="459" spans="1:7" ht="13.5" thickBot="1">
      <c r="A459" s="139" t="s">
        <v>297</v>
      </c>
      <c r="B459" s="111">
        <f>SUM(B455:B458)</f>
        <v>734.4</v>
      </c>
      <c r="C459" s="111">
        <f t="shared" ref="C459:F459" si="142">SUM(C455:C458)</f>
        <v>411.1</v>
      </c>
      <c r="D459" s="111">
        <f t="shared" si="142"/>
        <v>97.2</v>
      </c>
      <c r="E459" s="111">
        <f t="shared" si="142"/>
        <v>44</v>
      </c>
      <c r="F459" s="111">
        <f t="shared" si="142"/>
        <v>53.7</v>
      </c>
      <c r="G459" s="138">
        <f>SUM(B459:F459)</f>
        <v>1340.4</v>
      </c>
    </row>
    <row r="460" spans="1:7" ht="13">
      <c r="A460" s="137" t="s">
        <v>290</v>
      </c>
      <c r="B460" s="110"/>
      <c r="C460" s="110"/>
      <c r="D460" s="110"/>
      <c r="E460" s="110"/>
      <c r="F460" s="110"/>
      <c r="G460" s="114"/>
    </row>
    <row r="461" spans="1:7" ht="13">
      <c r="A461" s="137" t="s">
        <v>291</v>
      </c>
      <c r="B461" s="110">
        <v>645.5</v>
      </c>
      <c r="C461" s="110">
        <v>367</v>
      </c>
      <c r="D461" s="110">
        <v>87.7</v>
      </c>
      <c r="E461" s="110">
        <v>40.6</v>
      </c>
      <c r="F461" s="110">
        <v>50.2</v>
      </c>
      <c r="G461" s="138">
        <f>SUM(B461:F461)</f>
        <v>1191</v>
      </c>
    </row>
    <row r="462" spans="1:7" ht="13">
      <c r="A462" s="137" t="s">
        <v>292</v>
      </c>
      <c r="B462" s="110" t="s">
        <v>21</v>
      </c>
      <c r="C462" s="110">
        <v>12.7</v>
      </c>
      <c r="D462" s="110">
        <v>0.1</v>
      </c>
      <c r="E462" s="110" t="s">
        <v>21</v>
      </c>
      <c r="F462" s="110">
        <v>0.2</v>
      </c>
      <c r="G462" s="138">
        <f>SUM(B462:F462)</f>
        <v>12.999999999999998</v>
      </c>
    </row>
    <row r="463" spans="1:7" ht="13.5" thickBot="1">
      <c r="A463" s="137" t="s">
        <v>293</v>
      </c>
      <c r="B463" s="111">
        <v>31.2</v>
      </c>
      <c r="C463" s="111">
        <v>29.6</v>
      </c>
      <c r="D463" s="111">
        <v>0.1</v>
      </c>
      <c r="E463" s="111" t="s">
        <v>21</v>
      </c>
      <c r="F463" s="111">
        <v>5.4</v>
      </c>
      <c r="G463" s="138">
        <f>SUM(B463:F463)</f>
        <v>66.3</v>
      </c>
    </row>
    <row r="464" spans="1:7" ht="13.5" thickBot="1">
      <c r="A464" s="139" t="s">
        <v>298</v>
      </c>
      <c r="B464" s="111">
        <f>SUM(B461:B463)</f>
        <v>676.7</v>
      </c>
      <c r="C464" s="111">
        <f t="shared" ref="C464:F464" si="143">SUM(C461:C463)</f>
        <v>409.3</v>
      </c>
      <c r="D464" s="111">
        <f t="shared" si="143"/>
        <v>87.899999999999991</v>
      </c>
      <c r="E464" s="111">
        <f t="shared" si="143"/>
        <v>40.6</v>
      </c>
      <c r="F464" s="111">
        <f t="shared" si="143"/>
        <v>55.800000000000004</v>
      </c>
      <c r="G464" s="138">
        <f>SUM(B464:F464)</f>
        <v>1270.3</v>
      </c>
    </row>
    <row r="465" spans="1:10" ht="13">
      <c r="A465" s="137" t="s">
        <v>290</v>
      </c>
      <c r="B465" s="110"/>
      <c r="C465" s="110"/>
      <c r="D465" s="110"/>
      <c r="E465" s="110"/>
      <c r="F465" s="110"/>
      <c r="G465" s="114"/>
    </row>
    <row r="466" spans="1:10" ht="13">
      <c r="A466" s="137" t="s">
        <v>291</v>
      </c>
      <c r="B466" s="110">
        <v>666</v>
      </c>
      <c r="C466" s="110">
        <v>414.1</v>
      </c>
      <c r="D466" s="110">
        <v>76.400000000000006</v>
      </c>
      <c r="E466" s="110">
        <v>41.3</v>
      </c>
      <c r="F466" s="110">
        <v>56.2</v>
      </c>
      <c r="G466" s="138">
        <f>SUM(B466:F466)</f>
        <v>1254</v>
      </c>
    </row>
    <row r="467" spans="1:10" ht="13">
      <c r="A467" s="137" t="s">
        <v>292</v>
      </c>
      <c r="B467" s="110" t="s">
        <v>21</v>
      </c>
      <c r="C467" s="110">
        <v>12.2</v>
      </c>
      <c r="D467" s="110" t="s">
        <v>21</v>
      </c>
      <c r="E467" s="110" t="s">
        <v>21</v>
      </c>
      <c r="F467" s="110">
        <v>0.3</v>
      </c>
      <c r="G467" s="138">
        <f>SUM(B467:F467)</f>
        <v>12.5</v>
      </c>
    </row>
    <row r="468" spans="1:10" ht="13.5" thickBot="1">
      <c r="A468" s="137" t="s">
        <v>293</v>
      </c>
      <c r="B468" s="111">
        <v>9.9</v>
      </c>
      <c r="C468" s="111">
        <v>32.9</v>
      </c>
      <c r="D468" s="111">
        <v>0.1</v>
      </c>
      <c r="E468" s="111" t="s">
        <v>21</v>
      </c>
      <c r="F468" s="111">
        <v>3.9</v>
      </c>
      <c r="G468" s="138">
        <f>SUM(B468:F468)</f>
        <v>46.8</v>
      </c>
    </row>
    <row r="469" spans="1:10" ht="13.5" thickBot="1">
      <c r="A469" s="139" t="s">
        <v>299</v>
      </c>
      <c r="B469" s="111">
        <f>SUM(B466:B468)</f>
        <v>675.9</v>
      </c>
      <c r="C469" s="111">
        <f t="shared" ref="C469:F469" si="144">SUM(C466:C468)</f>
        <v>459.2</v>
      </c>
      <c r="D469" s="111">
        <f t="shared" si="144"/>
        <v>76.5</v>
      </c>
      <c r="E469" s="111">
        <f t="shared" si="144"/>
        <v>41.3</v>
      </c>
      <c r="F469" s="111">
        <f t="shared" si="144"/>
        <v>60.4</v>
      </c>
      <c r="G469" s="138">
        <f>SUM(B469:F469)</f>
        <v>1313.3</v>
      </c>
      <c r="J469" s="202"/>
    </row>
    <row r="470" spans="1:10" ht="13">
      <c r="A470" s="137" t="s">
        <v>290</v>
      </c>
      <c r="B470" s="110"/>
      <c r="C470" s="110"/>
      <c r="D470" s="110"/>
      <c r="E470" s="110"/>
      <c r="F470" s="110"/>
      <c r="G470" s="114"/>
    </row>
    <row r="471" spans="1:10" ht="13">
      <c r="A471" s="137" t="s">
        <v>291</v>
      </c>
      <c r="B471" s="110">
        <v>647.29999999999995</v>
      </c>
      <c r="C471" s="110">
        <v>398.2</v>
      </c>
      <c r="D471" s="110">
        <v>71.599999999999994</v>
      </c>
      <c r="E471" s="110">
        <v>37.799999999999997</v>
      </c>
      <c r="F471" s="110">
        <v>53.3</v>
      </c>
      <c r="G471" s="138">
        <f>SUM(B471:F471)</f>
        <v>1208.1999999999998</v>
      </c>
    </row>
    <row r="472" spans="1:10" ht="13">
      <c r="A472" s="137" t="s">
        <v>292</v>
      </c>
      <c r="B472" s="110" t="s">
        <v>21</v>
      </c>
      <c r="C472" s="110">
        <v>11.5</v>
      </c>
      <c r="D472" s="110" t="s">
        <v>21</v>
      </c>
      <c r="E472" s="110" t="s">
        <v>21</v>
      </c>
      <c r="F472" s="110">
        <v>0.9</v>
      </c>
      <c r="G472" s="138">
        <f>SUM(B472:F472)</f>
        <v>12.4</v>
      </c>
    </row>
    <row r="473" spans="1:10" ht="13.5" thickBot="1">
      <c r="A473" s="137" t="s">
        <v>293</v>
      </c>
      <c r="B473" s="111">
        <v>9.4</v>
      </c>
      <c r="C473" s="111">
        <v>33</v>
      </c>
      <c r="D473" s="111">
        <v>0.7</v>
      </c>
      <c r="E473" s="111" t="s">
        <v>21</v>
      </c>
      <c r="F473" s="111">
        <v>4.3</v>
      </c>
      <c r="G473" s="138">
        <f>SUM(B473:F473)</f>
        <v>47.4</v>
      </c>
    </row>
    <row r="474" spans="1:10" ht="13.5" thickBot="1">
      <c r="A474" s="139" t="s">
        <v>300</v>
      </c>
      <c r="B474" s="111">
        <f>SUM(B471:B473)</f>
        <v>656.69999999999993</v>
      </c>
      <c r="C474" s="111">
        <f>SUM(C471:C473)</f>
        <v>442.7</v>
      </c>
      <c r="D474" s="111">
        <f>SUM(D471:D473)</f>
        <v>72.3</v>
      </c>
      <c r="E474" s="111">
        <f>SUM(E471:E473)</f>
        <v>37.799999999999997</v>
      </c>
      <c r="F474" s="111">
        <f>SUM(F471:F473)</f>
        <v>58.499999999999993</v>
      </c>
      <c r="G474" s="138">
        <f>SUM(B474:F474)</f>
        <v>1267.9999999999998</v>
      </c>
    </row>
    <row r="475" spans="1:10">
      <c r="A475" s="137" t="s">
        <v>290</v>
      </c>
      <c r="B475" s="110"/>
      <c r="C475" s="110"/>
      <c r="D475" s="110"/>
      <c r="E475" s="110"/>
      <c r="F475" s="110"/>
      <c r="G475" s="110"/>
    </row>
    <row r="476" spans="1:10" ht="13">
      <c r="A476" s="137" t="s">
        <v>291</v>
      </c>
      <c r="B476" s="46">
        <v>609.20000000000005</v>
      </c>
      <c r="C476" s="46">
        <v>387.9</v>
      </c>
      <c r="D476" s="46">
        <v>64</v>
      </c>
      <c r="E476" s="46">
        <v>37.700000000000003</v>
      </c>
      <c r="F476" s="46">
        <v>52.6</v>
      </c>
      <c r="G476" s="138">
        <f>SUM(B476:F476)</f>
        <v>1151.3999999999999</v>
      </c>
    </row>
    <row r="477" spans="1:10" ht="13">
      <c r="A477" s="137" t="s">
        <v>292</v>
      </c>
      <c r="B477" s="46">
        <v>0</v>
      </c>
      <c r="C477" s="46">
        <v>10.5</v>
      </c>
      <c r="D477" s="46">
        <v>0</v>
      </c>
      <c r="E477" s="46">
        <v>0</v>
      </c>
      <c r="F477" s="46">
        <v>1.2</v>
      </c>
      <c r="G477" s="138">
        <f>SUM(B477:F477)</f>
        <v>11.7</v>
      </c>
    </row>
    <row r="478" spans="1:10" ht="13.5" thickBot="1">
      <c r="A478" s="137" t="s">
        <v>293</v>
      </c>
      <c r="B478" s="47">
        <v>7.4</v>
      </c>
      <c r="C478" s="47">
        <v>32.799999999999997</v>
      </c>
      <c r="D478" s="47">
        <v>1.2</v>
      </c>
      <c r="E478" s="47">
        <v>0</v>
      </c>
      <c r="F478" s="47">
        <v>3.9</v>
      </c>
      <c r="G478" s="138">
        <f>SUM(B478:F478)</f>
        <v>45.3</v>
      </c>
    </row>
    <row r="479" spans="1:10" ht="13.5" thickBot="1">
      <c r="A479" s="139" t="s">
        <v>301</v>
      </c>
      <c r="B479" s="47">
        <f t="shared" ref="B479:E479" si="145">SUM(B476:B478)</f>
        <v>616.6</v>
      </c>
      <c r="C479" s="47">
        <f t="shared" si="145"/>
        <v>431.2</v>
      </c>
      <c r="D479" s="47">
        <f t="shared" si="145"/>
        <v>65.2</v>
      </c>
      <c r="E479" s="47">
        <f t="shared" si="145"/>
        <v>37.700000000000003</v>
      </c>
      <c r="F479" s="47">
        <f>SUM(F476:F478)</f>
        <v>57.7</v>
      </c>
      <c r="G479" s="138">
        <f>SUM(B479:F479)</f>
        <v>1208.4000000000001</v>
      </c>
    </row>
    <row r="480" spans="1:10" ht="13">
      <c r="A480" s="137" t="s">
        <v>290</v>
      </c>
      <c r="B480" s="110"/>
      <c r="C480" s="110"/>
      <c r="D480" s="110"/>
      <c r="E480" s="110"/>
      <c r="F480" s="110"/>
      <c r="G480" s="114"/>
    </row>
    <row r="481" spans="1:7" ht="13">
      <c r="A481" s="137" t="s">
        <v>291</v>
      </c>
      <c r="B481" s="110">
        <v>587</v>
      </c>
      <c r="C481" s="110">
        <v>384.6</v>
      </c>
      <c r="D481" s="110">
        <v>61.9</v>
      </c>
      <c r="E481" s="110">
        <v>33.1</v>
      </c>
      <c r="F481" s="110">
        <v>50.8</v>
      </c>
      <c r="G481" s="138">
        <f>SUM(B481:F481)</f>
        <v>1117.3999999999999</v>
      </c>
    </row>
    <row r="482" spans="1:7" ht="13">
      <c r="A482" s="137" t="s">
        <v>292</v>
      </c>
      <c r="B482" s="110" t="s">
        <v>21</v>
      </c>
      <c r="C482" s="110">
        <v>6.8</v>
      </c>
      <c r="D482" s="110">
        <v>0.1</v>
      </c>
      <c r="E482" s="110" t="s">
        <v>21</v>
      </c>
      <c r="F482" s="110">
        <v>4</v>
      </c>
      <c r="G482" s="138">
        <f>SUM(B482:F482)</f>
        <v>10.899999999999999</v>
      </c>
    </row>
    <row r="483" spans="1:7" ht="13.5" thickBot="1">
      <c r="A483" s="137" t="s">
        <v>293</v>
      </c>
      <c r="B483" s="111">
        <v>8.6</v>
      </c>
      <c r="C483" s="111">
        <v>28.2</v>
      </c>
      <c r="D483" s="111">
        <v>1.1000000000000001</v>
      </c>
      <c r="E483" s="111" t="s">
        <v>21</v>
      </c>
      <c r="F483" s="111">
        <v>1.4</v>
      </c>
      <c r="G483" s="138">
        <f>SUM(B483:F483)</f>
        <v>39.299999999999997</v>
      </c>
    </row>
    <row r="484" spans="1:7" ht="13.5" thickBot="1">
      <c r="A484" s="139" t="s">
        <v>302</v>
      </c>
      <c r="B484" s="111">
        <f>SUM(B481:B483)</f>
        <v>595.6</v>
      </c>
      <c r="C484" s="111">
        <f t="shared" ref="C484:F484" si="146">SUM(C481:C483)</f>
        <v>419.6</v>
      </c>
      <c r="D484" s="111">
        <f t="shared" si="146"/>
        <v>63.1</v>
      </c>
      <c r="E484" s="111">
        <f t="shared" si="146"/>
        <v>33.1</v>
      </c>
      <c r="F484" s="111">
        <f t="shared" si="146"/>
        <v>56.199999999999996</v>
      </c>
      <c r="G484" s="138">
        <f>SUM(B484:F484)</f>
        <v>1167.5999999999999</v>
      </c>
    </row>
    <row r="485" spans="1:7" ht="13">
      <c r="A485" s="140" t="s">
        <v>290</v>
      </c>
      <c r="B485" s="141"/>
      <c r="C485" s="141"/>
      <c r="D485" s="141"/>
      <c r="E485" s="141"/>
      <c r="F485" s="36"/>
      <c r="G485" s="138"/>
    </row>
    <row r="486" spans="1:7" ht="13">
      <c r="A486" s="38" t="s">
        <v>291</v>
      </c>
      <c r="B486" s="110">
        <v>564.29999999999995</v>
      </c>
      <c r="C486" s="110">
        <v>371</v>
      </c>
      <c r="D486" s="110">
        <v>52.3</v>
      </c>
      <c r="E486" s="110">
        <v>33.799999999999997</v>
      </c>
      <c r="F486" s="110">
        <v>49.4</v>
      </c>
      <c r="G486" s="138">
        <f>SUM(B486:F486)</f>
        <v>1070.8</v>
      </c>
    </row>
    <row r="487" spans="1:7" ht="13">
      <c r="A487" s="38" t="s">
        <v>292</v>
      </c>
      <c r="B487" s="110" t="s">
        <v>21</v>
      </c>
      <c r="C487" s="110">
        <v>6.5</v>
      </c>
      <c r="D487" s="110" t="s">
        <v>21</v>
      </c>
      <c r="E487" s="110" t="s">
        <v>21</v>
      </c>
      <c r="F487" s="110">
        <v>4.0999999999999996</v>
      </c>
      <c r="G487" s="138">
        <f>SUM(B487:F487)</f>
        <v>10.6</v>
      </c>
    </row>
    <row r="488" spans="1:7" ht="13.5" thickBot="1">
      <c r="A488" s="38" t="s">
        <v>293</v>
      </c>
      <c r="B488" s="111">
        <v>8.3000000000000007</v>
      </c>
      <c r="C488" s="111">
        <v>28.4</v>
      </c>
      <c r="D488" s="111">
        <v>1</v>
      </c>
      <c r="E488" s="111" t="s">
        <v>21</v>
      </c>
      <c r="F488" s="111">
        <v>1.1000000000000001</v>
      </c>
      <c r="G488" s="138">
        <f>SUM(B488:F488)</f>
        <v>38.800000000000004</v>
      </c>
    </row>
    <row r="489" spans="1:7" ht="13.5" thickBot="1">
      <c r="A489" s="142" t="s">
        <v>303</v>
      </c>
      <c r="B489" s="90">
        <f>SUM(B486:B488)</f>
        <v>572.59999999999991</v>
      </c>
      <c r="C489" s="90">
        <f t="shared" ref="C489:F489" si="147">SUM(C486:C488)</f>
        <v>405.9</v>
      </c>
      <c r="D489" s="90">
        <f t="shared" si="147"/>
        <v>53.3</v>
      </c>
      <c r="E489" s="90">
        <f t="shared" si="147"/>
        <v>33.799999999999997</v>
      </c>
      <c r="F489" s="90">
        <f t="shared" si="147"/>
        <v>54.6</v>
      </c>
      <c r="G489" s="138">
        <f>SUM(B489:F489)</f>
        <v>1120.1999999999998</v>
      </c>
    </row>
    <row r="490" spans="1:7" ht="13">
      <c r="A490" s="140" t="s">
        <v>290</v>
      </c>
      <c r="G490" s="26"/>
    </row>
    <row r="491" spans="1:7" ht="13">
      <c r="A491" s="38" t="s">
        <v>291</v>
      </c>
      <c r="B491" s="36">
        <v>553.1</v>
      </c>
      <c r="C491" s="36">
        <v>339.5</v>
      </c>
      <c r="D491" s="36">
        <v>47.6</v>
      </c>
      <c r="E491" s="36">
        <v>31.8</v>
      </c>
      <c r="F491" s="36">
        <v>49</v>
      </c>
      <c r="G491" s="138">
        <f>SUM(B491:F491)</f>
        <v>1021</v>
      </c>
    </row>
    <row r="492" spans="1:7" ht="13">
      <c r="A492" s="38" t="s">
        <v>292</v>
      </c>
      <c r="B492" s="36">
        <v>0.6</v>
      </c>
      <c r="C492" s="36">
        <v>10.7</v>
      </c>
      <c r="D492" s="36">
        <v>0.3</v>
      </c>
      <c r="E492" s="36" t="s">
        <v>21</v>
      </c>
      <c r="F492" s="36">
        <v>1</v>
      </c>
      <c r="G492" s="138">
        <f>SUM(B492:F492)</f>
        <v>12.6</v>
      </c>
    </row>
    <row r="493" spans="1:7" ht="13.5" thickBot="1">
      <c r="A493" s="38" t="s">
        <v>293</v>
      </c>
      <c r="B493" s="143">
        <v>7.5</v>
      </c>
      <c r="C493" s="143">
        <v>29.7</v>
      </c>
      <c r="D493" s="143">
        <v>0.9</v>
      </c>
      <c r="E493" s="143" t="s">
        <v>21</v>
      </c>
      <c r="F493" s="143">
        <v>4.0999999999999996</v>
      </c>
      <c r="G493" s="138">
        <f>SUM(B493:F493)</f>
        <v>42.2</v>
      </c>
    </row>
    <row r="494" spans="1:7" ht="13.5" thickBot="1">
      <c r="A494" s="142" t="s">
        <v>304</v>
      </c>
      <c r="B494" s="111">
        <f>SUM(B491:B493)</f>
        <v>561.20000000000005</v>
      </c>
      <c r="C494" s="111">
        <f t="shared" ref="C494:F494" si="148">SUM(C491:C493)</f>
        <v>379.9</v>
      </c>
      <c r="D494" s="111">
        <f t="shared" si="148"/>
        <v>48.8</v>
      </c>
      <c r="E494" s="111">
        <f t="shared" si="148"/>
        <v>31.8</v>
      </c>
      <c r="F494" s="111">
        <f t="shared" si="148"/>
        <v>54.1</v>
      </c>
      <c r="G494" s="138">
        <f>SUM(B494:F494)</f>
        <v>1075.8</v>
      </c>
    </row>
    <row r="495" spans="1:7" ht="13">
      <c r="A495" s="140" t="s">
        <v>290</v>
      </c>
      <c r="G495" s="138"/>
    </row>
    <row r="496" spans="1:7" ht="13">
      <c r="A496" s="38" t="s">
        <v>291</v>
      </c>
      <c r="B496" s="1">
        <v>321.2</v>
      </c>
      <c r="C496" s="1">
        <v>320.3</v>
      </c>
      <c r="D496" s="1">
        <v>42</v>
      </c>
      <c r="E496" s="1">
        <v>33.299999999999997</v>
      </c>
      <c r="F496" s="1">
        <v>46.1</v>
      </c>
      <c r="G496" s="138">
        <f>SUM(B496:F496)</f>
        <v>762.9</v>
      </c>
    </row>
    <row r="497" spans="1:7" ht="13">
      <c r="A497" s="38" t="s">
        <v>292</v>
      </c>
      <c r="B497" s="1">
        <v>0</v>
      </c>
      <c r="C497" s="1">
        <f>3.5+4+1.9</f>
        <v>9.4</v>
      </c>
      <c r="D497" s="1">
        <v>0</v>
      </c>
      <c r="E497" s="1">
        <v>0</v>
      </c>
      <c r="F497" s="1">
        <v>1.1000000000000001</v>
      </c>
      <c r="G497" s="138">
        <f>SUM(B497:F497)</f>
        <v>10.5</v>
      </c>
    </row>
    <row r="498" spans="1:7" ht="13">
      <c r="A498" s="38" t="s">
        <v>293</v>
      </c>
      <c r="B498" s="1">
        <v>6.7</v>
      </c>
      <c r="C498" s="1">
        <f>25.1+1.4+1.5</f>
        <v>28</v>
      </c>
      <c r="D498" s="1">
        <v>0.3</v>
      </c>
      <c r="E498" s="1">
        <v>0</v>
      </c>
      <c r="F498" s="1">
        <v>3.6</v>
      </c>
      <c r="G498" s="138">
        <f>SUM(B498:F498)</f>
        <v>38.6</v>
      </c>
    </row>
    <row r="499" spans="1:7" ht="13">
      <c r="A499" s="38" t="s">
        <v>296</v>
      </c>
      <c r="B499" s="44" t="s">
        <v>21</v>
      </c>
      <c r="C499" s="44">
        <v>0.1</v>
      </c>
      <c r="D499" s="44">
        <v>0.2</v>
      </c>
      <c r="E499" s="44" t="s">
        <v>21</v>
      </c>
      <c r="F499" s="44" t="s">
        <v>21</v>
      </c>
      <c r="G499" s="138">
        <f>SUM(B499:F499)</f>
        <v>0.30000000000000004</v>
      </c>
    </row>
    <row r="500" spans="1:7" ht="13.5" thickBot="1">
      <c r="A500" s="142" t="s">
        <v>305</v>
      </c>
      <c r="B500" s="111">
        <f>SUM(B496:B499)</f>
        <v>327.9</v>
      </c>
      <c r="C500" s="111">
        <f t="shared" ref="C500:F500" si="149">SUM(C496:C499)</f>
        <v>357.8</v>
      </c>
      <c r="D500" s="111">
        <f t="shared" si="149"/>
        <v>42.5</v>
      </c>
      <c r="E500" s="111">
        <f t="shared" si="149"/>
        <v>33.299999999999997</v>
      </c>
      <c r="F500" s="111">
        <f t="shared" si="149"/>
        <v>50.800000000000004</v>
      </c>
      <c r="G500" s="144">
        <f>SUM(G496:G499)</f>
        <v>812.3</v>
      </c>
    </row>
    <row r="501" spans="1:7" ht="13">
      <c r="A501" s="140" t="s">
        <v>290</v>
      </c>
      <c r="B501" s="44"/>
      <c r="C501" s="44"/>
      <c r="D501" s="44"/>
      <c r="E501" s="44"/>
      <c r="F501" s="44"/>
      <c r="G501" s="138"/>
    </row>
    <row r="502" spans="1:7" ht="13">
      <c r="A502" s="38" t="s">
        <v>291</v>
      </c>
      <c r="B502" s="44">
        <v>266.89999999999998</v>
      </c>
      <c r="C502" s="44">
        <v>311.7</v>
      </c>
      <c r="D502" s="44">
        <v>39.1</v>
      </c>
      <c r="E502" s="44">
        <v>35.700000000000003</v>
      </c>
      <c r="F502" s="44">
        <v>46.1</v>
      </c>
      <c r="G502" s="138">
        <f>SUM(B502:F502)</f>
        <v>699.5</v>
      </c>
    </row>
    <row r="503" spans="1:7" ht="13">
      <c r="A503" s="38" t="s">
        <v>292</v>
      </c>
      <c r="B503" s="44" t="s">
        <v>21</v>
      </c>
      <c r="C503" s="44">
        <v>8.9</v>
      </c>
      <c r="D503" s="44" t="s">
        <v>21</v>
      </c>
      <c r="E503" s="44" t="s">
        <v>21</v>
      </c>
      <c r="F503" s="44">
        <v>1.4</v>
      </c>
      <c r="G503" s="138">
        <f>SUM(B503:F503)</f>
        <v>10.3</v>
      </c>
    </row>
    <row r="504" spans="1:7" ht="13">
      <c r="A504" s="38" t="s">
        <v>293</v>
      </c>
      <c r="B504" s="44">
        <v>6.6</v>
      </c>
      <c r="C504" s="44">
        <v>27.2</v>
      </c>
      <c r="D504" s="44">
        <v>0.1</v>
      </c>
      <c r="E504" s="44" t="s">
        <v>21</v>
      </c>
      <c r="F504" s="44">
        <v>3.1</v>
      </c>
      <c r="G504" s="138">
        <f>SUM(B504:F504)</f>
        <v>37</v>
      </c>
    </row>
    <row r="505" spans="1:7" ht="13">
      <c r="A505" s="38" t="s">
        <v>296</v>
      </c>
      <c r="B505" s="44" t="s">
        <v>21</v>
      </c>
      <c r="C505" s="44">
        <v>0.2</v>
      </c>
      <c r="D505" s="44">
        <v>0.1</v>
      </c>
      <c r="E505" s="44" t="s">
        <v>21</v>
      </c>
      <c r="F505" s="44" t="s">
        <v>21</v>
      </c>
      <c r="G505" s="138">
        <f>SUM(B505:F505)</f>
        <v>0.30000000000000004</v>
      </c>
    </row>
    <row r="506" spans="1:7" ht="13.5" thickBot="1">
      <c r="A506" s="142" t="s">
        <v>306</v>
      </c>
      <c r="B506" s="111">
        <f>SUM(B502:B505)</f>
        <v>273.5</v>
      </c>
      <c r="C506" s="111">
        <f t="shared" ref="C506:F506" si="150">SUM(C502:C505)</f>
        <v>347.99999999999994</v>
      </c>
      <c r="D506" s="111">
        <f t="shared" si="150"/>
        <v>39.300000000000004</v>
      </c>
      <c r="E506" s="111">
        <f t="shared" si="150"/>
        <v>35.700000000000003</v>
      </c>
      <c r="F506" s="111">
        <f t="shared" si="150"/>
        <v>50.6</v>
      </c>
      <c r="G506" s="144">
        <f>SUM(G502:G505)</f>
        <v>747.09999999999991</v>
      </c>
    </row>
    <row r="507" spans="1:7" ht="13.5" thickBot="1">
      <c r="A507" s="145" t="s">
        <v>307</v>
      </c>
      <c r="B507" s="116">
        <v>273.39999999999998</v>
      </c>
      <c r="C507" s="116">
        <v>348</v>
      </c>
      <c r="D507" s="116">
        <v>39</v>
      </c>
      <c r="E507" s="116">
        <v>35.700000000000003</v>
      </c>
      <c r="F507" s="116">
        <v>50.7</v>
      </c>
      <c r="G507" s="116">
        <f>SUM(B507:F507)</f>
        <v>746.80000000000007</v>
      </c>
    </row>
    <row r="508" spans="1:7" ht="13">
      <c r="A508" s="140" t="s">
        <v>290</v>
      </c>
      <c r="B508" s="44"/>
      <c r="C508" s="44"/>
      <c r="D508" s="44"/>
      <c r="E508" s="44"/>
      <c r="F508" s="44"/>
      <c r="G508" s="138"/>
    </row>
    <row r="509" spans="1:7" ht="13">
      <c r="A509" s="38" t="s">
        <v>291</v>
      </c>
      <c r="B509" s="44">
        <v>262.39999999999998</v>
      </c>
      <c r="C509" s="44">
        <v>310.5</v>
      </c>
      <c r="D509" s="44">
        <v>43.6</v>
      </c>
      <c r="E509" s="44">
        <v>34.9</v>
      </c>
      <c r="F509" s="44">
        <v>44.4</v>
      </c>
      <c r="G509" s="138">
        <f>SUM(B509:F509)</f>
        <v>695.8</v>
      </c>
    </row>
    <row r="510" spans="1:7" ht="13">
      <c r="A510" s="38" t="s">
        <v>292</v>
      </c>
      <c r="B510" s="44" t="s">
        <v>21</v>
      </c>
      <c r="C510" s="44">
        <v>8.6999999999999993</v>
      </c>
      <c r="D510" s="44" t="s">
        <v>21</v>
      </c>
      <c r="E510" s="44" t="s">
        <v>21</v>
      </c>
      <c r="F510" s="44">
        <v>1.6</v>
      </c>
      <c r="G510" s="138">
        <f>SUM(B510:F510)</f>
        <v>10.299999999999999</v>
      </c>
    </row>
    <row r="511" spans="1:7" ht="13">
      <c r="A511" s="38" t="s">
        <v>293</v>
      </c>
      <c r="B511" s="44">
        <v>6.7</v>
      </c>
      <c r="C511" s="44">
        <v>28.8</v>
      </c>
      <c r="D511" s="44">
        <v>0.1</v>
      </c>
      <c r="E511" s="44" t="s">
        <v>21</v>
      </c>
      <c r="F511" s="44">
        <v>3.1</v>
      </c>
      <c r="G511" s="138">
        <f>SUM(B511:F511)</f>
        <v>38.700000000000003</v>
      </c>
    </row>
    <row r="512" spans="1:7" ht="13">
      <c r="A512" s="38" t="s">
        <v>296</v>
      </c>
      <c r="B512" s="44">
        <v>0.1</v>
      </c>
      <c r="C512" s="44" t="s">
        <v>21</v>
      </c>
      <c r="D512" s="44">
        <v>0.2</v>
      </c>
      <c r="E512" s="44" t="s">
        <v>21</v>
      </c>
      <c r="F512" s="44" t="s">
        <v>21</v>
      </c>
      <c r="G512" s="138">
        <f>SUM(B512:F512)</f>
        <v>0.30000000000000004</v>
      </c>
    </row>
    <row r="513" spans="1:7" ht="13.5" thickBot="1">
      <c r="A513" s="142" t="s">
        <v>308</v>
      </c>
      <c r="B513" s="111">
        <f>SUM(B509:B512)</f>
        <v>269.2</v>
      </c>
      <c r="C513" s="111">
        <f t="shared" ref="C513:G513" si="151">SUM(C509:C512)</f>
        <v>348</v>
      </c>
      <c r="D513" s="111">
        <f t="shared" si="151"/>
        <v>43.900000000000006</v>
      </c>
      <c r="E513" s="111">
        <f t="shared" si="151"/>
        <v>34.9</v>
      </c>
      <c r="F513" s="111">
        <f t="shared" si="151"/>
        <v>49.1</v>
      </c>
      <c r="G513" s="116">
        <f t="shared" si="151"/>
        <v>745.09999999999991</v>
      </c>
    </row>
    <row r="514" spans="1:7" ht="13.5" thickBot="1">
      <c r="A514" s="145" t="s">
        <v>309</v>
      </c>
      <c r="B514" s="116">
        <v>269.10000000000002</v>
      </c>
      <c r="C514" s="116">
        <v>347.8</v>
      </c>
      <c r="D514" s="116">
        <v>43.8</v>
      </c>
      <c r="E514" s="116">
        <v>34.6</v>
      </c>
      <c r="F514" s="116">
        <v>49.2</v>
      </c>
      <c r="G514" s="116">
        <f>SUM(B514:F514)</f>
        <v>744.50000000000011</v>
      </c>
    </row>
    <row r="515" spans="1:7" ht="13">
      <c r="A515" s="140" t="s">
        <v>290</v>
      </c>
      <c r="B515" s="44"/>
      <c r="C515" s="44"/>
      <c r="D515" s="44"/>
      <c r="E515" s="44"/>
      <c r="F515" s="44"/>
      <c r="G515" s="138"/>
    </row>
    <row r="516" spans="1:7" ht="13">
      <c r="A516" s="38" t="s">
        <v>291</v>
      </c>
      <c r="B516" s="44">
        <v>248.1</v>
      </c>
      <c r="C516" s="44">
        <v>300.7</v>
      </c>
      <c r="D516" s="44">
        <v>41.4</v>
      </c>
      <c r="E516" s="44">
        <v>35.700000000000003</v>
      </c>
      <c r="F516" s="44">
        <v>38.9</v>
      </c>
      <c r="G516" s="138">
        <f>SUM(B516:F516)</f>
        <v>664.8</v>
      </c>
    </row>
    <row r="517" spans="1:7" ht="13">
      <c r="A517" s="38" t="s">
        <v>292</v>
      </c>
      <c r="B517" s="44" t="s">
        <v>21</v>
      </c>
      <c r="C517" s="44">
        <v>8.1999999999999993</v>
      </c>
      <c r="D517" s="44" t="s">
        <v>21</v>
      </c>
      <c r="E517" s="44" t="s">
        <v>21</v>
      </c>
      <c r="F517" s="44">
        <v>1.7</v>
      </c>
      <c r="G517" s="138">
        <f>SUM(B517:F517)</f>
        <v>9.8999999999999986</v>
      </c>
    </row>
    <row r="518" spans="1:7" ht="13">
      <c r="A518" s="38" t="s">
        <v>293</v>
      </c>
      <c r="B518" s="44">
        <v>5.8</v>
      </c>
      <c r="C518" s="44">
        <v>26.2</v>
      </c>
      <c r="D518" s="44" t="s">
        <v>21</v>
      </c>
      <c r="E518" s="44" t="s">
        <v>21</v>
      </c>
      <c r="F518" s="44">
        <v>2.9</v>
      </c>
      <c r="G518" s="138">
        <f>SUM(B518:F518)</f>
        <v>34.9</v>
      </c>
    </row>
    <row r="519" spans="1:7" ht="13">
      <c r="A519" s="38" t="s">
        <v>296</v>
      </c>
      <c r="B519" s="44">
        <v>0.2</v>
      </c>
      <c r="C519" s="44" t="s">
        <v>21</v>
      </c>
      <c r="D519" s="44">
        <v>0.2</v>
      </c>
      <c r="E519" s="44" t="s">
        <v>21</v>
      </c>
      <c r="F519" s="44" t="s">
        <v>21</v>
      </c>
      <c r="G519" s="138">
        <f>SUM(B519:F519)</f>
        <v>0.4</v>
      </c>
    </row>
    <row r="520" spans="1:7" ht="13.5" thickBot="1">
      <c r="A520" s="142" t="s">
        <v>310</v>
      </c>
      <c r="B520" s="111">
        <f>SUM(B516:B519)</f>
        <v>254.1</v>
      </c>
      <c r="C520" s="111">
        <f t="shared" ref="C520:G520" si="152">SUM(C516:C519)</f>
        <v>335.09999999999997</v>
      </c>
      <c r="D520" s="111">
        <f t="shared" si="152"/>
        <v>41.6</v>
      </c>
      <c r="E520" s="111">
        <f t="shared" si="152"/>
        <v>35.700000000000003</v>
      </c>
      <c r="F520" s="111">
        <f t="shared" si="152"/>
        <v>43.5</v>
      </c>
      <c r="G520" s="116">
        <f t="shared" si="152"/>
        <v>709.99999999999989</v>
      </c>
    </row>
    <row r="521" spans="1:7" ht="13.5" thickBot="1">
      <c r="A521" s="145" t="s">
        <v>311</v>
      </c>
      <c r="B521" s="116">
        <v>254.1</v>
      </c>
      <c r="C521" s="116">
        <v>335.1</v>
      </c>
      <c r="D521" s="116">
        <v>41.6</v>
      </c>
      <c r="E521" s="116">
        <v>35.700000000000003</v>
      </c>
      <c r="F521" s="116">
        <v>47.5</v>
      </c>
      <c r="G521" s="116">
        <f>SUM(B521:F521)</f>
        <v>714.00000000000011</v>
      </c>
    </row>
    <row r="522" spans="1:7" ht="13">
      <c r="A522" s="140" t="s">
        <v>290</v>
      </c>
      <c r="B522" s="44"/>
      <c r="C522" s="44"/>
      <c r="D522" s="44"/>
      <c r="E522" s="44"/>
      <c r="F522" s="44"/>
      <c r="G522" s="138"/>
    </row>
    <row r="523" spans="1:7" ht="13">
      <c r="A523" s="38" t="s">
        <v>291</v>
      </c>
      <c r="B523" s="44">
        <v>228.9</v>
      </c>
      <c r="C523" s="44">
        <v>321.7</v>
      </c>
      <c r="D523" s="44">
        <v>40.5</v>
      </c>
      <c r="E523" s="44">
        <v>36</v>
      </c>
      <c r="F523" s="44">
        <v>39.799999999999997</v>
      </c>
      <c r="G523" s="138">
        <f>SUM(B523:F523)</f>
        <v>666.9</v>
      </c>
    </row>
    <row r="524" spans="1:7" ht="13">
      <c r="A524" s="38" t="s">
        <v>292</v>
      </c>
      <c r="B524" s="44">
        <v>0.3</v>
      </c>
      <c r="C524" s="44">
        <v>8.5</v>
      </c>
      <c r="D524" s="44" t="s">
        <v>21</v>
      </c>
      <c r="E524" s="44" t="s">
        <v>21</v>
      </c>
      <c r="F524" s="44">
        <v>1.4</v>
      </c>
      <c r="G524" s="138">
        <f>SUM(B524:F524)</f>
        <v>10.200000000000001</v>
      </c>
    </row>
    <row r="525" spans="1:7" ht="13">
      <c r="A525" s="38" t="s">
        <v>293</v>
      </c>
      <c r="B525" s="44">
        <v>3.8</v>
      </c>
      <c r="C525" s="44">
        <v>23.7</v>
      </c>
      <c r="D525" s="44" t="s">
        <v>21</v>
      </c>
      <c r="E525" s="44" t="s">
        <v>21</v>
      </c>
      <c r="F525" s="44">
        <v>3.1</v>
      </c>
      <c r="G525" s="138">
        <f>SUM(B525:F525)</f>
        <v>30.6</v>
      </c>
    </row>
    <row r="526" spans="1:7" ht="13">
      <c r="A526" s="38" t="s">
        <v>296</v>
      </c>
      <c r="B526" s="44" t="s">
        <v>21</v>
      </c>
      <c r="C526" s="44">
        <v>0.2</v>
      </c>
      <c r="D526" s="44">
        <v>0.1</v>
      </c>
      <c r="E526" s="44" t="s">
        <v>21</v>
      </c>
      <c r="F526" s="44" t="s">
        <v>21</v>
      </c>
      <c r="G526" s="138">
        <f>SUM(B526:F526)</f>
        <v>0.30000000000000004</v>
      </c>
    </row>
    <row r="527" spans="1:7" ht="13.5" thickBot="1">
      <c r="A527" s="142" t="s">
        <v>312</v>
      </c>
      <c r="B527" s="111">
        <f>SUM(B523:B526)</f>
        <v>233.00000000000003</v>
      </c>
      <c r="C527" s="111">
        <f t="shared" ref="C527:F527" si="153">SUM(C523:C526)</f>
        <v>354.09999999999997</v>
      </c>
      <c r="D527" s="111">
        <f t="shared" si="153"/>
        <v>40.6</v>
      </c>
      <c r="E527" s="111">
        <f t="shared" si="153"/>
        <v>36</v>
      </c>
      <c r="F527" s="111">
        <f t="shared" si="153"/>
        <v>44.3</v>
      </c>
      <c r="G527" s="144">
        <f>SUM(G523:G526)</f>
        <v>708</v>
      </c>
    </row>
    <row r="528" spans="1:7" ht="13.5" thickBot="1">
      <c r="A528" s="145" t="s">
        <v>313</v>
      </c>
      <c r="B528" s="116">
        <v>234.3</v>
      </c>
      <c r="C528" s="116">
        <v>357.2</v>
      </c>
      <c r="D528" s="116">
        <v>43.8</v>
      </c>
      <c r="E528" s="116">
        <v>36</v>
      </c>
      <c r="F528" s="116">
        <v>41.5</v>
      </c>
      <c r="G528" s="116">
        <f>SUM(B528:F528)</f>
        <v>712.8</v>
      </c>
    </row>
    <row r="532" spans="1:16" ht="13.5" thickBot="1">
      <c r="A532" s="27" t="s">
        <v>314</v>
      </c>
    </row>
    <row r="533" spans="1:16" ht="13">
      <c r="A533" s="134"/>
      <c r="B533" s="135" t="s">
        <v>15</v>
      </c>
      <c r="C533" s="135" t="s">
        <v>14</v>
      </c>
      <c r="D533" s="135" t="s">
        <v>13</v>
      </c>
      <c r="E533" s="135" t="s">
        <v>12</v>
      </c>
      <c r="F533" s="135" t="s">
        <v>11</v>
      </c>
      <c r="G533" s="135" t="s">
        <v>10</v>
      </c>
      <c r="H533" s="135" t="s">
        <v>9</v>
      </c>
      <c r="I533" s="135" t="s">
        <v>8</v>
      </c>
      <c r="J533" s="135" t="s">
        <v>7</v>
      </c>
      <c r="K533" s="135" t="s">
        <v>6</v>
      </c>
      <c r="L533" s="135" t="s">
        <v>5</v>
      </c>
      <c r="M533" s="135" t="s">
        <v>4</v>
      </c>
      <c r="N533" s="135" t="s">
        <v>3</v>
      </c>
      <c r="O533" s="135" t="s">
        <v>2</v>
      </c>
      <c r="P533" s="135" t="s">
        <v>1</v>
      </c>
    </row>
    <row r="534" spans="1:16" ht="13">
      <c r="A534" s="26" t="s">
        <v>315</v>
      </c>
      <c r="B534" s="26">
        <v>97.4</v>
      </c>
      <c r="C534" s="26">
        <v>109.5</v>
      </c>
      <c r="D534" s="26">
        <v>111.4</v>
      </c>
      <c r="E534" s="26">
        <v>117.3</v>
      </c>
      <c r="F534" s="26">
        <v>120.4</v>
      </c>
      <c r="G534" s="26">
        <v>108.8</v>
      </c>
      <c r="H534" s="26">
        <v>95.2</v>
      </c>
      <c r="I534" s="26">
        <v>89.3</v>
      </c>
      <c r="J534" s="26">
        <v>86.3</v>
      </c>
      <c r="K534" s="26">
        <v>81.400000000000006</v>
      </c>
      <c r="L534" s="26">
        <v>78.5</v>
      </c>
      <c r="M534" s="26">
        <v>70</v>
      </c>
      <c r="N534" s="26">
        <v>64.099999999999994</v>
      </c>
      <c r="O534" s="26">
        <v>64.8</v>
      </c>
      <c r="P534" s="26">
        <v>58.1</v>
      </c>
    </row>
    <row r="537" spans="1:16" ht="13" thickBot="1"/>
    <row r="538" spans="1:16" ht="13">
      <c r="A538" s="134"/>
      <c r="B538" s="135" t="s">
        <v>15</v>
      </c>
      <c r="C538" s="135" t="s">
        <v>14</v>
      </c>
      <c r="D538" s="135" t="s">
        <v>13</v>
      </c>
      <c r="E538" s="135" t="s">
        <v>12</v>
      </c>
      <c r="F538" s="135" t="s">
        <v>11</v>
      </c>
      <c r="G538" s="135" t="s">
        <v>10</v>
      </c>
      <c r="H538" s="135" t="s">
        <v>9</v>
      </c>
      <c r="I538" s="135" t="s">
        <v>8</v>
      </c>
      <c r="J538" s="135" t="s">
        <v>7</v>
      </c>
      <c r="K538" s="135" t="s">
        <v>6</v>
      </c>
      <c r="L538" s="135" t="s">
        <v>5</v>
      </c>
      <c r="M538" s="135" t="s">
        <v>4</v>
      </c>
      <c r="N538" s="135" t="s">
        <v>3</v>
      </c>
      <c r="O538" s="135" t="s">
        <v>2</v>
      </c>
      <c r="P538" s="135" t="s">
        <v>1</v>
      </c>
    </row>
    <row r="539" spans="1:16">
      <c r="A539" s="137" t="s">
        <v>316</v>
      </c>
      <c r="B539" s="110">
        <v>34.799999999999997</v>
      </c>
      <c r="C539" s="110">
        <v>40</v>
      </c>
      <c r="D539" s="110">
        <v>44.2</v>
      </c>
      <c r="E539" s="110">
        <v>44.7</v>
      </c>
      <c r="F539" s="110">
        <v>44.6</v>
      </c>
      <c r="G539" s="110">
        <v>44.4</v>
      </c>
      <c r="H539" s="110">
        <v>43.8</v>
      </c>
      <c r="I539" s="110">
        <v>45.5</v>
      </c>
      <c r="J539" s="110">
        <v>41.3</v>
      </c>
      <c r="K539" s="137">
        <v>39.299999999999997</v>
      </c>
      <c r="L539" s="137">
        <v>37.799999999999997</v>
      </c>
      <c r="M539" s="137">
        <v>36.5</v>
      </c>
      <c r="N539" s="137">
        <v>34.1</v>
      </c>
      <c r="O539" s="137">
        <v>31.2</v>
      </c>
      <c r="P539" s="1">
        <v>42.9</v>
      </c>
    </row>
    <row r="540" spans="1:16">
      <c r="A540" s="137" t="s">
        <v>317</v>
      </c>
      <c r="B540" s="110">
        <v>31.8</v>
      </c>
      <c r="C540" s="110">
        <v>32.799999999999997</v>
      </c>
      <c r="D540" s="110">
        <v>34.700000000000003</v>
      </c>
      <c r="E540" s="110">
        <v>35.299999999999997</v>
      </c>
      <c r="F540" s="110">
        <v>36.299999999999997</v>
      </c>
      <c r="G540" s="110">
        <v>35.6</v>
      </c>
      <c r="H540" s="110">
        <v>34</v>
      </c>
      <c r="I540" s="110">
        <v>32.700000000000003</v>
      </c>
      <c r="J540" s="110">
        <v>31.6</v>
      </c>
      <c r="K540" s="137">
        <v>29</v>
      </c>
      <c r="L540" s="137">
        <v>27.9</v>
      </c>
      <c r="M540" s="137">
        <v>20.9</v>
      </c>
      <c r="N540" s="137">
        <v>18.100000000000001</v>
      </c>
      <c r="O540" s="137">
        <v>14.2</v>
      </c>
      <c r="P540" s="1">
        <v>12</v>
      </c>
    </row>
    <row r="541" spans="1:16" ht="13" thickBot="1">
      <c r="A541" s="137" t="s">
        <v>151</v>
      </c>
      <c r="B541" s="111">
        <v>0.9</v>
      </c>
      <c r="C541" s="111">
        <v>1.3</v>
      </c>
      <c r="D541" s="111">
        <v>1.4</v>
      </c>
      <c r="E541" s="111">
        <v>1.5</v>
      </c>
      <c r="F541" s="111">
        <v>1.5</v>
      </c>
      <c r="G541" s="111">
        <v>1.5</v>
      </c>
      <c r="H541" s="111">
        <v>1.5</v>
      </c>
      <c r="I541" s="111">
        <v>1</v>
      </c>
      <c r="J541" s="111">
        <v>1.3</v>
      </c>
      <c r="K541" s="111">
        <v>1.1000000000000001</v>
      </c>
      <c r="L541" s="111">
        <v>1</v>
      </c>
      <c r="M541" s="111">
        <v>0.6</v>
      </c>
      <c r="N541" s="111">
        <v>0.7</v>
      </c>
      <c r="O541" s="111">
        <v>0.5</v>
      </c>
      <c r="P541" s="111">
        <v>0.4</v>
      </c>
    </row>
    <row r="542" spans="1:16" ht="13.5" thickBot="1">
      <c r="A542" s="146" t="s">
        <v>318</v>
      </c>
      <c r="B542" s="146">
        <f t="shared" ref="B542:G542" si="154">SUM(B539:B541)</f>
        <v>67.5</v>
      </c>
      <c r="C542" s="146">
        <f t="shared" si="154"/>
        <v>74.099999999999994</v>
      </c>
      <c r="D542" s="146">
        <f t="shared" si="154"/>
        <v>80.300000000000011</v>
      </c>
      <c r="E542" s="146">
        <f t="shared" si="154"/>
        <v>81.5</v>
      </c>
      <c r="F542" s="146">
        <f t="shared" si="154"/>
        <v>82.4</v>
      </c>
      <c r="G542" s="146">
        <f t="shared" si="154"/>
        <v>81.5</v>
      </c>
      <c r="H542" s="146">
        <f t="shared" ref="H542" si="155">SUM(H539:H541)</f>
        <v>79.3</v>
      </c>
      <c r="I542" s="146">
        <f t="shared" ref="I542:P542" si="156">SUM(I539:I541)</f>
        <v>79.2</v>
      </c>
      <c r="J542" s="146">
        <f t="shared" si="156"/>
        <v>74.2</v>
      </c>
      <c r="K542" s="146">
        <f t="shared" si="156"/>
        <v>69.399999999999991</v>
      </c>
      <c r="L542" s="146">
        <f t="shared" si="156"/>
        <v>66.699999999999989</v>
      </c>
      <c r="M542" s="146">
        <f t="shared" si="156"/>
        <v>58</v>
      </c>
      <c r="N542" s="146">
        <f t="shared" si="156"/>
        <v>52.900000000000006</v>
      </c>
      <c r="O542" s="146">
        <f t="shared" si="156"/>
        <v>45.9</v>
      </c>
      <c r="P542" s="146">
        <f t="shared" si="156"/>
        <v>55.3</v>
      </c>
    </row>
  </sheetData>
  <sheetProtection selectLockedCells="1"/>
  <mergeCells count="3">
    <mergeCell ref="A101:A102"/>
    <mergeCell ref="A357:A358"/>
    <mergeCell ref="A442:A443"/>
  </mergeCells>
  <pageMargins left="0.23622047244094491" right="0.23622047244094491" top="0.74803149606299213" bottom="0.74803149606299213" header="0.31496062992125984" footer="0.31496062992125984"/>
  <pageSetup paperSize="8" scale="9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D3D0-32E3-436E-8B74-5DF013AE9A71}">
  <dimension ref="A1:P42"/>
  <sheetViews>
    <sheetView workbookViewId="0">
      <selection activeCell="I36" sqref="I36"/>
    </sheetView>
  </sheetViews>
  <sheetFormatPr defaultRowHeight="12.5"/>
  <cols>
    <col min="1" max="1" width="8.6640625" style="1"/>
    <col min="2" max="6" width="8.83203125" style="1" bestFit="1" customWidth="1"/>
    <col min="7" max="15" width="10.25" style="1" bestFit="1" customWidth="1"/>
    <col min="16" max="16" width="10.83203125" style="1" bestFit="1" customWidth="1"/>
    <col min="17" max="16384" width="8.6640625" style="1"/>
  </cols>
  <sheetData>
    <row r="1" spans="1:1" ht="13">
      <c r="A1" s="26" t="s">
        <v>591</v>
      </c>
    </row>
    <row r="28" spans="1:16" ht="13.5" thickBot="1">
      <c r="A28" s="27" t="s">
        <v>148</v>
      </c>
      <c r="L28" s="27"/>
      <c r="M28" s="27"/>
      <c r="N28" s="27"/>
      <c r="O28" s="27"/>
    </row>
    <row r="29" spans="1:16" ht="13">
      <c r="A29" s="27"/>
      <c r="B29" s="33" t="s">
        <v>15</v>
      </c>
      <c r="C29" s="33" t="s">
        <v>14</v>
      </c>
      <c r="D29" s="33" t="s">
        <v>13</v>
      </c>
      <c r="E29" s="33" t="s">
        <v>12</v>
      </c>
      <c r="F29" s="33" t="s">
        <v>11</v>
      </c>
      <c r="G29" s="33" t="s">
        <v>10</v>
      </c>
      <c r="H29" s="33" t="s">
        <v>9</v>
      </c>
      <c r="I29" s="33" t="s">
        <v>8</v>
      </c>
      <c r="J29" s="33" t="s">
        <v>7</v>
      </c>
      <c r="K29" s="33" t="s">
        <v>6</v>
      </c>
      <c r="L29" s="33" t="s">
        <v>5</v>
      </c>
      <c r="M29" s="33" t="s">
        <v>4</v>
      </c>
      <c r="N29" s="33" t="s">
        <v>3</v>
      </c>
      <c r="O29" s="33" t="s">
        <v>2</v>
      </c>
      <c r="P29" s="33" t="s">
        <v>1</v>
      </c>
    </row>
    <row r="30" spans="1:16">
      <c r="A30" s="1" t="s">
        <v>149</v>
      </c>
      <c r="B30" s="22"/>
      <c r="C30" s="22">
        <v>360.1</v>
      </c>
      <c r="D30" s="22">
        <v>388</v>
      </c>
      <c r="E30" s="22">
        <v>388.8</v>
      </c>
      <c r="F30" s="22">
        <v>446.4</v>
      </c>
      <c r="G30" s="22">
        <v>696.4</v>
      </c>
      <c r="H30" s="22">
        <v>713.2</v>
      </c>
      <c r="I30" s="22">
        <v>742.4</v>
      </c>
      <c r="J30" s="22">
        <v>761.6</v>
      </c>
      <c r="K30" s="22">
        <v>811.6</v>
      </c>
      <c r="L30" s="22">
        <v>838.7</v>
      </c>
      <c r="M30" s="22">
        <v>863.8</v>
      </c>
      <c r="N30" s="22">
        <v>944</v>
      </c>
      <c r="O30" s="22">
        <v>1036.5999999999999</v>
      </c>
      <c r="P30" s="22">
        <f>'Data for charts 09-24'!P231</f>
        <v>1115.8</v>
      </c>
    </row>
    <row r="31" spans="1:16">
      <c r="A31" s="1" t="s">
        <v>150</v>
      </c>
      <c r="B31" s="22"/>
      <c r="C31" s="22">
        <v>297.7</v>
      </c>
      <c r="D31" s="22">
        <v>300.39999999999998</v>
      </c>
      <c r="E31" s="22">
        <v>296.89999999999998</v>
      </c>
      <c r="F31" s="22">
        <v>306.5</v>
      </c>
      <c r="G31" s="22">
        <v>319.3</v>
      </c>
      <c r="H31" s="22">
        <v>336.5</v>
      </c>
      <c r="I31" s="22">
        <v>353.6</v>
      </c>
      <c r="J31" s="22">
        <v>367.8</v>
      </c>
      <c r="K31" s="22">
        <v>374.5</v>
      </c>
      <c r="L31" s="22">
        <v>389.7</v>
      </c>
      <c r="M31" s="22">
        <v>319.89999999999998</v>
      </c>
      <c r="N31" s="22">
        <v>309</v>
      </c>
      <c r="O31" s="22">
        <v>295.5</v>
      </c>
      <c r="P31" s="22">
        <f>'Data for charts 09-24'!P232</f>
        <v>292.8</v>
      </c>
    </row>
    <row r="32" spans="1:16">
      <c r="A32" s="1" t="s">
        <v>151</v>
      </c>
      <c r="B32" s="22"/>
      <c r="C32" s="22">
        <v>56.2</v>
      </c>
      <c r="D32" s="22">
        <v>56.1</v>
      </c>
      <c r="E32" s="22">
        <v>61.1</v>
      </c>
      <c r="F32" s="22">
        <v>59.4</v>
      </c>
      <c r="G32" s="22">
        <v>60.1</v>
      </c>
      <c r="H32" s="22">
        <v>70.5</v>
      </c>
      <c r="I32" s="22">
        <v>71.599999999999994</v>
      </c>
      <c r="J32" s="22">
        <v>79</v>
      </c>
      <c r="K32" s="22">
        <v>81.900000000000006</v>
      </c>
      <c r="L32" s="22">
        <v>84.9</v>
      </c>
      <c r="M32" s="22">
        <v>86.6</v>
      </c>
      <c r="N32" s="22">
        <v>87.4</v>
      </c>
      <c r="O32" s="22">
        <v>103.2</v>
      </c>
      <c r="P32" s="22">
        <f>'Data for charts 09-24'!P233</f>
        <v>130.5</v>
      </c>
    </row>
    <row r="33" spans="1:16">
      <c r="A33" s="1" t="s">
        <v>152</v>
      </c>
      <c r="B33" s="22">
        <f t="shared" ref="B33:N33" si="0">SUM(B30:B32)</f>
        <v>0</v>
      </c>
      <c r="C33" s="22">
        <f t="shared" si="0"/>
        <v>714</v>
      </c>
      <c r="D33" s="22">
        <f t="shared" si="0"/>
        <v>744.5</v>
      </c>
      <c r="E33" s="22">
        <f t="shared" si="0"/>
        <v>746.80000000000007</v>
      </c>
      <c r="F33" s="22">
        <f t="shared" si="0"/>
        <v>812.3</v>
      </c>
      <c r="G33" s="22">
        <f t="shared" si="0"/>
        <v>1075.8</v>
      </c>
      <c r="H33" s="22">
        <f t="shared" si="0"/>
        <v>1120.2</v>
      </c>
      <c r="I33" s="22">
        <f t="shared" si="0"/>
        <v>1167.5999999999999</v>
      </c>
      <c r="J33" s="22">
        <f t="shared" si="0"/>
        <v>1208.4000000000001</v>
      </c>
      <c r="K33" s="22">
        <f t="shared" si="0"/>
        <v>1268</v>
      </c>
      <c r="L33" s="22">
        <f t="shared" si="0"/>
        <v>1313.3000000000002</v>
      </c>
      <c r="M33" s="22">
        <f t="shared" si="0"/>
        <v>1270.2999999999997</v>
      </c>
      <c r="N33" s="22">
        <f t="shared" si="0"/>
        <v>1340.4</v>
      </c>
      <c r="O33" s="22">
        <f>SUM(O30:O32)</f>
        <v>1435.3</v>
      </c>
      <c r="P33" s="22">
        <f>'Data for charts 09-24'!P234</f>
        <v>1539.1</v>
      </c>
    </row>
    <row r="35" spans="1:16">
      <c r="A35" s="1" t="s">
        <v>346</v>
      </c>
    </row>
    <row r="36" spans="1:16" ht="100">
      <c r="B36" s="212" t="s">
        <v>347</v>
      </c>
    </row>
    <row r="37" spans="1:16">
      <c r="A37" s="1" t="s">
        <v>348</v>
      </c>
      <c r="B37" s="1">
        <v>712</v>
      </c>
    </row>
    <row r="38" spans="1:16">
      <c r="A38" s="1" t="s">
        <v>349</v>
      </c>
      <c r="B38" s="1">
        <v>136</v>
      </c>
    </row>
    <row r="39" spans="1:16">
      <c r="A39" s="1" t="s">
        <v>350</v>
      </c>
      <c r="B39" s="1">
        <v>70</v>
      </c>
    </row>
    <row r="40" spans="1:16">
      <c r="A40" s="1" t="s">
        <v>351</v>
      </c>
      <c r="B40" s="1">
        <v>68</v>
      </c>
    </row>
    <row r="41" spans="1:16">
      <c r="A41" s="1" t="s">
        <v>58</v>
      </c>
      <c r="B41" s="1">
        <v>38</v>
      </c>
    </row>
    <row r="42" spans="1:16">
      <c r="B42" s="246">
        <v>1116</v>
      </c>
    </row>
  </sheetData>
  <phoneticPr fontId="167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418BC-C194-42F4-991E-8A03CF3EFB4F}">
  <dimension ref="A1:AI62"/>
  <sheetViews>
    <sheetView showGridLines="0" workbookViewId="0">
      <selection activeCell="M11" sqref="M11"/>
    </sheetView>
  </sheetViews>
  <sheetFormatPr defaultRowHeight="12.5"/>
  <cols>
    <col min="1" max="1" width="25.83203125" style="1" customWidth="1"/>
    <col min="2" max="16384" width="8.6640625" style="1"/>
  </cols>
  <sheetData>
    <row r="1" spans="1:35" ht="13">
      <c r="A1" s="26" t="s">
        <v>592</v>
      </c>
    </row>
    <row r="3" spans="1:35" ht="13">
      <c r="S3" s="26" t="s">
        <v>2</v>
      </c>
      <c r="AA3" s="26" t="s">
        <v>6</v>
      </c>
      <c r="AI3" s="26" t="s">
        <v>10</v>
      </c>
    </row>
    <row r="25" spans="1:27" ht="13">
      <c r="S25" s="26" t="s">
        <v>4</v>
      </c>
      <c r="AA25" s="26" t="s">
        <v>8</v>
      </c>
    </row>
    <row r="28" spans="1:27" ht="13">
      <c r="A28" s="26" t="s">
        <v>352</v>
      </c>
    </row>
    <row r="29" spans="1:27">
      <c r="B29" s="1" t="s">
        <v>15</v>
      </c>
      <c r="C29" s="1" t="s">
        <v>14</v>
      </c>
      <c r="D29" s="1" t="s">
        <v>13</v>
      </c>
      <c r="E29" s="1" t="s">
        <v>12</v>
      </c>
      <c r="F29" s="1" t="s">
        <v>11</v>
      </c>
      <c r="G29" s="1" t="s">
        <v>10</v>
      </c>
      <c r="H29" s="1" t="s">
        <v>9</v>
      </c>
      <c r="I29" s="1" t="s">
        <v>8</v>
      </c>
      <c r="J29" s="1" t="s">
        <v>7</v>
      </c>
      <c r="K29" s="1" t="s">
        <v>6</v>
      </c>
      <c r="L29" s="1" t="s">
        <v>5</v>
      </c>
      <c r="M29" s="1" t="s">
        <v>4</v>
      </c>
      <c r="N29" s="1" t="s">
        <v>3</v>
      </c>
      <c r="O29" s="1" t="s">
        <v>2</v>
      </c>
      <c r="P29" s="1" t="s">
        <v>1</v>
      </c>
    </row>
    <row r="30" spans="1:27">
      <c r="A30" s="1" t="s">
        <v>353</v>
      </c>
      <c r="B30" s="247"/>
      <c r="C30" s="247"/>
      <c r="D30" s="247"/>
      <c r="E30" s="247"/>
      <c r="F30" s="247"/>
      <c r="G30" s="22">
        <v>41.8</v>
      </c>
      <c r="H30" s="24">
        <v>52.2</v>
      </c>
      <c r="I30" s="24">
        <v>56.3</v>
      </c>
      <c r="J30" s="24">
        <v>59.2</v>
      </c>
      <c r="K30" s="24">
        <v>61.2</v>
      </c>
      <c r="L30" s="24">
        <v>63.1</v>
      </c>
      <c r="M30" s="24">
        <v>64.8</v>
      </c>
      <c r="N30" s="24">
        <v>68.7</v>
      </c>
      <c r="O30" s="24">
        <v>78</v>
      </c>
      <c r="P30" s="24">
        <v>103.3</v>
      </c>
    </row>
    <row r="31" spans="1:27">
      <c r="A31" s="1" t="s">
        <v>354</v>
      </c>
      <c r="B31" s="247">
        <f>B36</f>
        <v>234.3</v>
      </c>
      <c r="C31" s="247">
        <f t="shared" ref="C31:F31" si="0">C36</f>
        <v>254.1</v>
      </c>
      <c r="D31" s="247">
        <f t="shared" si="0"/>
        <v>269.10000000000002</v>
      </c>
      <c r="E31" s="247">
        <f t="shared" si="0"/>
        <v>273.39999999999998</v>
      </c>
      <c r="F31" s="247">
        <f t="shared" si="0"/>
        <v>327.9</v>
      </c>
      <c r="G31" s="22"/>
      <c r="H31" s="24"/>
      <c r="I31" s="24"/>
      <c r="J31" s="24"/>
      <c r="K31" s="24"/>
      <c r="L31" s="24"/>
      <c r="M31" s="24"/>
      <c r="N31" s="24"/>
      <c r="O31" s="24"/>
      <c r="P31" s="24"/>
    </row>
    <row r="32" spans="1:27">
      <c r="A32" s="1" t="s">
        <v>355</v>
      </c>
      <c r="B32" s="159"/>
      <c r="C32" s="159"/>
      <c r="D32" s="159"/>
      <c r="E32" s="159"/>
      <c r="F32" s="159"/>
      <c r="G32" s="24">
        <f t="shared" ref="G32" si="1">G36-G30-G33</f>
        <v>241.30000000000007</v>
      </c>
      <c r="H32" s="24">
        <f t="shared" ref="H32:O32" si="2">H36-H30-H33</f>
        <v>231.5</v>
      </c>
      <c r="I32" s="24">
        <f t="shared" si="2"/>
        <v>250.40000000000009</v>
      </c>
      <c r="J32" s="24">
        <f t="shared" si="2"/>
        <v>256.79999999999995</v>
      </c>
      <c r="K32" s="24">
        <f t="shared" si="2"/>
        <v>266.7</v>
      </c>
      <c r="L32" s="24">
        <f t="shared" si="2"/>
        <v>280.49999999999994</v>
      </c>
      <c r="M32" s="24">
        <f t="shared" si="2"/>
        <v>275.10000000000008</v>
      </c>
      <c r="N32" s="24">
        <f>N36-N30-N33</f>
        <v>254.29999999999995</v>
      </c>
      <c r="O32" s="24">
        <f t="shared" si="2"/>
        <v>341.6</v>
      </c>
      <c r="P32" s="24">
        <f>P36-P30-P33</f>
        <v>340.70000000000005</v>
      </c>
    </row>
    <row r="33" spans="1:35" ht="13">
      <c r="A33" s="1" t="s">
        <v>356</v>
      </c>
      <c r="B33" s="159"/>
      <c r="C33" s="159"/>
      <c r="D33" s="159"/>
      <c r="E33" s="159"/>
      <c r="F33" s="159"/>
      <c r="G33" s="24">
        <v>278.10000000000002</v>
      </c>
      <c r="H33" s="24">
        <v>288.89999999999998</v>
      </c>
      <c r="I33" s="24">
        <v>288.89999999999998</v>
      </c>
      <c r="J33" s="24">
        <v>300.60000000000002</v>
      </c>
      <c r="K33" s="24">
        <v>328.8</v>
      </c>
      <c r="L33" s="24">
        <v>332.3</v>
      </c>
      <c r="M33" s="24">
        <v>336.8</v>
      </c>
      <c r="N33" s="24">
        <v>411.4</v>
      </c>
      <c r="O33" s="24">
        <v>411.4</v>
      </c>
      <c r="P33" s="24">
        <v>471.9</v>
      </c>
      <c r="AI33" s="26" t="s">
        <v>9</v>
      </c>
    </row>
    <row r="34" spans="1:35" ht="13">
      <c r="A34" s="26" t="s">
        <v>80</v>
      </c>
      <c r="B34" s="225">
        <f>SUM(B30:B33)</f>
        <v>234.3</v>
      </c>
      <c r="C34" s="225">
        <f t="shared" ref="C34:M34" si="3">SUM(C30:C33)</f>
        <v>254.1</v>
      </c>
      <c r="D34" s="225">
        <f t="shared" si="3"/>
        <v>269.10000000000002</v>
      </c>
      <c r="E34" s="225">
        <f t="shared" si="3"/>
        <v>273.39999999999998</v>
      </c>
      <c r="F34" s="225">
        <f t="shared" si="3"/>
        <v>327.9</v>
      </c>
      <c r="G34" s="225">
        <f t="shared" si="3"/>
        <v>561.20000000000005</v>
      </c>
      <c r="H34" s="225">
        <f t="shared" si="3"/>
        <v>572.59999999999991</v>
      </c>
      <c r="I34" s="225">
        <f t="shared" si="3"/>
        <v>595.60000000000014</v>
      </c>
      <c r="J34" s="225">
        <f t="shared" si="3"/>
        <v>616.59999999999991</v>
      </c>
      <c r="K34" s="225">
        <f t="shared" si="3"/>
        <v>656.7</v>
      </c>
      <c r="L34" s="225">
        <f t="shared" si="3"/>
        <v>675.9</v>
      </c>
      <c r="M34" s="225">
        <f t="shared" si="3"/>
        <v>676.7</v>
      </c>
      <c r="N34" s="225">
        <f>SUM(N30:N33)</f>
        <v>734.39999999999986</v>
      </c>
      <c r="O34" s="225">
        <f t="shared" ref="O34:P34" si="4">SUM(O30:O33)</f>
        <v>831</v>
      </c>
      <c r="P34" s="225">
        <f t="shared" si="4"/>
        <v>915.90000000000009</v>
      </c>
    </row>
    <row r="35" spans="1:35" ht="13">
      <c r="A35" s="26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</row>
    <row r="36" spans="1:35" ht="13">
      <c r="A36" s="226" t="s">
        <v>357</v>
      </c>
      <c r="B36" s="227">
        <f>B43</f>
        <v>234.3</v>
      </c>
      <c r="C36" s="227">
        <f t="shared" ref="C36:D36" si="5">C43</f>
        <v>254.1</v>
      </c>
      <c r="D36" s="227">
        <f t="shared" si="5"/>
        <v>269.10000000000002</v>
      </c>
      <c r="E36" s="227">
        <f>E43</f>
        <v>273.39999999999998</v>
      </c>
      <c r="F36" s="227">
        <v>327.9</v>
      </c>
      <c r="G36" s="227">
        <f>G43</f>
        <v>561.20000000000005</v>
      </c>
      <c r="H36" s="227">
        <v>572.6</v>
      </c>
      <c r="I36" s="227">
        <v>595.6</v>
      </c>
      <c r="J36" s="227">
        <v>616.6</v>
      </c>
      <c r="K36" s="227">
        <v>656.7</v>
      </c>
      <c r="L36" s="227">
        <v>675.9</v>
      </c>
      <c r="M36" s="227">
        <v>676.7</v>
      </c>
      <c r="N36" s="227">
        <v>734.4</v>
      </c>
      <c r="O36" s="227">
        <v>831</v>
      </c>
      <c r="P36" s="227">
        <f>P43</f>
        <v>915.9</v>
      </c>
    </row>
    <row r="37" spans="1:35"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</row>
    <row r="38" spans="1:35" ht="13">
      <c r="A38" s="228" t="s">
        <v>339</v>
      </c>
      <c r="B38" s="229">
        <f>B34-B43</f>
        <v>0</v>
      </c>
      <c r="C38" s="229">
        <f t="shared" ref="C38:P38" si="6">C34-C43</f>
        <v>0</v>
      </c>
      <c r="D38" s="229">
        <f t="shared" si="6"/>
        <v>0</v>
      </c>
      <c r="E38" s="229">
        <f t="shared" si="6"/>
        <v>0</v>
      </c>
      <c r="F38" s="229">
        <f t="shared" si="6"/>
        <v>0</v>
      </c>
      <c r="G38" s="229">
        <f>G34-G43</f>
        <v>0</v>
      </c>
      <c r="H38" s="229">
        <f t="shared" si="6"/>
        <v>0</v>
      </c>
      <c r="I38" s="229">
        <f t="shared" si="6"/>
        <v>0</v>
      </c>
      <c r="J38" s="229">
        <f t="shared" si="6"/>
        <v>0</v>
      </c>
      <c r="K38" s="229">
        <f t="shared" si="6"/>
        <v>0</v>
      </c>
      <c r="L38" s="229">
        <f t="shared" si="6"/>
        <v>0</v>
      </c>
      <c r="M38" s="229">
        <f t="shared" si="6"/>
        <v>0</v>
      </c>
      <c r="N38" s="229">
        <f t="shared" si="6"/>
        <v>0</v>
      </c>
      <c r="O38" s="229">
        <f t="shared" si="6"/>
        <v>0</v>
      </c>
      <c r="P38" s="229">
        <f t="shared" si="6"/>
        <v>0</v>
      </c>
    </row>
    <row r="39" spans="1:35" ht="13" thickBot="1"/>
    <row r="40" spans="1:35" ht="13">
      <c r="A40" s="230" t="s">
        <v>358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2"/>
    </row>
    <row r="41" spans="1:35">
      <c r="A41" s="233"/>
      <c r="P41" s="234"/>
    </row>
    <row r="42" spans="1:35">
      <c r="A42" s="233"/>
      <c r="B42" s="1" t="s">
        <v>15</v>
      </c>
      <c r="C42" s="1" t="s">
        <v>14</v>
      </c>
      <c r="D42" s="1" t="s">
        <v>13</v>
      </c>
      <c r="E42" s="1" t="s">
        <v>12</v>
      </c>
      <c r="F42" s="1" t="s">
        <v>11</v>
      </c>
      <c r="G42" s="1" t="s">
        <v>10</v>
      </c>
      <c r="H42" s="1" t="s">
        <v>9</v>
      </c>
      <c r="I42" s="1" t="s">
        <v>8</v>
      </c>
      <c r="J42" s="1" t="s">
        <v>7</v>
      </c>
      <c r="K42" s="1" t="s">
        <v>6</v>
      </c>
      <c r="L42" s="1" t="s">
        <v>5</v>
      </c>
      <c r="M42" s="1" t="s">
        <v>4</v>
      </c>
      <c r="N42" s="1" t="s">
        <v>3</v>
      </c>
      <c r="O42" s="1" t="s">
        <v>2</v>
      </c>
      <c r="P42" s="234" t="s">
        <v>1</v>
      </c>
    </row>
    <row r="43" spans="1:35">
      <c r="A43" s="233" t="s">
        <v>135</v>
      </c>
      <c r="B43" s="19">
        <f>'Data for charts 09-24'!B191</f>
        <v>234.3</v>
      </c>
      <c r="C43" s="19">
        <f>'Data for charts 09-24'!C191</f>
        <v>254.1</v>
      </c>
      <c r="D43" s="19">
        <f>'Data for charts 09-24'!D191</f>
        <v>269.10000000000002</v>
      </c>
      <c r="E43" s="19">
        <f>'Data for charts 09-24'!E191</f>
        <v>273.39999999999998</v>
      </c>
      <c r="F43" s="19">
        <f>'Data for charts 09-24'!F191</f>
        <v>327.9</v>
      </c>
      <c r="G43" s="19">
        <f>'Data for charts 09-24'!G191</f>
        <v>561.20000000000005</v>
      </c>
      <c r="H43" s="19">
        <f>'Data for charts 09-24'!H191</f>
        <v>572.6</v>
      </c>
      <c r="I43" s="19">
        <f>'Data for charts 09-24'!I191</f>
        <v>595.6</v>
      </c>
      <c r="J43" s="19">
        <f>'Data for charts 09-24'!J191</f>
        <v>616.6</v>
      </c>
      <c r="K43" s="19">
        <f>'Data for charts 09-24'!K191</f>
        <v>656.7</v>
      </c>
      <c r="L43" s="19">
        <f>'Data for charts 09-24'!L191</f>
        <v>675.9</v>
      </c>
      <c r="M43" s="19">
        <f>'Data for charts 09-24'!M191</f>
        <v>676.7</v>
      </c>
      <c r="N43" s="19">
        <f>'Data for charts 09-24'!N191</f>
        <v>734.4</v>
      </c>
      <c r="O43" s="19">
        <f>'Data for charts 09-24'!O191</f>
        <v>831</v>
      </c>
      <c r="P43" s="235">
        <f>'Data for charts 09-24'!P191</f>
        <v>915.9</v>
      </c>
    </row>
    <row r="44" spans="1:35">
      <c r="A44" s="233"/>
      <c r="P44" s="234"/>
    </row>
    <row r="45" spans="1:35">
      <c r="A45" s="233"/>
      <c r="P45" s="234"/>
    </row>
    <row r="46" spans="1:35">
      <c r="A46" s="233"/>
      <c r="P46" s="234"/>
    </row>
    <row r="47" spans="1:35">
      <c r="A47" s="233"/>
      <c r="P47" s="234"/>
    </row>
    <row r="48" spans="1:35">
      <c r="A48" s="233"/>
      <c r="P48" s="234"/>
    </row>
    <row r="49" spans="1:35">
      <c r="A49" s="233"/>
      <c r="P49" s="234"/>
    </row>
    <row r="50" spans="1:35">
      <c r="A50" s="233"/>
      <c r="P50" s="234"/>
    </row>
    <row r="51" spans="1:35">
      <c r="A51" s="233"/>
      <c r="P51" s="234"/>
    </row>
    <row r="52" spans="1:35">
      <c r="A52" s="233"/>
      <c r="P52" s="234"/>
    </row>
    <row r="53" spans="1:35">
      <c r="A53" s="233"/>
      <c r="P53" s="234"/>
    </row>
    <row r="54" spans="1:35" ht="13">
      <c r="A54" s="233"/>
      <c r="P54" s="234"/>
      <c r="S54" s="26" t="s">
        <v>1</v>
      </c>
      <c r="AI54" s="26" t="s">
        <v>12</v>
      </c>
    </row>
    <row r="55" spans="1:35">
      <c r="A55" s="233"/>
      <c r="P55" s="234"/>
    </row>
    <row r="56" spans="1:35">
      <c r="A56" s="233"/>
      <c r="P56" s="234"/>
    </row>
    <row r="57" spans="1:35">
      <c r="A57" s="233"/>
      <c r="P57" s="234"/>
    </row>
    <row r="58" spans="1:35">
      <c r="A58" s="233"/>
      <c r="P58" s="234"/>
    </row>
    <row r="59" spans="1:35">
      <c r="A59" s="233"/>
      <c r="P59" s="234"/>
    </row>
    <row r="60" spans="1:35">
      <c r="A60" s="233"/>
      <c r="P60" s="234"/>
    </row>
    <row r="61" spans="1:35">
      <c r="A61" s="233"/>
      <c r="P61" s="234"/>
    </row>
    <row r="62" spans="1:35" ht="13" thickBot="1">
      <c r="A62" s="236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8"/>
    </row>
  </sheetData>
  <phoneticPr fontId="167" type="noConversion"/>
  <pageMargins left="0.7" right="0.7" top="0.75" bottom="0.75" header="0.3" footer="0.3"/>
  <pageSetup paperSize="9"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BDDD5-68E8-4672-85B6-0A9D983A04F7}">
  <dimension ref="A1:Q40"/>
  <sheetViews>
    <sheetView zoomScale="91" zoomScaleNormal="55" workbookViewId="0">
      <selection activeCell="J26" sqref="J26"/>
    </sheetView>
  </sheetViews>
  <sheetFormatPr defaultColWidth="9" defaultRowHeight="12.5"/>
  <cols>
    <col min="1" max="1" width="14.83203125" style="1" bestFit="1" customWidth="1"/>
    <col min="2" max="16384" width="9" style="1"/>
  </cols>
  <sheetData>
    <row r="1" spans="1:1" ht="13">
      <c r="A1" s="26" t="s">
        <v>593</v>
      </c>
    </row>
    <row r="24" spans="1:2" ht="13">
      <c r="A24" s="248" t="s">
        <v>343</v>
      </c>
    </row>
    <row r="25" spans="1:2">
      <c r="A25" s="249" t="s">
        <v>344</v>
      </c>
      <c r="B25" s="174">
        <v>231.8</v>
      </c>
    </row>
    <row r="26" spans="1:2">
      <c r="A26" s="190" t="s">
        <v>142</v>
      </c>
      <c r="B26" s="174">
        <v>121.2</v>
      </c>
    </row>
    <row r="27" spans="1:2">
      <c r="A27" s="190" t="s">
        <v>143</v>
      </c>
      <c r="B27" s="174">
        <v>361.5</v>
      </c>
    </row>
    <row r="28" spans="1:2">
      <c r="A28" s="190" t="s">
        <v>144</v>
      </c>
      <c r="B28" s="174">
        <v>-118.9</v>
      </c>
    </row>
    <row r="29" spans="1:2">
      <c r="A29" s="250" t="s">
        <v>58</v>
      </c>
      <c r="B29" s="174">
        <v>320.3</v>
      </c>
    </row>
    <row r="30" spans="1:2">
      <c r="A30" s="251" t="s">
        <v>345</v>
      </c>
      <c r="B30" s="174">
        <v>915.9</v>
      </c>
    </row>
    <row r="31" spans="1:2">
      <c r="A31" s="58"/>
    </row>
    <row r="33" spans="1:17">
      <c r="A33" s="1" t="str">
        <f>'Data for charts 09-24'!A208</f>
        <v>PPE [Infrastructure assets] (Note 12)</v>
      </c>
    </row>
    <row r="34" spans="1:17">
      <c r="B34" s="1" t="str">
        <f>'Data for charts 09-24'!B209</f>
        <v>2009-10</v>
      </c>
      <c r="C34" s="1" t="str">
        <f>'Data for charts 09-24'!C209</f>
        <v>2010-11</v>
      </c>
      <c r="D34" s="1" t="str">
        <f>'Data for charts 09-24'!D209</f>
        <v>2011-12</v>
      </c>
      <c r="E34" s="1" t="str">
        <f>'Data for charts 09-24'!E209</f>
        <v>2012-13</v>
      </c>
      <c r="F34" s="1" t="str">
        <f>'Data for charts 09-24'!F209</f>
        <v>2013-14</v>
      </c>
      <c r="G34" s="1" t="str">
        <f>'Data for charts 09-24'!G209</f>
        <v>2014-15</v>
      </c>
      <c r="H34" s="1" t="str">
        <f>'Data for charts 09-24'!H209</f>
        <v>2015-16</v>
      </c>
      <c r="I34" s="1" t="str">
        <f>'Data for charts 09-24'!I209</f>
        <v>2016-17</v>
      </c>
      <c r="J34" s="1" t="str">
        <f>'Data for charts 09-24'!J209</f>
        <v>2017-18</v>
      </c>
      <c r="K34" s="1" t="str">
        <f>'Data for charts 09-24'!K209</f>
        <v>2018-19</v>
      </c>
      <c r="L34" s="1" t="str">
        <f>'Data for charts 09-24'!L209</f>
        <v>2019-20</v>
      </c>
      <c r="M34" s="1" t="str">
        <f>'Data for charts 09-24'!M209</f>
        <v>2020-21</v>
      </c>
      <c r="N34" s="1" t="str">
        <f>'Data for charts 09-24'!N209</f>
        <v>2021-22</v>
      </c>
      <c r="O34" s="1" t="str">
        <f>'Data for charts 09-24'!O209</f>
        <v>2022-23</v>
      </c>
      <c r="P34" s="1" t="str">
        <f>'Data for charts 09-24'!P209</f>
        <v>2023-24</v>
      </c>
    </row>
    <row r="35" spans="1:17">
      <c r="A35" s="1" t="str">
        <f>'Data for charts 09-24'!A211</f>
        <v>Initial position</v>
      </c>
      <c r="B35" s="1">
        <f>'Data for charts 09-24'!B211</f>
        <v>231.8</v>
      </c>
      <c r="C35" s="1">
        <f>'Data for charts 09-24'!C211</f>
        <v>234.3</v>
      </c>
      <c r="D35" s="1">
        <f>'Data for charts 09-24'!D211</f>
        <v>254.1</v>
      </c>
      <c r="E35" s="1">
        <f>'Data for charts 09-24'!E211</f>
        <v>269.10000000000002</v>
      </c>
      <c r="F35" s="1">
        <f>'Data for charts 09-24'!F211</f>
        <v>273.39999999999998</v>
      </c>
      <c r="G35" s="1">
        <f>'Data for charts 09-24'!G211</f>
        <v>327.9</v>
      </c>
      <c r="H35" s="1">
        <f>'Data for charts 09-24'!H211</f>
        <v>561.20000000000005</v>
      </c>
      <c r="I35" s="1">
        <f>'Data for charts 09-24'!I211</f>
        <v>572.6</v>
      </c>
      <c r="J35" s="1">
        <f>'Data for charts 09-24'!J211</f>
        <v>595.6</v>
      </c>
      <c r="K35" s="1">
        <f>'Data for charts 09-24'!K211</f>
        <v>616.6</v>
      </c>
      <c r="L35" s="1">
        <f>'Data for charts 09-24'!L211</f>
        <v>656.7</v>
      </c>
      <c r="M35" s="1">
        <f>'Data for charts 09-24'!M211</f>
        <v>675.9</v>
      </c>
      <c r="N35" s="1">
        <f>'Data for charts 09-24'!N211</f>
        <v>676.7</v>
      </c>
      <c r="O35" s="1">
        <f>'Data for charts 09-24'!O211</f>
        <v>734.4</v>
      </c>
      <c r="P35" s="1">
        <f>'Data for charts 09-24'!P211</f>
        <v>831</v>
      </c>
    </row>
    <row r="36" spans="1:17">
      <c r="A36" s="1" t="str">
        <f>'Data for charts 09-24'!A212</f>
        <v>Additions</v>
      </c>
      <c r="B36" s="1">
        <f>'Data for charts 09-24'!B212</f>
        <v>5.5</v>
      </c>
      <c r="C36" s="1">
        <f>'Data for charts 09-24'!C212</f>
        <v>4.7</v>
      </c>
      <c r="D36" s="1">
        <f>'Data for charts 09-24'!D212</f>
        <v>4.4000000000000004</v>
      </c>
      <c r="E36" s="1">
        <f>'Data for charts 09-24'!E212</f>
        <v>4</v>
      </c>
      <c r="F36" s="1">
        <f>'Data for charts 09-24'!F212</f>
        <v>3.7</v>
      </c>
      <c r="G36" s="1">
        <f>'Data for charts 09-24'!G212</f>
        <v>11.2</v>
      </c>
      <c r="H36" s="1">
        <f>'Data for charts 09-24'!H212</f>
        <v>5.0999999999999996</v>
      </c>
      <c r="I36" s="1">
        <f>'Data for charts 09-24'!I212</f>
        <v>4.9000000000000004</v>
      </c>
      <c r="J36" s="1">
        <f>'Data for charts 09-24'!J212</f>
        <v>5.4</v>
      </c>
      <c r="K36" s="1">
        <f>'Data for charts 09-24'!K212</f>
        <v>4.8</v>
      </c>
      <c r="L36" s="1">
        <f>'Data for charts 09-24'!L212</f>
        <v>13.2</v>
      </c>
      <c r="M36" s="1">
        <f>'Data for charts 09-24'!M212</f>
        <v>13.8</v>
      </c>
      <c r="N36" s="1">
        <f>'Data for charts 09-24'!N212</f>
        <v>12.9</v>
      </c>
      <c r="O36" s="1">
        <f>'Data for charts 09-24'!O212</f>
        <v>13.5</v>
      </c>
      <c r="P36" s="1">
        <f>'Data for charts 09-24'!P212</f>
        <v>14.1</v>
      </c>
      <c r="Q36" s="1">
        <f>SUM(B36:P36)</f>
        <v>121.19999999999999</v>
      </c>
    </row>
    <row r="37" spans="1:17">
      <c r="A37" s="1" t="str">
        <f>'Data for charts 09-24'!A213</f>
        <v>Revaluations</v>
      </c>
      <c r="B37" s="1">
        <f>'Data for charts 09-24'!B213</f>
        <v>-2.9</v>
      </c>
      <c r="C37" s="1">
        <f>'Data for charts 09-24'!C213</f>
        <v>13.8</v>
      </c>
      <c r="D37" s="1">
        <f>'Data for charts 09-24'!D213</f>
        <v>10.4</v>
      </c>
      <c r="E37" s="1">
        <f>'Data for charts 09-24'!E213</f>
        <v>3.3</v>
      </c>
      <c r="F37" s="1">
        <f>'Data for charts 09-24'!F213</f>
        <v>3</v>
      </c>
      <c r="G37" s="1">
        <f>'Data for charts 09-24'!G213</f>
        <v>0.9</v>
      </c>
      <c r="H37" s="1">
        <f>'Data for charts 09-24'!H213</f>
        <v>8.4</v>
      </c>
      <c r="I37" s="1">
        <f>'Data for charts 09-24'!I213</f>
        <v>21.7</v>
      </c>
      <c r="J37" s="1">
        <f>'Data for charts 09-24'!J213</f>
        <v>17.3</v>
      </c>
      <c r="K37" s="1">
        <f>'Data for charts 09-24'!K213</f>
        <v>36.1</v>
      </c>
      <c r="L37" s="1">
        <f>'Data for charts 09-24'!L213</f>
        <v>11.5</v>
      </c>
      <c r="M37" s="1">
        <f>'Data for charts 09-24'!M213</f>
        <v>9.9</v>
      </c>
      <c r="N37" s="1">
        <f>'Data for charts 09-24'!N213</f>
        <v>55.6</v>
      </c>
      <c r="O37" s="1">
        <f>'Data for charts 09-24'!O213</f>
        <v>86.2</v>
      </c>
      <c r="P37" s="1">
        <f>'Data for charts 09-24'!P213</f>
        <v>86.3</v>
      </c>
      <c r="Q37" s="1">
        <f t="shared" ref="Q37:Q39" si="0">SUM(B37:P37)</f>
        <v>361.5</v>
      </c>
    </row>
    <row r="38" spans="1:17">
      <c r="A38" s="1" t="str">
        <f>'Data for charts 09-24'!A214</f>
        <v>Depreciation</v>
      </c>
      <c r="B38" s="1">
        <f>'Data for charts 09-24'!B214</f>
        <v>-3.2</v>
      </c>
      <c r="C38" s="1">
        <f>'Data for charts 09-24'!C214</f>
        <v>-3</v>
      </c>
      <c r="D38" s="1">
        <f>'Data for charts 09-24'!D214</f>
        <v>-3.6</v>
      </c>
      <c r="E38" s="1">
        <f>'Data for charts 09-24'!E214</f>
        <v>-3.9</v>
      </c>
      <c r="F38" s="1">
        <f>'Data for charts 09-24'!F214</f>
        <v>-4</v>
      </c>
      <c r="G38" s="1">
        <f>'Data for charts 09-24'!G214</f>
        <v>-5.9</v>
      </c>
      <c r="H38" s="1">
        <f>'Data for charts 09-24'!H214</f>
        <v>-9.1</v>
      </c>
      <c r="I38" s="1">
        <f>'Data for charts 09-24'!I214</f>
        <v>-8.8000000000000007</v>
      </c>
      <c r="J38" s="1">
        <f>'Data for charts 09-24'!J214</f>
        <v>-10</v>
      </c>
      <c r="K38" s="1">
        <f>'Data for charts 09-24'!K214</f>
        <v>-10.5</v>
      </c>
      <c r="L38" s="1">
        <f>'Data for charts 09-24'!L214</f>
        <v>-10.7</v>
      </c>
      <c r="M38" s="1">
        <f>'Data for charts 09-24'!M214</f>
        <v>-10.3</v>
      </c>
      <c r="N38" s="1">
        <f>'Data for charts 09-24'!N214</f>
        <v>-10.7</v>
      </c>
      <c r="O38" s="1">
        <f>'Data for charts 09-24'!O214</f>
        <v>-11.7</v>
      </c>
      <c r="P38" s="1">
        <f>'Data for charts 09-24'!P214</f>
        <v>-13.5</v>
      </c>
      <c r="Q38" s="1">
        <f t="shared" si="0"/>
        <v>-118.9</v>
      </c>
    </row>
    <row r="39" spans="1:17">
      <c r="A39" s="1" t="str">
        <f>'Data for charts 09-24'!A215</f>
        <v>Other</v>
      </c>
      <c r="B39" s="1">
        <f>'Data for charts 09-24'!B215</f>
        <v>3.1</v>
      </c>
      <c r="C39" s="1">
        <f>'Data for charts 09-24'!C215</f>
        <v>4.3</v>
      </c>
      <c r="D39" s="1">
        <f>'Data for charts 09-24'!D215</f>
        <v>3.8</v>
      </c>
      <c r="E39" s="1">
        <f>'Data for charts 09-24'!E215</f>
        <v>0.9</v>
      </c>
      <c r="F39" s="1">
        <f>'Data for charts 09-24'!F215</f>
        <v>51.8</v>
      </c>
      <c r="G39" s="1">
        <f>'Data for charts 09-24'!G215</f>
        <v>227.1</v>
      </c>
      <c r="H39" s="1">
        <f>'Data for charts 09-24'!H215</f>
        <v>7</v>
      </c>
      <c r="I39" s="1">
        <f>'Data for charts 09-24'!I215</f>
        <v>5.2</v>
      </c>
      <c r="J39" s="1">
        <f>'Data for charts 09-24'!J215</f>
        <v>8.3000000000000007</v>
      </c>
      <c r="K39" s="1">
        <f>'Data for charts 09-24'!K215</f>
        <v>9.6999999999999993</v>
      </c>
      <c r="L39" s="1">
        <f>'Data for charts 09-24'!L215</f>
        <v>5.2</v>
      </c>
      <c r="M39" s="1">
        <f>'Data for charts 09-24'!M215</f>
        <v>-12.6</v>
      </c>
      <c r="N39" s="1">
        <f>'Data for charts 09-24'!N215</f>
        <v>-0.1</v>
      </c>
      <c r="O39" s="1">
        <f>'Data for charts 09-24'!O215</f>
        <v>8.6</v>
      </c>
      <c r="P39" s="1">
        <f>'Data for charts 09-24'!P215</f>
        <v>-2</v>
      </c>
      <c r="Q39" s="1">
        <f t="shared" si="0"/>
        <v>320.29999999999995</v>
      </c>
    </row>
    <row r="40" spans="1:17">
      <c r="A40" s="1" t="str">
        <f>'Data for charts 09-24'!A216</f>
        <v>Final position</v>
      </c>
      <c r="B40" s="1">
        <f>'Data for charts 09-24'!B216</f>
        <v>234.3</v>
      </c>
      <c r="C40" s="1">
        <f>'Data for charts 09-24'!C216</f>
        <v>254.10000000000002</v>
      </c>
      <c r="D40" s="1">
        <f>'Data for charts 09-24'!D216</f>
        <v>269.09999999999997</v>
      </c>
      <c r="E40" s="1">
        <f>'Data for charts 09-24'!E216</f>
        <v>273.40000000000003</v>
      </c>
      <c r="F40" s="1">
        <f>'Data for charts 09-24'!F216</f>
        <v>327.9</v>
      </c>
      <c r="G40" s="1">
        <f>'Data for charts 09-24'!G216</f>
        <v>561.19999999999993</v>
      </c>
      <c r="H40" s="1">
        <f>'Data for charts 09-24'!H216</f>
        <v>572.6</v>
      </c>
      <c r="I40" s="1">
        <f>'Data for charts 09-24'!I216</f>
        <v>595.60000000000014</v>
      </c>
      <c r="J40" s="1">
        <f>'Data for charts 09-24'!J216</f>
        <v>616.59999999999991</v>
      </c>
      <c r="K40" s="1">
        <f>'Data for charts 09-24'!K216</f>
        <v>656.7</v>
      </c>
      <c r="L40" s="1">
        <f>'Data for charts 09-24'!L216</f>
        <v>675.90000000000009</v>
      </c>
      <c r="M40" s="1">
        <f>'Data for charts 09-24'!M216</f>
        <v>676.69999999999993</v>
      </c>
      <c r="N40" s="1">
        <f>'Data for charts 09-24'!N216</f>
        <v>734.4</v>
      </c>
      <c r="O40" s="1">
        <f>'Data for charts 09-24'!O216</f>
        <v>831</v>
      </c>
      <c r="P40" s="1">
        <f>'Data for charts 09-24'!P216</f>
        <v>915.9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68B1D-2381-4279-8773-204CF03EBDAB}">
  <dimension ref="A1:AB69"/>
  <sheetViews>
    <sheetView workbookViewId="0">
      <selection activeCell="J34" sqref="J34"/>
    </sheetView>
  </sheetViews>
  <sheetFormatPr defaultRowHeight="12.5"/>
  <cols>
    <col min="1" max="16384" width="8.6640625" style="1"/>
  </cols>
  <sheetData>
    <row r="1" spans="1:1" ht="13">
      <c r="A1" s="26" t="s">
        <v>594</v>
      </c>
    </row>
    <row r="28" spans="1:28">
      <c r="B28" s="1" t="str">
        <f>'Data for charts 09-24'!B16</f>
        <v>2009-10</v>
      </c>
      <c r="C28" s="1" t="str">
        <f>'Data for charts 09-24'!B15</f>
        <v>2010-11</v>
      </c>
      <c r="D28" s="1" t="str">
        <f>'Data for charts 09-24'!B14</f>
        <v>2011-12</v>
      </c>
      <c r="E28" s="1" t="str">
        <f>'Data for charts 09-24'!B13</f>
        <v>2012-13</v>
      </c>
      <c r="F28" s="1" t="str">
        <f>'Data for charts 09-24'!B12</f>
        <v>2013-14</v>
      </c>
      <c r="G28" s="1" t="str">
        <f>'Data for charts 09-24'!B11</f>
        <v>2014-15</v>
      </c>
      <c r="H28" s="1" t="str">
        <f>'Data for charts 09-24'!B10</f>
        <v>2015-16</v>
      </c>
      <c r="I28" s="1" t="str">
        <f>'Data for charts 09-24'!B9</f>
        <v>2016-17</v>
      </c>
      <c r="J28" s="1" t="str">
        <f>'Data for charts 09-24'!B8</f>
        <v>2017-18</v>
      </c>
      <c r="K28" s="1" t="str">
        <f>'Data for charts 09-24'!B7</f>
        <v>2018-19</v>
      </c>
      <c r="L28" s="1" t="str">
        <f>'Data for charts 09-24'!B6</f>
        <v>2019-20</v>
      </c>
      <c r="M28" s="1" t="str">
        <f>'Data for charts 09-24'!B5</f>
        <v>2020-21</v>
      </c>
      <c r="N28" s="1" t="str">
        <f>'Data for charts 09-24'!B4</f>
        <v>2021-22</v>
      </c>
      <c r="O28" s="1" t="str">
        <f>'Data for charts 09-24'!B3</f>
        <v>2022-23</v>
      </c>
      <c r="P28" s="1" t="str">
        <f>'Data for charts 09-24'!B2</f>
        <v>2023-24</v>
      </c>
    </row>
    <row r="29" spans="1:28">
      <c r="A29" s="1" t="str">
        <f>'Data for charts 09-24'!A192</f>
        <v>Land and buildings</v>
      </c>
      <c r="B29" s="1">
        <f>'Data for charts 09-24'!B192</f>
        <v>357.2</v>
      </c>
      <c r="C29" s="1">
        <f>'Data for charts 09-24'!C192</f>
        <v>335.1</v>
      </c>
      <c r="D29" s="1">
        <f>'Data for charts 09-24'!D192</f>
        <v>347.8</v>
      </c>
      <c r="E29" s="1">
        <f>'Data for charts 09-24'!E192</f>
        <v>348</v>
      </c>
      <c r="F29" s="1">
        <f>'Data for charts 09-24'!F192</f>
        <v>357.8</v>
      </c>
      <c r="G29" s="1">
        <f>'Data for charts 09-24'!G192</f>
        <v>379.9</v>
      </c>
      <c r="H29" s="1">
        <f>'Data for charts 09-24'!H192</f>
        <v>405.9</v>
      </c>
      <c r="I29" s="1">
        <f>'Data for charts 09-24'!I192</f>
        <v>419.6</v>
      </c>
      <c r="J29" s="1">
        <f>'Data for charts 09-24'!J192</f>
        <v>431.2</v>
      </c>
      <c r="K29" s="1">
        <f>'Data for charts 09-24'!K192</f>
        <v>442.7</v>
      </c>
      <c r="L29" s="1">
        <f>'Data for charts 09-24'!L192</f>
        <v>459.2</v>
      </c>
      <c r="M29" s="1">
        <f>'Data for charts 09-24'!M192</f>
        <v>409.3</v>
      </c>
      <c r="N29" s="1">
        <f>'Data for charts 09-24'!N192</f>
        <v>411.1</v>
      </c>
      <c r="O29" s="1">
        <f>'Data for charts 09-24'!O192</f>
        <v>403.5</v>
      </c>
      <c r="P29" s="1">
        <f>'Data for charts 09-24'!P192</f>
        <v>403.5</v>
      </c>
      <c r="AB29" s="1">
        <f>'Data for charts 09-24'!B192</f>
        <v>357.2</v>
      </c>
    </row>
    <row r="42" spans="1:1">
      <c r="A42" s="212"/>
    </row>
    <row r="47" spans="1:1">
      <c r="A47" s="212"/>
    </row>
    <row r="63" spans="1:2" ht="13">
      <c r="A63" s="148"/>
      <c r="B63" s="2"/>
    </row>
    <row r="64" spans="1:2">
      <c r="A64" s="172"/>
      <c r="B64" s="173"/>
    </row>
    <row r="65" spans="1:2">
      <c r="A65" s="172"/>
      <c r="B65" s="173"/>
    </row>
    <row r="66" spans="1:2">
      <c r="A66" s="172"/>
      <c r="B66" s="173"/>
    </row>
    <row r="67" spans="1:2">
      <c r="A67" s="172"/>
      <c r="B67" s="174"/>
    </row>
    <row r="68" spans="1:2">
      <c r="A68" s="175"/>
      <c r="B68" s="174"/>
    </row>
    <row r="69" spans="1:2">
      <c r="A69" s="172"/>
      <c r="B69" s="17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0741D-9775-493E-B761-F3DB487E66ED}">
  <dimension ref="A1:Q40"/>
  <sheetViews>
    <sheetView zoomScale="91" zoomScaleNormal="55" workbookViewId="0">
      <selection activeCell="M38" sqref="M38"/>
    </sheetView>
  </sheetViews>
  <sheetFormatPr defaultColWidth="9" defaultRowHeight="12.5"/>
  <cols>
    <col min="1" max="1" width="14.83203125" style="2" bestFit="1" customWidth="1"/>
    <col min="2" max="16384" width="9" style="2"/>
  </cols>
  <sheetData>
    <row r="1" spans="1:1" ht="13">
      <c r="A1" s="244" t="s">
        <v>595</v>
      </c>
    </row>
    <row r="24" spans="1:2" ht="13">
      <c r="A24" s="148" t="s">
        <v>343</v>
      </c>
    </row>
    <row r="25" spans="1:2">
      <c r="A25" s="199" t="s">
        <v>344</v>
      </c>
      <c r="B25" s="173">
        <v>357.8</v>
      </c>
    </row>
    <row r="26" spans="1:2">
      <c r="A26" s="172" t="s">
        <v>142</v>
      </c>
      <c r="B26" s="173">
        <v>173.3</v>
      </c>
    </row>
    <row r="27" spans="1:2">
      <c r="A27" s="172" t="s">
        <v>143</v>
      </c>
      <c r="B27" s="173">
        <v>62.3</v>
      </c>
    </row>
    <row r="28" spans="1:2">
      <c r="A28" s="172" t="s">
        <v>144</v>
      </c>
      <c r="B28" s="174">
        <v>-158.1</v>
      </c>
    </row>
    <row r="29" spans="1:2">
      <c r="A29" s="175" t="s">
        <v>58</v>
      </c>
      <c r="B29" s="174">
        <v>-31.9</v>
      </c>
    </row>
    <row r="30" spans="1:2">
      <c r="A30" s="198" t="s">
        <v>345</v>
      </c>
      <c r="B30" s="174">
        <v>403.4</v>
      </c>
    </row>
    <row r="33" spans="1:17" s="1" customFormat="1">
      <c r="A33" s="224" t="str">
        <f>'Data for charts 09-24'!A218</f>
        <v>PPE [Land and buildings] (Note 12)</v>
      </c>
    </row>
    <row r="34" spans="1:17" s="1" customFormat="1">
      <c r="B34" s="1" t="str">
        <f>'Data for charts 09-24'!B219</f>
        <v>2009-10</v>
      </c>
      <c r="C34" s="1" t="str">
        <f>'Data for charts 09-24'!C219</f>
        <v>2010-11</v>
      </c>
      <c r="D34" s="1" t="str">
        <f>'Data for charts 09-24'!D219</f>
        <v>2011-12</v>
      </c>
      <c r="E34" s="1" t="str">
        <f>'Data for charts 09-24'!E219</f>
        <v>2012-13</v>
      </c>
      <c r="F34" s="1" t="str">
        <f>'Data for charts 09-24'!F219</f>
        <v>2013-14</v>
      </c>
      <c r="G34" s="1" t="str">
        <f>'Data for charts 09-24'!G219</f>
        <v>2014-15</v>
      </c>
      <c r="H34" s="1" t="str">
        <f>'Data for charts 09-24'!H219</f>
        <v>2015-16</v>
      </c>
      <c r="I34" s="1" t="str">
        <f>'Data for charts 09-24'!I219</f>
        <v>2016-17</v>
      </c>
      <c r="J34" s="1" t="str">
        <f>'Data for charts 09-24'!J219</f>
        <v>2017-18</v>
      </c>
      <c r="K34" s="1" t="str">
        <f>'Data for charts 09-24'!K219</f>
        <v>2018-19</v>
      </c>
      <c r="L34" s="1" t="str">
        <f>'Data for charts 09-24'!L219</f>
        <v>2019-20</v>
      </c>
      <c r="M34" s="1" t="str">
        <f>'Data for charts 09-24'!M219</f>
        <v>2020-21</v>
      </c>
      <c r="N34" s="1" t="str">
        <f>'Data for charts 09-24'!N219</f>
        <v>2021-22</v>
      </c>
      <c r="O34" s="1" t="str">
        <f>'Data for charts 09-24'!O219</f>
        <v>2022-23</v>
      </c>
      <c r="P34" s="1" t="str">
        <f>'Data for charts 09-24'!P219</f>
        <v>2023-24</v>
      </c>
    </row>
    <row r="35" spans="1:17" s="1" customFormat="1">
      <c r="A35" s="1" t="str">
        <f>'Data for charts 09-24'!A221</f>
        <v>Initial position</v>
      </c>
      <c r="B35" s="1">
        <f>'Data for charts 09-24'!B221</f>
        <v>357.8</v>
      </c>
      <c r="C35" s="1">
        <f>'Data for charts 09-24'!C221</f>
        <v>357.2</v>
      </c>
      <c r="D35" s="1">
        <f>'Data for charts 09-24'!D221</f>
        <v>335.1</v>
      </c>
      <c r="E35" s="1">
        <f>'Data for charts 09-24'!E221</f>
        <v>347.8</v>
      </c>
      <c r="F35" s="1">
        <f>'Data for charts 09-24'!F221</f>
        <v>348</v>
      </c>
      <c r="G35" s="1">
        <f>'Data for charts 09-24'!G221</f>
        <v>357.8</v>
      </c>
      <c r="H35" s="1">
        <f>'Data for charts 09-24'!H221</f>
        <v>379.9</v>
      </c>
      <c r="I35" s="1">
        <f>'Data for charts 09-24'!I221</f>
        <v>405.9</v>
      </c>
      <c r="J35" s="1">
        <f>'Data for charts 09-24'!J221</f>
        <v>419.6</v>
      </c>
      <c r="K35" s="1">
        <f>'Data for charts 09-24'!K221</f>
        <v>431.2</v>
      </c>
      <c r="L35" s="1">
        <f>'Data for charts 09-24'!L221</f>
        <v>442.7</v>
      </c>
      <c r="M35" s="1">
        <f>'Data for charts 09-24'!M221</f>
        <v>459.2</v>
      </c>
      <c r="N35" s="1">
        <f>'Data for charts 09-24'!N221</f>
        <v>409.3</v>
      </c>
      <c r="O35" s="1">
        <f>'Data for charts 09-24'!O221</f>
        <v>411.1</v>
      </c>
      <c r="P35" s="1">
        <f>'Data for charts 09-24'!P221</f>
        <v>403.5</v>
      </c>
    </row>
    <row r="36" spans="1:17" s="1" customFormat="1">
      <c r="A36" s="1" t="str">
        <f>'Data for charts 09-24'!A222</f>
        <v>Additions</v>
      </c>
      <c r="B36" s="1">
        <f>'Data for charts 09-24'!B222</f>
        <v>14.1</v>
      </c>
      <c r="C36" s="1">
        <f>'Data for charts 09-24'!C222</f>
        <v>15.3</v>
      </c>
      <c r="D36" s="1">
        <f>'Data for charts 09-24'!D222</f>
        <v>20.8</v>
      </c>
      <c r="E36" s="1">
        <f>'Data for charts 09-24'!E222</f>
        <v>12.3</v>
      </c>
      <c r="F36" s="1">
        <f>'Data for charts 09-24'!F222</f>
        <v>7.9</v>
      </c>
      <c r="G36" s="1">
        <f>'Data for charts 09-24'!G222</f>
        <v>11.5</v>
      </c>
      <c r="H36" s="1">
        <f>'Data for charts 09-24'!H222</f>
        <v>10.1</v>
      </c>
      <c r="I36" s="1">
        <f>'Data for charts 09-24'!I222</f>
        <v>10.3</v>
      </c>
      <c r="J36" s="1">
        <f>'Data for charts 09-24'!J222</f>
        <v>11.9</v>
      </c>
      <c r="K36" s="1">
        <f>'Data for charts 09-24'!K222</f>
        <v>10.9</v>
      </c>
      <c r="L36" s="1">
        <f>'Data for charts 09-24'!L222</f>
        <v>11.9</v>
      </c>
      <c r="M36" s="1">
        <f>'Data for charts 09-24'!M222</f>
        <v>8.9</v>
      </c>
      <c r="N36" s="1">
        <f>'Data for charts 09-24'!N222</f>
        <v>10.1</v>
      </c>
      <c r="O36" s="1">
        <f>'Data for charts 09-24'!O222</f>
        <v>8.1</v>
      </c>
      <c r="P36" s="1">
        <f>'Data for charts 09-24'!P222</f>
        <v>9.1999999999999993</v>
      </c>
      <c r="Q36" s="1">
        <f>SUM(B36:P36)</f>
        <v>173.29999999999998</v>
      </c>
    </row>
    <row r="37" spans="1:17" s="1" customFormat="1">
      <c r="A37" s="1" t="str">
        <f>'Data for charts 09-24'!A223</f>
        <v>Revaluations</v>
      </c>
      <c r="B37" s="1">
        <f>'Data for charts 09-24'!B223</f>
        <v>-12.4</v>
      </c>
      <c r="C37" s="1">
        <f>'Data for charts 09-24'!C223</f>
        <v>-30.1</v>
      </c>
      <c r="D37" s="1">
        <f>'Data for charts 09-24'!D223</f>
        <v>-0.9</v>
      </c>
      <c r="E37" s="1">
        <f>'Data for charts 09-24'!E223</f>
        <v>-5.9</v>
      </c>
      <c r="F37" s="1">
        <f>'Data for charts 09-24'!F223</f>
        <v>5.6</v>
      </c>
      <c r="G37" s="1">
        <f>'Data for charts 09-24'!G223</f>
        <v>16.600000000000001</v>
      </c>
      <c r="H37" s="1">
        <f>'Data for charts 09-24'!H223</f>
        <v>19.7</v>
      </c>
      <c r="I37" s="1">
        <f>'Data for charts 09-24'!I223</f>
        <v>10.8</v>
      </c>
      <c r="J37" s="1">
        <f>'Data for charts 09-24'!J223</f>
        <v>4.9000000000000004</v>
      </c>
      <c r="K37" s="1">
        <f>'Data for charts 09-24'!K223</f>
        <v>5.5</v>
      </c>
      <c r="L37" s="1">
        <f>'Data for charts 09-24'!L223</f>
        <v>8.9</v>
      </c>
      <c r="M37" s="1">
        <f>'Data for charts 09-24'!M223</f>
        <v>4.7</v>
      </c>
      <c r="N37" s="1">
        <f>'Data for charts 09-24'!N223</f>
        <v>16.7</v>
      </c>
      <c r="O37" s="1">
        <f>'Data for charts 09-24'!O223</f>
        <v>16.3</v>
      </c>
      <c r="P37" s="1">
        <f>'Data for charts 09-24'!P223</f>
        <v>1.9</v>
      </c>
      <c r="Q37" s="1">
        <f>SUM(B37:P37)</f>
        <v>62.300000000000004</v>
      </c>
    </row>
    <row r="38" spans="1:17" s="1" customFormat="1">
      <c r="A38" s="1" t="str">
        <f>'Data for charts 09-24'!A224</f>
        <v>Depreciation</v>
      </c>
      <c r="B38" s="1">
        <f>'Data for charts 09-24'!B224</f>
        <v>-10</v>
      </c>
      <c r="C38" s="1">
        <f>'Data for charts 09-24'!C224</f>
        <v>-9.1999999999999993</v>
      </c>
      <c r="D38" s="1">
        <f>'Data for charts 09-24'!D224</f>
        <v>-9.6</v>
      </c>
      <c r="E38" s="1">
        <f>'Data for charts 09-24'!E224</f>
        <v>-11.1</v>
      </c>
      <c r="F38" s="1">
        <f>'Data for charts 09-24'!F224</f>
        <v>-10.1</v>
      </c>
      <c r="G38" s="1">
        <f>'Data for charts 09-24'!G224</f>
        <v>-10.199999999999999</v>
      </c>
      <c r="H38" s="1">
        <f>'Data for charts 09-24'!H224</f>
        <v>-11</v>
      </c>
      <c r="I38" s="1">
        <f>'Data for charts 09-24'!I224</f>
        <v>-10.8</v>
      </c>
      <c r="J38" s="1">
        <f>'Data for charts 09-24'!J224</f>
        <v>-10.6</v>
      </c>
      <c r="K38" s="1">
        <f>'Data for charts 09-24'!K224</f>
        <v>-11.2</v>
      </c>
      <c r="L38" s="1">
        <f>'Data for charts 09-24'!L224</f>
        <v>-11.3</v>
      </c>
      <c r="M38" s="1">
        <f>'Data for charts 09-24'!M224</f>
        <v>-10.7</v>
      </c>
      <c r="N38" s="1">
        <f>'Data for charts 09-24'!N224</f>
        <v>-10.6</v>
      </c>
      <c r="O38" s="1">
        <f>'Data for charts 09-24'!O224</f>
        <v>-10.7</v>
      </c>
      <c r="P38" s="1">
        <f>'Data for charts 09-24'!P224</f>
        <v>-11</v>
      </c>
      <c r="Q38" s="1">
        <f>SUM(B38:P38)</f>
        <v>-158.1</v>
      </c>
    </row>
    <row r="39" spans="1:17" s="1" customFormat="1">
      <c r="A39" s="1" t="str">
        <f>'Data for charts 09-24'!A225</f>
        <v>Other</v>
      </c>
      <c r="B39" s="1">
        <f>'Data for charts 09-24'!B225</f>
        <v>7.7</v>
      </c>
      <c r="C39" s="1">
        <f>'Data for charts 09-24'!C225</f>
        <v>1.9</v>
      </c>
      <c r="D39" s="1">
        <f>'Data for charts 09-24'!D225</f>
        <v>2.4</v>
      </c>
      <c r="E39" s="1">
        <f>'Data for charts 09-24'!E225</f>
        <v>4.9000000000000004</v>
      </c>
      <c r="F39" s="1">
        <f>'Data for charts 09-24'!F225</f>
        <v>6.4</v>
      </c>
      <c r="G39" s="1">
        <f>'Data for charts 09-24'!G225</f>
        <v>4.2</v>
      </c>
      <c r="H39" s="1">
        <f>'Data for charts 09-24'!H225</f>
        <v>7.2</v>
      </c>
      <c r="I39" s="1">
        <f>'Data for charts 09-24'!I225</f>
        <v>3.4</v>
      </c>
      <c r="J39" s="1">
        <f>'Data for charts 09-24'!J225</f>
        <v>5.4</v>
      </c>
      <c r="K39" s="1">
        <f>'Data for charts 09-24'!K225</f>
        <v>6.3</v>
      </c>
      <c r="L39" s="1">
        <f>'Data for charts 09-24'!L225</f>
        <v>7</v>
      </c>
      <c r="M39" s="1">
        <f>'Data for charts 09-24'!M225</f>
        <v>-52.8</v>
      </c>
      <c r="N39" s="1">
        <f>'Data for charts 09-24'!N225</f>
        <v>-14.4</v>
      </c>
      <c r="O39" s="1">
        <f>'Data for charts 09-24'!O225</f>
        <v>-21.4</v>
      </c>
      <c r="P39" s="1">
        <f>'Data for charts 09-24'!P225</f>
        <v>-0.1</v>
      </c>
      <c r="Q39" s="1">
        <f>SUM(B39:P39)</f>
        <v>-31.900000000000006</v>
      </c>
    </row>
    <row r="40" spans="1:17" s="1" customFormat="1">
      <c r="A40" s="1" t="str">
        <f>'Data for charts 09-24'!A226</f>
        <v>Final position</v>
      </c>
      <c r="B40" s="1">
        <f>'Data for charts 09-24'!B226</f>
        <v>357.20000000000005</v>
      </c>
      <c r="C40" s="1">
        <f>'Data for charts 09-24'!C226</f>
        <v>335.09999999999997</v>
      </c>
      <c r="D40" s="1">
        <f>'Data for charts 09-24'!D226</f>
        <v>347.8</v>
      </c>
      <c r="E40" s="1">
        <f>'Data for charts 09-24'!E226</f>
        <v>348</v>
      </c>
      <c r="F40" s="1">
        <f>'Data for charts 09-24'!F226</f>
        <v>357.79999999999995</v>
      </c>
      <c r="G40" s="1">
        <f>'Data for charts 09-24'!G226</f>
        <v>379.90000000000003</v>
      </c>
      <c r="H40" s="1">
        <f>'Data for charts 09-24'!H226</f>
        <v>405.9</v>
      </c>
      <c r="I40" s="1">
        <f>'Data for charts 09-24'!I226</f>
        <v>419.59999999999997</v>
      </c>
      <c r="J40" s="1">
        <f>'Data for charts 09-24'!J226</f>
        <v>431.19999999999993</v>
      </c>
      <c r="K40" s="1">
        <f>'Data for charts 09-24'!K226</f>
        <v>442.7</v>
      </c>
      <c r="L40" s="1">
        <f>'Data for charts 09-24'!L226</f>
        <v>459.19999999999993</v>
      </c>
      <c r="M40" s="1">
        <f>'Data for charts 09-24'!M226</f>
        <v>409.29999999999995</v>
      </c>
      <c r="N40" s="1">
        <f>'Data for charts 09-24'!N226</f>
        <v>411.1</v>
      </c>
      <c r="O40" s="1">
        <f>'Data for charts 09-24'!O226</f>
        <v>403.40000000000009</v>
      </c>
      <c r="P40" s="1">
        <f>'Data for charts 09-24'!P226</f>
        <v>403.49999999999994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Q80"/>
  <sheetViews>
    <sheetView zoomScaleNormal="100" workbookViewId="0">
      <selection activeCell="L25" sqref="L25"/>
    </sheetView>
  </sheetViews>
  <sheetFormatPr defaultColWidth="9" defaultRowHeight="12.5"/>
  <cols>
    <col min="1" max="1" width="15.5" style="2" customWidth="1"/>
    <col min="2" max="16384" width="9" style="2"/>
  </cols>
  <sheetData>
    <row r="1" spans="1:1" ht="13">
      <c r="A1" s="147" t="s">
        <v>319</v>
      </c>
    </row>
    <row r="24" spans="1:10" ht="13">
      <c r="A24" s="148" t="s">
        <v>342</v>
      </c>
    </row>
    <row r="25" spans="1:10" ht="37.5">
      <c r="A25" s="149"/>
      <c r="B25" s="17" t="s">
        <v>156</v>
      </c>
      <c r="C25" s="17" t="s">
        <v>157</v>
      </c>
      <c r="D25" s="17" t="s">
        <v>158</v>
      </c>
      <c r="E25" s="17" t="s">
        <v>411</v>
      </c>
      <c r="F25" s="17" t="s">
        <v>163</v>
      </c>
      <c r="G25" s="17" t="s">
        <v>412</v>
      </c>
      <c r="H25" s="179" t="s">
        <v>80</v>
      </c>
      <c r="J25" s="2" t="s">
        <v>410</v>
      </c>
    </row>
    <row r="26" spans="1:10">
      <c r="A26" s="149" t="str">
        <f>'Data for charts 09-24'!B16</f>
        <v>2009-10</v>
      </c>
      <c r="B26" s="17">
        <f>'Data for charts 09-24'!$B$240+'Data for charts 09-24'!$B$249</f>
        <v>144.9</v>
      </c>
      <c r="C26" s="17">
        <f>'Data for charts 09-24'!$B$241+'Data for charts 09-24'!$B$250</f>
        <v>27.6</v>
      </c>
      <c r="D26" s="17">
        <f>'Data for charts 09-24'!$B$242+'Data for charts 09-24'!$B$251</f>
        <v>15</v>
      </c>
      <c r="E26" s="17">
        <f>'Data for charts 09-24'!$B$243+'Data for charts 09-24'!$B$252</f>
        <v>20</v>
      </c>
      <c r="F26" s="17">
        <f>'Data for charts 09-24'!B$248</f>
        <v>23.9</v>
      </c>
      <c r="G26" s="17">
        <f>'Data for charts 09-24'!$B$244+'Data for charts 09-24'!$B$253</f>
        <v>15.8</v>
      </c>
      <c r="H26" s="177">
        <f t="shared" ref="H26:H39" si="0">SUM(B26:G26)</f>
        <v>247.20000000000002</v>
      </c>
    </row>
    <row r="27" spans="1:10">
      <c r="A27" s="149" t="str">
        <f>'Data for charts 09-24'!B15</f>
        <v>2010-11</v>
      </c>
      <c r="B27" s="17">
        <f>'Data for charts 09-24'!$C$240+'Data for charts 09-24'!$C$249</f>
        <v>110</v>
      </c>
      <c r="C27" s="17">
        <f>'Data for charts 09-24'!$C$241+'Data for charts 09-24'!$C$250</f>
        <v>29.6</v>
      </c>
      <c r="D27" s="17">
        <f>'Data for charts 09-24'!$C$242+'Data for charts 09-24'!$C$251</f>
        <v>16.600000000000001</v>
      </c>
      <c r="E27" s="17">
        <f>'Data for charts 09-24'!$C$243+'Data for charts 09-24'!$C$252</f>
        <v>19.799999999999997</v>
      </c>
      <c r="F27" s="17">
        <f>'Data for charts 09-24'!C$248</f>
        <v>29.2</v>
      </c>
      <c r="G27" s="17">
        <f>'Data for charts 09-24'!$C$244+'Data for charts 09-24'!$C$253</f>
        <v>17.899999999999999</v>
      </c>
      <c r="H27" s="177">
        <f t="shared" si="0"/>
        <v>223.1</v>
      </c>
    </row>
    <row r="28" spans="1:10">
      <c r="A28" s="149" t="str">
        <f>'Data for charts 09-24'!B14</f>
        <v>2011-12</v>
      </c>
      <c r="B28" s="17">
        <f>'Data for charts 09-24'!$D$240+'Data for charts 09-24'!$D$249</f>
        <v>121.7</v>
      </c>
      <c r="C28" s="17">
        <f>'Data for charts 09-24'!$D$241+'Data for charts 09-24'!$D$250</f>
        <v>33.1</v>
      </c>
      <c r="D28" s="17">
        <f>'Data for charts 09-24'!$D$242+'Data for charts 09-24'!$D$251</f>
        <v>17.5</v>
      </c>
      <c r="E28" s="17">
        <f>'Data for charts 09-24'!$D$243+'Data for charts 09-24'!$D$252</f>
        <v>19.700000000000003</v>
      </c>
      <c r="F28" s="17">
        <f>'Data for charts 09-24'!D$248</f>
        <v>38.200000000000003</v>
      </c>
      <c r="G28" s="17">
        <f>'Data for charts 09-24'!$D$244+'Data for charts 09-24'!$D$253</f>
        <v>20.3</v>
      </c>
      <c r="H28" s="177">
        <f t="shared" si="0"/>
        <v>250.5</v>
      </c>
    </row>
    <row r="29" spans="1:10">
      <c r="A29" s="149" t="str">
        <f>'Data for charts 09-24'!B13</f>
        <v>2012-13</v>
      </c>
      <c r="B29" s="17">
        <f>'Data for charts 09-24'!$E$240+'Data for charts 09-24'!$E$249</f>
        <v>135.69999999999999</v>
      </c>
      <c r="C29" s="17">
        <f>'Data for charts 09-24'!$E$241+'Data for charts 09-24'!$E$250</f>
        <v>36</v>
      </c>
      <c r="D29" s="17">
        <f>'Data for charts 09-24'!$E$242+'Data for charts 09-24'!$E$251</f>
        <v>65.099999999999994</v>
      </c>
      <c r="E29" s="17">
        <f>'Data for charts 09-24'!$E$243+'Data for charts 09-24'!$E$252</f>
        <v>20.100000000000001</v>
      </c>
      <c r="F29" s="17">
        <f>'Data for charts 09-24'!E$248</f>
        <v>40.299999999999997</v>
      </c>
      <c r="G29" s="17">
        <f>'Data for charts 09-24'!$E$244+'Data for charts 09-24'!$E$253</f>
        <v>19</v>
      </c>
      <c r="H29" s="177">
        <f t="shared" si="0"/>
        <v>316.2</v>
      </c>
    </row>
    <row r="30" spans="1:10">
      <c r="A30" s="149" t="str">
        <f>'Data for charts 09-24'!B12</f>
        <v>2013-14</v>
      </c>
      <c r="B30" s="17">
        <f>'Data for charts 09-24'!$F$240+'Data for charts 09-24'!$F$249</f>
        <v>142.1</v>
      </c>
      <c r="C30" s="17">
        <f>'Data for charts 09-24'!$F$241+'Data for charts 09-24'!$F$250</f>
        <v>39</v>
      </c>
      <c r="D30" s="17">
        <f>'Data for charts 09-24'!$F$242+'Data for charts 09-24'!$F$251</f>
        <v>71.099999999999994</v>
      </c>
      <c r="E30" s="17">
        <f>'Data for charts 09-24'!$F$243+'Data for charts 09-24'!$F$252</f>
        <v>19</v>
      </c>
      <c r="F30" s="17">
        <f>'Data for charts 09-24'!F$248</f>
        <v>64.8</v>
      </c>
      <c r="G30" s="17">
        <f>'Data for charts 09-24'!$F$244+'Data for charts 09-24'!$F$253</f>
        <v>23.1</v>
      </c>
      <c r="H30" s="177">
        <f t="shared" si="0"/>
        <v>359.1</v>
      </c>
    </row>
    <row r="31" spans="1:10">
      <c r="A31" s="149" t="str">
        <f>'Data for charts 09-24'!B11</f>
        <v>2014-15</v>
      </c>
      <c r="B31" s="17">
        <f>'Data for charts 09-24'!$G$240+'Data for charts 09-24'!$G$249</f>
        <v>121.1</v>
      </c>
      <c r="C31" s="17">
        <f>'Data for charts 09-24'!$G$241+'Data for charts 09-24'!$G$250</f>
        <v>48.5</v>
      </c>
      <c r="D31" s="17">
        <f>'Data for charts 09-24'!$G$242+'Data for charts 09-24'!$G$251</f>
        <v>74.3</v>
      </c>
      <c r="E31" s="17">
        <f>'Data for charts 09-24'!$G$243+'Data for charts 09-24'!$G$252</f>
        <v>18.899999999999999</v>
      </c>
      <c r="F31" s="17">
        <f>'Data for charts 09-24'!G$248</f>
        <v>66.099999999999994</v>
      </c>
      <c r="G31" s="17">
        <f>'Data for charts 09-24'!$G$244+'Data for charts 09-24'!$G$253</f>
        <v>36.6</v>
      </c>
      <c r="H31" s="177">
        <f t="shared" si="0"/>
        <v>365.5</v>
      </c>
    </row>
    <row r="32" spans="1:10">
      <c r="A32" s="149" t="str">
        <f>'Data for charts 09-24'!B10</f>
        <v>2015-16</v>
      </c>
      <c r="B32" s="17">
        <f>'Data for charts 09-24'!$H$240+'Data for charts 09-24'!$H$249</f>
        <v>109.8</v>
      </c>
      <c r="C32" s="17">
        <f>'Data for charts 09-24'!$H$241+'Data for charts 09-24'!$H$250</f>
        <v>64.400000000000006</v>
      </c>
      <c r="D32" s="17">
        <f>'Data for charts 09-24'!$H$242+'Data for charts 09-24'!$H$251</f>
        <v>54.4</v>
      </c>
      <c r="E32" s="17">
        <f>'Data for charts 09-24'!$H$243+'Data for charts 09-24'!$H$252</f>
        <v>26.9</v>
      </c>
      <c r="F32" s="17">
        <f>'Data for charts 09-24'!H$248</f>
        <v>83.2</v>
      </c>
      <c r="G32" s="17">
        <f>'Data for charts 09-24'!$H$244+'Data for charts 09-24'!$H$253</f>
        <v>34.299999999999997</v>
      </c>
      <c r="H32" s="177">
        <f t="shared" si="0"/>
        <v>373</v>
      </c>
    </row>
    <row r="33" spans="1:17">
      <c r="A33" s="149" t="str">
        <f>'Data for charts 09-24'!B9</f>
        <v>2016-17</v>
      </c>
      <c r="B33" s="17">
        <f>'Data for charts 09-24'!$I$240+'Data for charts 09-24'!$I$249</f>
        <v>152</v>
      </c>
      <c r="C33" s="17">
        <f>'Data for charts 09-24'!$I$241+'Data for charts 09-24'!$I$250</f>
        <v>69.400000000000006</v>
      </c>
      <c r="D33" s="17">
        <f>'Data for charts 09-24'!$I$242+'Data for charts 09-24'!$I$251</f>
        <v>53.800000000000004</v>
      </c>
      <c r="E33" s="17">
        <f>'Data for charts 09-24'!$I$243+'Data for charts 09-24'!$I$252</f>
        <v>31</v>
      </c>
      <c r="F33" s="17">
        <f>'Data for charts 09-24'!I$248</f>
        <v>104.2</v>
      </c>
      <c r="G33" s="17">
        <f>'Data for charts 09-24'!$I$244+'Data for charts 09-24'!$I$253</f>
        <v>48.5</v>
      </c>
      <c r="H33" s="177">
        <f>SUM(B33:G33)</f>
        <v>458.9</v>
      </c>
      <c r="I33" s="153"/>
      <c r="J33" s="152">
        <f>H33-'Data for charts 09-24'!I255</f>
        <v>0</v>
      </c>
    </row>
    <row r="34" spans="1:17">
      <c r="A34" s="149" t="str">
        <f>'Data for charts 09-24'!B8</f>
        <v>2017-18</v>
      </c>
      <c r="B34" s="17">
        <f>'Data for charts 09-24'!$J$240+'Data for charts 09-24'!$J$249</f>
        <v>206.39999999999998</v>
      </c>
      <c r="C34" s="17">
        <f>'Data for charts 09-24'!$J$241+'Data for charts 09-24'!$J$250</f>
        <v>70</v>
      </c>
      <c r="D34" s="17">
        <f>'Data for charts 09-24'!$J$242+'Data for charts 09-24'!$J$251</f>
        <v>54.8</v>
      </c>
      <c r="E34" s="17">
        <f>'Data for charts 09-24'!$J$243+'Data for charts 09-24'!$J$252</f>
        <v>30.700000000000003</v>
      </c>
      <c r="F34" s="17">
        <f>'Data for charts 09-24'!J$248</f>
        <v>101.9</v>
      </c>
      <c r="G34" s="17">
        <f>'Data for charts 09-24'!$J$244+'Data for charts 09-24'!$J$253</f>
        <v>43.8</v>
      </c>
      <c r="H34" s="177">
        <f t="shared" si="0"/>
        <v>507.59999999999997</v>
      </c>
      <c r="I34" s="153"/>
      <c r="J34" s="152">
        <f>H34-'Data for charts 09-24'!J255</f>
        <v>0</v>
      </c>
    </row>
    <row r="35" spans="1:17">
      <c r="A35" s="149" t="str">
        <f>'Data for charts 09-24'!B7</f>
        <v>2018-19</v>
      </c>
      <c r="B35" s="218">
        <f>'Data for charts 09-24'!$K$240+'Data for charts 09-24'!$K$249</f>
        <v>205.40320500000001</v>
      </c>
      <c r="C35" s="218">
        <f>'Data for charts 09-24'!$K$241+'Data for charts 09-24'!$K$250</f>
        <v>76.899999999999991</v>
      </c>
      <c r="D35" s="218">
        <f>'Data for charts 09-24'!$K$242+'Data for charts 09-24'!$K$251</f>
        <v>56.230196999999997</v>
      </c>
      <c r="E35" s="218">
        <f>'Data for charts 09-24'!$K$243+'Data for charts 09-24'!$K$252</f>
        <v>33.150801000000001</v>
      </c>
      <c r="F35" s="218">
        <f>'Data for charts 09-24'!K$248</f>
        <v>105.019701</v>
      </c>
      <c r="G35" s="218">
        <f>'Data for charts 09-24'!$K$244+'Data for charts 09-24'!$K$253</f>
        <v>38.121814999999998</v>
      </c>
      <c r="H35" s="177">
        <f t="shared" si="0"/>
        <v>514.82571899999994</v>
      </c>
      <c r="J35" s="152">
        <f>H35-'Data for charts 09-24'!K255</f>
        <v>0</v>
      </c>
    </row>
    <row r="36" spans="1:17">
      <c r="A36" s="149" t="str">
        <f>'Data for charts 09-24'!B6</f>
        <v>2019-20</v>
      </c>
      <c r="B36" s="17">
        <f>'Data for charts 09-24'!$L$240+'Data for charts 09-24'!$L$249</f>
        <v>197.8</v>
      </c>
      <c r="C36" s="17">
        <f>'Data for charts 09-24'!$L$241+'Data for charts 09-24'!$L$250</f>
        <v>79.099999999999994</v>
      </c>
      <c r="D36" s="17">
        <f>'Data for charts 09-24'!$L$242+'Data for charts 09-24'!$L$251</f>
        <v>37.1</v>
      </c>
      <c r="E36" s="17">
        <f>'Data for charts 09-24'!$L$243+'Data for charts 09-24'!$L$252</f>
        <v>35.200000000000003</v>
      </c>
      <c r="F36" s="17">
        <f>'Data for charts 09-24'!L$248</f>
        <v>118.1</v>
      </c>
      <c r="G36" s="17">
        <f>'Data for charts 09-24'!$L$244+'Data for charts 09-24'!$L$253</f>
        <v>48.9</v>
      </c>
      <c r="H36" s="177">
        <f t="shared" si="0"/>
        <v>516.19999999999993</v>
      </c>
    </row>
    <row r="37" spans="1:17">
      <c r="A37" s="149" t="str">
        <f>'Data for charts 09-24'!B5</f>
        <v>2020-21</v>
      </c>
      <c r="B37" s="17">
        <f>'Data for charts 09-24'!$M$240+'Data for charts 09-24'!$M$249</f>
        <v>253</v>
      </c>
      <c r="C37" s="17">
        <f>'Data for charts 09-24'!$M$241+'Data for charts 09-24'!$M$250</f>
        <v>87.8</v>
      </c>
      <c r="D37" s="17">
        <f>'Data for charts 09-24'!$M$242+'Data for charts 09-24'!$M$251</f>
        <v>44.8</v>
      </c>
      <c r="E37" s="17">
        <f>'Data for charts 09-24'!$M$243+'Data for charts 09-24'!$M$252</f>
        <v>33.200000000000003</v>
      </c>
      <c r="F37" s="17">
        <f>'Data for charts 09-24'!M$248</f>
        <v>129</v>
      </c>
      <c r="G37" s="17">
        <f>'Data for charts 09-24'!$M$244+'Data for charts 09-24'!$M$253</f>
        <v>57.9</v>
      </c>
      <c r="H37" s="177">
        <f t="shared" si="0"/>
        <v>605.69999999999993</v>
      </c>
    </row>
    <row r="38" spans="1:17">
      <c r="A38" s="149" t="str">
        <f>'Data for charts 09-24'!B4</f>
        <v>2021-22</v>
      </c>
      <c r="B38" s="17">
        <f>'Data for charts 09-24'!$N$240+'Data for charts 09-24'!$N$249</f>
        <v>342.20000000000005</v>
      </c>
      <c r="C38" s="17">
        <f>'Data for charts 09-24'!$N$241+'Data for charts 09-24'!$N$250</f>
        <v>111.60000000000001</v>
      </c>
      <c r="D38" s="17">
        <f>'Data for charts 09-24'!$N$242+'Data for charts 09-24'!$N$251</f>
        <v>46.4</v>
      </c>
      <c r="E38" s="17">
        <f>'Data for charts 09-24'!$N$243+'Data for charts 09-24'!$N$252</f>
        <v>55</v>
      </c>
      <c r="F38" s="17">
        <f>'Data for charts 09-24'!N$248</f>
        <v>112.9</v>
      </c>
      <c r="G38" s="17">
        <f>'Data for charts 09-24'!$N$244+'Data for charts 09-24'!$N$253</f>
        <v>56.7</v>
      </c>
      <c r="H38" s="177">
        <f t="shared" si="0"/>
        <v>724.80000000000007</v>
      </c>
    </row>
    <row r="39" spans="1:17">
      <c r="A39" s="149" t="str">
        <f>'Data for charts 09-24'!B3</f>
        <v>2022-23</v>
      </c>
      <c r="B39" s="17">
        <f>'Data for charts 09-24'!$O$240+'Data for charts 09-24'!$O$249</f>
        <v>299.89999999999998</v>
      </c>
      <c r="C39" s="17">
        <f>'Data for charts 09-24'!$O$241+'Data for charts 09-24'!$O$250</f>
        <v>154.5</v>
      </c>
      <c r="D39" s="17">
        <f>'Data for charts 09-24'!$O$242+'Data for charts 09-24'!$O$251</f>
        <v>47.4</v>
      </c>
      <c r="E39" s="17">
        <f>'Data for charts 09-24'!$O$243+'Data for charts 09-24'!$O$252</f>
        <v>58.3</v>
      </c>
      <c r="F39" s="17">
        <f>'Data for charts 09-24'!O$248</f>
        <v>97.6</v>
      </c>
      <c r="G39" s="17">
        <f>'Data for charts 09-24'!$O$244+'Data for charts 09-24'!$O$253</f>
        <v>63.4</v>
      </c>
      <c r="H39" s="177">
        <f t="shared" si="0"/>
        <v>721.09999999999991</v>
      </c>
    </row>
    <row r="40" spans="1:17">
      <c r="B40" s="189">
        <f t="shared" ref="B40:F40" si="1">B34-B33</f>
        <v>54.399999999999977</v>
      </c>
      <c r="C40" s="189">
        <f t="shared" si="1"/>
        <v>0.59999999999999432</v>
      </c>
      <c r="D40" s="189">
        <f t="shared" si="1"/>
        <v>0.99999999999999289</v>
      </c>
      <c r="E40" s="189">
        <f t="shared" si="1"/>
        <v>-0.29999999999999716</v>
      </c>
      <c r="F40" s="189">
        <f t="shared" si="1"/>
        <v>-2.2999999999999972</v>
      </c>
      <c r="G40" s="189">
        <f>G34-G33</f>
        <v>-4.7000000000000028</v>
      </c>
      <c r="H40" s="176"/>
    </row>
    <row r="41" spans="1:17">
      <c r="B41" s="191">
        <f>B40/B33</f>
        <v>0.3578947368421051</v>
      </c>
      <c r="C41" s="191">
        <f t="shared" ref="C41:G41" si="2">C40/C33</f>
        <v>8.6455331412102921E-3</v>
      </c>
      <c r="D41" s="191">
        <f t="shared" si="2"/>
        <v>1.8587360594795405E-2</v>
      </c>
      <c r="E41" s="191">
        <f t="shared" si="2"/>
        <v>-9.6774193548386182E-3</v>
      </c>
      <c r="F41" s="191">
        <f t="shared" si="2"/>
        <v>-2.2072936660268685E-2</v>
      </c>
      <c r="G41" s="191">
        <f t="shared" si="2"/>
        <v>-9.6907216494845419E-2</v>
      </c>
      <c r="H41" s="176"/>
    </row>
    <row r="45" spans="1:17" ht="13">
      <c r="A45" s="165" t="s">
        <v>352</v>
      </c>
    </row>
    <row r="47" spans="1:17" ht="13.5" thickBot="1">
      <c r="A47" s="165" t="s">
        <v>413</v>
      </c>
    </row>
    <row r="48" spans="1:17" ht="13">
      <c r="B48" s="33" t="s">
        <v>15</v>
      </c>
      <c r="C48" s="33" t="s">
        <v>14</v>
      </c>
      <c r="D48" s="33" t="s">
        <v>13</v>
      </c>
      <c r="E48" s="33" t="s">
        <v>12</v>
      </c>
      <c r="F48" s="33" t="s">
        <v>11</v>
      </c>
      <c r="G48" s="33" t="s">
        <v>10</v>
      </c>
      <c r="H48" s="33" t="s">
        <v>9</v>
      </c>
      <c r="I48" s="33" t="s">
        <v>8</v>
      </c>
      <c r="J48" s="33" t="s">
        <v>7</v>
      </c>
      <c r="K48" s="33" t="s">
        <v>6</v>
      </c>
      <c r="L48" s="33" t="s">
        <v>5</v>
      </c>
      <c r="M48" s="33" t="s">
        <v>4</v>
      </c>
      <c r="N48" s="33" t="s">
        <v>3</v>
      </c>
      <c r="O48" s="33" t="s">
        <v>2</v>
      </c>
      <c r="P48" s="33" t="s">
        <v>1</v>
      </c>
      <c r="Q48" s="2" t="s">
        <v>414</v>
      </c>
    </row>
    <row r="49" spans="1:17">
      <c r="A49" s="2" t="s">
        <v>156</v>
      </c>
      <c r="B49" s="192">
        <f t="shared" ref="B49:P55" si="3">SUMIFS(B$65:B$80,$A$65:$A$80,$A49)</f>
        <v>144.9</v>
      </c>
      <c r="C49" s="192">
        <f t="shared" si="3"/>
        <v>110</v>
      </c>
      <c r="D49" s="192">
        <f t="shared" si="3"/>
        <v>121.7</v>
      </c>
      <c r="E49" s="192">
        <f t="shared" si="3"/>
        <v>135.69999999999999</v>
      </c>
      <c r="F49" s="192">
        <f t="shared" si="3"/>
        <v>142.1</v>
      </c>
      <c r="G49" s="192">
        <f t="shared" si="3"/>
        <v>121.1</v>
      </c>
      <c r="H49" s="192">
        <f t="shared" si="3"/>
        <v>109.8</v>
      </c>
      <c r="I49" s="192">
        <f t="shared" si="3"/>
        <v>152</v>
      </c>
      <c r="J49" s="192">
        <f t="shared" si="3"/>
        <v>206.39999999999998</v>
      </c>
      <c r="K49" s="192">
        <f t="shared" si="3"/>
        <v>205.40320500000001</v>
      </c>
      <c r="L49" s="192">
        <f t="shared" si="3"/>
        <v>197.8</v>
      </c>
      <c r="M49" s="192">
        <f t="shared" si="3"/>
        <v>253</v>
      </c>
      <c r="N49" s="192">
        <f t="shared" si="3"/>
        <v>342.20000000000005</v>
      </c>
      <c r="O49" s="192">
        <f t="shared" si="3"/>
        <v>299.89999999999998</v>
      </c>
      <c r="P49" s="192">
        <f t="shared" si="3"/>
        <v>274.10000000000002</v>
      </c>
      <c r="Q49" s="192">
        <f t="shared" ref="Q49:Q55" si="4">SUM(B49:P49)</f>
        <v>2816.1032049999999</v>
      </c>
    </row>
    <row r="50" spans="1:17">
      <c r="A50" s="2" t="s">
        <v>163</v>
      </c>
      <c r="B50" s="192">
        <f t="shared" si="3"/>
        <v>23.9</v>
      </c>
      <c r="C50" s="192">
        <f t="shared" si="3"/>
        <v>29.2</v>
      </c>
      <c r="D50" s="192">
        <f t="shared" si="3"/>
        <v>38.200000000000003</v>
      </c>
      <c r="E50" s="192">
        <f t="shared" si="3"/>
        <v>40.299999999999997</v>
      </c>
      <c r="F50" s="192">
        <f t="shared" si="3"/>
        <v>64.8</v>
      </c>
      <c r="G50" s="192">
        <f t="shared" si="3"/>
        <v>66.099999999999994</v>
      </c>
      <c r="H50" s="192">
        <f t="shared" si="3"/>
        <v>83.2</v>
      </c>
      <c r="I50" s="192">
        <f t="shared" si="3"/>
        <v>104.2</v>
      </c>
      <c r="J50" s="192">
        <f t="shared" si="3"/>
        <v>101.9</v>
      </c>
      <c r="K50" s="192">
        <f t="shared" si="3"/>
        <v>105.019701</v>
      </c>
      <c r="L50" s="192">
        <f t="shared" si="3"/>
        <v>118.1</v>
      </c>
      <c r="M50" s="192">
        <f t="shared" si="3"/>
        <v>129</v>
      </c>
      <c r="N50" s="192">
        <f t="shared" si="3"/>
        <v>112.9</v>
      </c>
      <c r="O50" s="192">
        <f t="shared" si="3"/>
        <v>97.6</v>
      </c>
      <c r="P50" s="192">
        <f t="shared" si="3"/>
        <v>96.5</v>
      </c>
      <c r="Q50" s="192">
        <f t="shared" si="4"/>
        <v>1210.9197009999998</v>
      </c>
    </row>
    <row r="51" spans="1:17">
      <c r="A51" s="2" t="s">
        <v>157</v>
      </c>
      <c r="B51" s="192">
        <f t="shared" si="3"/>
        <v>27.6</v>
      </c>
      <c r="C51" s="192">
        <f t="shared" si="3"/>
        <v>29.6</v>
      </c>
      <c r="D51" s="192">
        <f t="shared" si="3"/>
        <v>33.1</v>
      </c>
      <c r="E51" s="192">
        <f t="shared" si="3"/>
        <v>36</v>
      </c>
      <c r="F51" s="192">
        <f t="shared" si="3"/>
        <v>39</v>
      </c>
      <c r="G51" s="192">
        <f t="shared" si="3"/>
        <v>48.5</v>
      </c>
      <c r="H51" s="192">
        <f t="shared" si="3"/>
        <v>64.400000000000006</v>
      </c>
      <c r="I51" s="192">
        <f t="shared" si="3"/>
        <v>69.400000000000006</v>
      </c>
      <c r="J51" s="192">
        <f t="shared" si="3"/>
        <v>70</v>
      </c>
      <c r="K51" s="192">
        <f t="shared" si="3"/>
        <v>76.968166999999994</v>
      </c>
      <c r="L51" s="192">
        <f t="shared" si="3"/>
        <v>79.099999999999994</v>
      </c>
      <c r="M51" s="192">
        <f t="shared" si="3"/>
        <v>87.8</v>
      </c>
      <c r="N51" s="192">
        <f t="shared" si="3"/>
        <v>111.60000000000001</v>
      </c>
      <c r="O51" s="192">
        <f t="shared" si="3"/>
        <v>154.5</v>
      </c>
      <c r="P51" s="192">
        <f t="shared" si="3"/>
        <v>169.1</v>
      </c>
      <c r="Q51" s="192">
        <f t="shared" si="4"/>
        <v>1096.668167</v>
      </c>
    </row>
    <row r="52" spans="1:17">
      <c r="A52" s="2" t="s">
        <v>158</v>
      </c>
      <c r="B52" s="192">
        <f t="shared" si="3"/>
        <v>15</v>
      </c>
      <c r="C52" s="192">
        <f t="shared" si="3"/>
        <v>16.600000000000001</v>
      </c>
      <c r="D52" s="192">
        <f t="shared" si="3"/>
        <v>17.5</v>
      </c>
      <c r="E52" s="192">
        <f t="shared" si="3"/>
        <v>65.099999999999994</v>
      </c>
      <c r="F52" s="192">
        <f t="shared" si="3"/>
        <v>71.099999999999994</v>
      </c>
      <c r="G52" s="192">
        <f t="shared" si="3"/>
        <v>74.3</v>
      </c>
      <c r="H52" s="192">
        <f t="shared" si="3"/>
        <v>54.4</v>
      </c>
      <c r="I52" s="192">
        <f t="shared" si="3"/>
        <v>53.800000000000004</v>
      </c>
      <c r="J52" s="192">
        <f t="shared" si="3"/>
        <v>54.8</v>
      </c>
      <c r="K52" s="192">
        <f t="shared" si="3"/>
        <v>56.230196999999997</v>
      </c>
      <c r="L52" s="192">
        <f t="shared" si="3"/>
        <v>37.1</v>
      </c>
      <c r="M52" s="192">
        <f t="shared" si="3"/>
        <v>44.8</v>
      </c>
      <c r="N52" s="192">
        <f t="shared" si="3"/>
        <v>46.4</v>
      </c>
      <c r="O52" s="192">
        <f t="shared" si="3"/>
        <v>47.4</v>
      </c>
      <c r="P52" s="192">
        <f t="shared" si="3"/>
        <v>53.300000000000004</v>
      </c>
      <c r="Q52" s="192">
        <f t="shared" si="4"/>
        <v>707.83019699999977</v>
      </c>
    </row>
    <row r="53" spans="1:17">
      <c r="A53" s="2" t="s">
        <v>160</v>
      </c>
      <c r="B53" s="192">
        <f t="shared" si="3"/>
        <v>15.8</v>
      </c>
      <c r="C53" s="192">
        <f t="shared" si="3"/>
        <v>17.899999999999999</v>
      </c>
      <c r="D53" s="192">
        <f t="shared" si="3"/>
        <v>20.3</v>
      </c>
      <c r="E53" s="192">
        <f t="shared" si="3"/>
        <v>19</v>
      </c>
      <c r="F53" s="192">
        <f t="shared" si="3"/>
        <v>23.1</v>
      </c>
      <c r="G53" s="192">
        <f t="shared" si="3"/>
        <v>36.6</v>
      </c>
      <c r="H53" s="192">
        <f t="shared" si="3"/>
        <v>34.299999999999997</v>
      </c>
      <c r="I53" s="192">
        <f t="shared" si="3"/>
        <v>48.5</v>
      </c>
      <c r="J53" s="192">
        <f t="shared" si="3"/>
        <v>43.8</v>
      </c>
      <c r="K53" s="192">
        <f t="shared" si="3"/>
        <v>38.121814999999998</v>
      </c>
      <c r="L53" s="192">
        <f t="shared" si="3"/>
        <v>48.9</v>
      </c>
      <c r="M53" s="192">
        <f t="shared" si="3"/>
        <v>57.9</v>
      </c>
      <c r="N53" s="192">
        <f t="shared" si="3"/>
        <v>56.7</v>
      </c>
      <c r="O53" s="192">
        <f t="shared" si="3"/>
        <v>63.4</v>
      </c>
      <c r="P53" s="192">
        <f t="shared" si="3"/>
        <v>57.7</v>
      </c>
      <c r="Q53" s="192">
        <f t="shared" si="4"/>
        <v>582.02181500000006</v>
      </c>
    </row>
    <row r="54" spans="1:17">
      <c r="A54" s="2" t="s">
        <v>159</v>
      </c>
      <c r="B54" s="192">
        <f t="shared" si="3"/>
        <v>10.8</v>
      </c>
      <c r="C54" s="192">
        <f t="shared" si="3"/>
        <v>10.6</v>
      </c>
      <c r="D54" s="192">
        <f t="shared" si="3"/>
        <v>10.4</v>
      </c>
      <c r="E54" s="192">
        <f t="shared" si="3"/>
        <v>10.6</v>
      </c>
      <c r="F54" s="192">
        <f t="shared" si="3"/>
        <v>10</v>
      </c>
      <c r="G54" s="192">
        <f t="shared" si="3"/>
        <v>10</v>
      </c>
      <c r="H54" s="192">
        <f t="shared" si="3"/>
        <v>19.7</v>
      </c>
      <c r="I54" s="192">
        <f t="shared" si="3"/>
        <v>22</v>
      </c>
      <c r="J54" s="192">
        <f t="shared" si="3"/>
        <v>20.8</v>
      </c>
      <c r="K54" s="192">
        <f t="shared" si="3"/>
        <v>21.350062999999999</v>
      </c>
      <c r="L54" s="192">
        <f t="shared" si="3"/>
        <v>22.3</v>
      </c>
      <c r="M54" s="192">
        <f t="shared" si="3"/>
        <v>20.8</v>
      </c>
      <c r="N54" s="192">
        <f t="shared" si="3"/>
        <v>21.2</v>
      </c>
      <c r="O54" s="192">
        <f t="shared" si="3"/>
        <v>21.9</v>
      </c>
      <c r="P54" s="192">
        <f t="shared" si="3"/>
        <v>21.1</v>
      </c>
      <c r="Q54" s="192">
        <f t="shared" si="4"/>
        <v>253.55006299999999</v>
      </c>
    </row>
    <row r="55" spans="1:17">
      <c r="A55" s="2" t="s">
        <v>165</v>
      </c>
      <c r="B55" s="192">
        <f t="shared" si="3"/>
        <v>9.1999999999999993</v>
      </c>
      <c r="C55" s="192">
        <f t="shared" si="3"/>
        <v>9.1999999999999993</v>
      </c>
      <c r="D55" s="192">
        <f t="shared" si="3"/>
        <v>9.3000000000000007</v>
      </c>
      <c r="E55" s="192">
        <f t="shared" si="3"/>
        <v>9.5</v>
      </c>
      <c r="F55" s="192">
        <f t="shared" si="3"/>
        <v>9</v>
      </c>
      <c r="G55" s="192">
        <f t="shared" si="3"/>
        <v>8.9</v>
      </c>
      <c r="H55" s="192">
        <f t="shared" si="3"/>
        <v>7.2</v>
      </c>
      <c r="I55" s="192">
        <f t="shared" si="3"/>
        <v>9</v>
      </c>
      <c r="J55" s="192">
        <f t="shared" si="3"/>
        <v>9.9</v>
      </c>
      <c r="K55" s="192">
        <f t="shared" si="3"/>
        <v>11.800738000000001</v>
      </c>
      <c r="L55" s="192">
        <f t="shared" si="3"/>
        <v>12.9</v>
      </c>
      <c r="M55" s="192">
        <f t="shared" si="3"/>
        <v>12.4</v>
      </c>
      <c r="N55" s="192">
        <f t="shared" si="3"/>
        <v>33.799999999999997</v>
      </c>
      <c r="O55" s="192">
        <f t="shared" si="3"/>
        <v>36.4</v>
      </c>
      <c r="P55" s="192">
        <f t="shared" si="3"/>
        <v>35.799999999999997</v>
      </c>
      <c r="Q55" s="192">
        <f t="shared" si="4"/>
        <v>224.30073800000002</v>
      </c>
    </row>
    <row r="57" spans="1:17" ht="13">
      <c r="B57" s="193">
        <f t="shared" ref="B57:Q57" si="5">SUM(B49:B55)</f>
        <v>247.20000000000002</v>
      </c>
      <c r="C57" s="193">
        <f t="shared" si="5"/>
        <v>223.09999999999997</v>
      </c>
      <c r="D57" s="193">
        <f t="shared" si="5"/>
        <v>250.50000000000003</v>
      </c>
      <c r="E57" s="193">
        <f t="shared" si="5"/>
        <v>316.20000000000005</v>
      </c>
      <c r="F57" s="193">
        <f t="shared" si="5"/>
        <v>359.1</v>
      </c>
      <c r="G57" s="193">
        <f t="shared" si="5"/>
        <v>365.5</v>
      </c>
      <c r="H57" s="193">
        <f t="shared" si="5"/>
        <v>372.99999999999994</v>
      </c>
      <c r="I57" s="193">
        <f t="shared" si="5"/>
        <v>458.90000000000003</v>
      </c>
      <c r="J57" s="193">
        <f t="shared" si="5"/>
        <v>507.59999999999997</v>
      </c>
      <c r="K57" s="193">
        <f t="shared" si="5"/>
        <v>514.89388599999995</v>
      </c>
      <c r="L57" s="193">
        <f t="shared" si="5"/>
        <v>516.20000000000005</v>
      </c>
      <c r="M57" s="193">
        <f t="shared" si="5"/>
        <v>605.69999999999993</v>
      </c>
      <c r="N57" s="193">
        <f t="shared" si="5"/>
        <v>724.80000000000007</v>
      </c>
      <c r="O57" s="193">
        <f t="shared" si="5"/>
        <v>721.09999999999991</v>
      </c>
      <c r="P57" s="193">
        <f t="shared" si="5"/>
        <v>707.6</v>
      </c>
      <c r="Q57" s="193">
        <f t="shared" si="5"/>
        <v>6891.3938859999989</v>
      </c>
    </row>
    <row r="58" spans="1:17">
      <c r="A58" s="1"/>
    </row>
    <row r="59" spans="1:17" ht="13">
      <c r="A59" s="171" t="s">
        <v>415</v>
      </c>
      <c r="B59" s="194">
        <f>B57-B80</f>
        <v>0</v>
      </c>
      <c r="C59" s="194">
        <f t="shared" ref="C59:P59" si="6">C57-C80</f>
        <v>0</v>
      </c>
      <c r="D59" s="194">
        <f t="shared" si="6"/>
        <v>0</v>
      </c>
      <c r="E59" s="194">
        <f t="shared" si="6"/>
        <v>0</v>
      </c>
      <c r="F59" s="194">
        <f t="shared" si="6"/>
        <v>0</v>
      </c>
      <c r="G59" s="194">
        <f t="shared" si="6"/>
        <v>0</v>
      </c>
      <c r="H59" s="194">
        <f t="shared" si="6"/>
        <v>0</v>
      </c>
      <c r="I59" s="194">
        <f t="shared" si="6"/>
        <v>0</v>
      </c>
      <c r="J59" s="194">
        <f t="shared" si="6"/>
        <v>0</v>
      </c>
      <c r="K59" s="194">
        <f t="shared" si="6"/>
        <v>0</v>
      </c>
      <c r="L59" s="194">
        <f t="shared" si="6"/>
        <v>0</v>
      </c>
      <c r="M59" s="194">
        <f t="shared" si="6"/>
        <v>0</v>
      </c>
      <c r="N59" s="194">
        <f t="shared" si="6"/>
        <v>0</v>
      </c>
      <c r="O59" s="194">
        <f t="shared" si="6"/>
        <v>0</v>
      </c>
      <c r="P59" s="194">
        <f t="shared" si="6"/>
        <v>0</v>
      </c>
    </row>
    <row r="61" spans="1:17" ht="13.5" thickBot="1">
      <c r="A61" s="27" t="s">
        <v>153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27"/>
      <c r="M61" s="27"/>
      <c r="N61" s="27"/>
      <c r="O61" s="27"/>
      <c r="P61" s="1"/>
    </row>
    <row r="62" spans="1:17" ht="13">
      <c r="A62" s="96"/>
      <c r="B62" s="33" t="s">
        <v>15</v>
      </c>
      <c r="C62" s="33" t="s">
        <v>14</v>
      </c>
      <c r="D62" s="33" t="s">
        <v>13</v>
      </c>
      <c r="E62" s="33" t="s">
        <v>12</v>
      </c>
      <c r="F62" s="33" t="s">
        <v>11</v>
      </c>
      <c r="G62" s="33" t="s">
        <v>10</v>
      </c>
      <c r="H62" s="33" t="s">
        <v>9</v>
      </c>
      <c r="I62" s="33" t="s">
        <v>8</v>
      </c>
      <c r="J62" s="33" t="s">
        <v>7</v>
      </c>
      <c r="K62" s="33" t="s">
        <v>6</v>
      </c>
      <c r="L62" s="33" t="s">
        <v>5</v>
      </c>
      <c r="M62" s="33" t="s">
        <v>4</v>
      </c>
      <c r="N62" s="33" t="s">
        <v>3</v>
      </c>
      <c r="O62" s="33" t="s">
        <v>2</v>
      </c>
      <c r="P62" s="33" t="s">
        <v>1</v>
      </c>
    </row>
    <row r="63" spans="1:17" ht="13">
      <c r="A63" s="73"/>
      <c r="B63" s="12" t="s">
        <v>17</v>
      </c>
      <c r="C63" s="12" t="s">
        <v>17</v>
      </c>
      <c r="D63" s="12" t="s">
        <v>17</v>
      </c>
      <c r="E63" s="12" t="s">
        <v>17</v>
      </c>
      <c r="F63" s="12" t="s">
        <v>17</v>
      </c>
      <c r="G63" s="12" t="s">
        <v>17</v>
      </c>
      <c r="H63" s="12" t="s">
        <v>154</v>
      </c>
      <c r="I63" s="12" t="s">
        <v>154</v>
      </c>
      <c r="J63" s="12" t="s">
        <v>154</v>
      </c>
      <c r="K63" s="12" t="s">
        <v>154</v>
      </c>
      <c r="L63" s="12" t="s">
        <v>17</v>
      </c>
      <c r="M63" s="12" t="s">
        <v>17</v>
      </c>
      <c r="N63" s="12" t="s">
        <v>17</v>
      </c>
      <c r="O63" s="12" t="s">
        <v>17</v>
      </c>
      <c r="P63" s="12" t="s">
        <v>17</v>
      </c>
    </row>
    <row r="64" spans="1:17" ht="13">
      <c r="A64" s="73" t="s">
        <v>155</v>
      </c>
      <c r="B64" s="1"/>
      <c r="C64" s="1"/>
      <c r="D64" s="1"/>
      <c r="E64" s="1"/>
      <c r="F64" s="1"/>
      <c r="G64" s="36"/>
      <c r="H64" s="36"/>
      <c r="I64" s="36"/>
      <c r="J64" s="36"/>
      <c r="K64" s="1"/>
      <c r="L64" s="73"/>
      <c r="M64" s="73"/>
      <c r="N64" s="73"/>
      <c r="O64" s="73"/>
      <c r="P64" s="1"/>
    </row>
    <row r="65" spans="1:16">
      <c r="A65" s="2" t="s">
        <v>156</v>
      </c>
      <c r="B65" s="1">
        <v>61.9</v>
      </c>
      <c r="C65" s="1">
        <v>59.6</v>
      </c>
      <c r="D65" s="1">
        <v>58</v>
      </c>
      <c r="E65" s="1">
        <v>78.400000000000006</v>
      </c>
      <c r="F65" s="1">
        <v>73.3</v>
      </c>
      <c r="G65" s="10">
        <v>63.1</v>
      </c>
      <c r="H65" s="10">
        <v>48.3</v>
      </c>
      <c r="I65" s="10">
        <v>32.299999999999997</v>
      </c>
      <c r="J65" s="10">
        <v>153.19999999999999</v>
      </c>
      <c r="K65" s="10">
        <v>140.77016</v>
      </c>
      <c r="L65" s="58">
        <v>126</v>
      </c>
      <c r="M65" s="58">
        <v>152.30000000000001</v>
      </c>
      <c r="N65" s="58">
        <v>234.3</v>
      </c>
      <c r="O65" s="58">
        <v>236.4</v>
      </c>
      <c r="P65" s="1">
        <v>188.8</v>
      </c>
    </row>
    <row r="66" spans="1:16">
      <c r="A66" s="58" t="s">
        <v>157</v>
      </c>
      <c r="B66" s="1">
        <v>26.1</v>
      </c>
      <c r="C66" s="1">
        <v>27.8</v>
      </c>
      <c r="D66" s="1">
        <v>31.3</v>
      </c>
      <c r="E66" s="1">
        <v>34</v>
      </c>
      <c r="F66" s="1">
        <v>36.700000000000003</v>
      </c>
      <c r="G66" s="10">
        <v>46.2</v>
      </c>
      <c r="H66" s="10">
        <v>62</v>
      </c>
      <c r="I66" s="10">
        <v>66.7</v>
      </c>
      <c r="J66" s="10">
        <v>67.400000000000006</v>
      </c>
      <c r="K66" s="10">
        <v>74.377883999999995</v>
      </c>
      <c r="L66" s="58">
        <v>76.5</v>
      </c>
      <c r="M66" s="58">
        <v>84.7</v>
      </c>
      <c r="N66" s="58">
        <v>107.7</v>
      </c>
      <c r="O66" s="58">
        <v>150.19999999999999</v>
      </c>
      <c r="P66" s="1">
        <v>164.6</v>
      </c>
    </row>
    <row r="67" spans="1:16">
      <c r="A67" s="58" t="s">
        <v>158</v>
      </c>
      <c r="B67" s="1">
        <v>14.6</v>
      </c>
      <c r="C67" s="1">
        <v>15.9</v>
      </c>
      <c r="D67" s="1">
        <v>16.899999999999999</v>
      </c>
      <c r="E67" s="1">
        <v>64.099999999999994</v>
      </c>
      <c r="F67" s="1">
        <v>70.5</v>
      </c>
      <c r="G67" s="10">
        <v>72.599999999999994</v>
      </c>
      <c r="H67" s="10">
        <v>53.5</v>
      </c>
      <c r="I67" s="10">
        <v>52.7</v>
      </c>
      <c r="J67" s="10">
        <v>53.8</v>
      </c>
      <c r="K67" s="10">
        <v>55.373826999999999</v>
      </c>
      <c r="L67" s="58">
        <v>36.1</v>
      </c>
      <c r="M67" s="58">
        <v>44</v>
      </c>
      <c r="N67" s="58">
        <v>45</v>
      </c>
      <c r="O67" s="58">
        <v>45.8</v>
      </c>
      <c r="P67" s="1">
        <v>52.1</v>
      </c>
    </row>
    <row r="68" spans="1:16">
      <c r="A68" s="58" t="s">
        <v>159</v>
      </c>
      <c r="B68" s="1">
        <v>10.8</v>
      </c>
      <c r="C68" s="1">
        <v>10.6</v>
      </c>
      <c r="D68" s="1">
        <v>10.4</v>
      </c>
      <c r="E68" s="1">
        <v>10.6</v>
      </c>
      <c r="F68" s="1">
        <v>10</v>
      </c>
      <c r="G68" s="10">
        <v>10</v>
      </c>
      <c r="H68" s="10">
        <v>19.7</v>
      </c>
      <c r="I68" s="10">
        <v>22</v>
      </c>
      <c r="J68" s="10">
        <v>20.8</v>
      </c>
      <c r="K68" s="10">
        <v>21.350062999999999</v>
      </c>
      <c r="L68" s="58">
        <v>22.3</v>
      </c>
      <c r="M68" s="58">
        <v>20.8</v>
      </c>
      <c r="N68" s="58">
        <v>21.2</v>
      </c>
      <c r="O68" s="58">
        <v>21.9</v>
      </c>
      <c r="P68" s="1">
        <v>21.1</v>
      </c>
    </row>
    <row r="69" spans="1:16" ht="13" thickBot="1">
      <c r="A69" s="58" t="s">
        <v>160</v>
      </c>
      <c r="B69" s="55">
        <v>5.8</v>
      </c>
      <c r="C69" s="55">
        <v>6.5</v>
      </c>
      <c r="D69" s="55">
        <v>8.4</v>
      </c>
      <c r="E69" s="55">
        <v>11.5</v>
      </c>
      <c r="F69" s="55">
        <v>17.100000000000001</v>
      </c>
      <c r="G69" s="55">
        <v>24.7</v>
      </c>
      <c r="H69" s="55">
        <v>25.3</v>
      </c>
      <c r="I69" s="55">
        <v>32</v>
      </c>
      <c r="J69" s="55">
        <v>28.1</v>
      </c>
      <c r="K69" s="55">
        <v>28.750627999999999</v>
      </c>
      <c r="L69" s="55">
        <v>38.299999999999997</v>
      </c>
      <c r="M69" s="55">
        <v>39</v>
      </c>
      <c r="N69" s="55">
        <v>48.7</v>
      </c>
      <c r="O69" s="55">
        <v>50.8</v>
      </c>
      <c r="P69" s="55">
        <v>43.4</v>
      </c>
    </row>
    <row r="70" spans="1:16" ht="13.5" thickBot="1">
      <c r="A70" s="73" t="s">
        <v>161</v>
      </c>
      <c r="B70" s="107">
        <v>119.19999999999999</v>
      </c>
      <c r="C70" s="107">
        <v>120.4</v>
      </c>
      <c r="D70" s="107">
        <v>125</v>
      </c>
      <c r="E70" s="107">
        <v>198.6</v>
      </c>
      <c r="F70" s="107">
        <v>207.6</v>
      </c>
      <c r="G70" s="107">
        <v>216.6</v>
      </c>
      <c r="H70" s="107">
        <v>208.8</v>
      </c>
      <c r="I70" s="107">
        <v>205.7</v>
      </c>
      <c r="J70" s="107">
        <v>323.3</v>
      </c>
      <c r="K70" s="107">
        <v>320.62256199999996</v>
      </c>
      <c r="L70" s="107">
        <v>299.2</v>
      </c>
      <c r="M70" s="107">
        <v>340.8</v>
      </c>
      <c r="N70" s="107">
        <v>456.9</v>
      </c>
      <c r="O70" s="107">
        <v>505.1</v>
      </c>
      <c r="P70" s="107">
        <v>470</v>
      </c>
    </row>
    <row r="71" spans="1:16" ht="13">
      <c r="A71" s="7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"/>
    </row>
    <row r="72" spans="1:16" ht="13">
      <c r="A72" s="73" t="s">
        <v>162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"/>
    </row>
    <row r="73" spans="1:16">
      <c r="A73" s="58" t="s">
        <v>163</v>
      </c>
      <c r="B73" s="10">
        <v>23.9</v>
      </c>
      <c r="C73" s="10">
        <v>29.2</v>
      </c>
      <c r="D73" s="10">
        <v>38.200000000000003</v>
      </c>
      <c r="E73" s="10">
        <v>40.299999999999997</v>
      </c>
      <c r="F73" s="10">
        <v>64.8</v>
      </c>
      <c r="G73" s="10">
        <v>66.099999999999994</v>
      </c>
      <c r="H73" s="10">
        <v>83.2</v>
      </c>
      <c r="I73" s="10">
        <v>104.2</v>
      </c>
      <c r="J73" s="10">
        <v>101.9</v>
      </c>
      <c r="K73" s="46">
        <v>105.019701</v>
      </c>
      <c r="L73" s="46">
        <v>118.1</v>
      </c>
      <c r="M73" s="46">
        <v>129</v>
      </c>
      <c r="N73" s="46">
        <v>112.9</v>
      </c>
      <c r="O73" s="46">
        <v>97.6</v>
      </c>
      <c r="P73" s="1">
        <v>96.5</v>
      </c>
    </row>
    <row r="74" spans="1:16">
      <c r="A74" s="2" t="s">
        <v>156</v>
      </c>
      <c r="B74" s="10">
        <v>83</v>
      </c>
      <c r="C74" s="10">
        <v>50.4</v>
      </c>
      <c r="D74" s="10">
        <v>63.7</v>
      </c>
      <c r="E74" s="10">
        <v>57.3</v>
      </c>
      <c r="F74" s="10">
        <v>68.8</v>
      </c>
      <c r="G74" s="10">
        <v>58</v>
      </c>
      <c r="H74" s="10">
        <v>61.5</v>
      </c>
      <c r="I74" s="10">
        <v>119.7</v>
      </c>
      <c r="J74" s="10">
        <v>53.2</v>
      </c>
      <c r="K74" s="46">
        <v>64.633044999999996</v>
      </c>
      <c r="L74" s="46">
        <v>71.8</v>
      </c>
      <c r="M74" s="46">
        <v>100.7</v>
      </c>
      <c r="N74" s="46">
        <v>107.9</v>
      </c>
      <c r="O74" s="46">
        <v>63.5</v>
      </c>
      <c r="P74" s="1">
        <v>85.3</v>
      </c>
    </row>
    <row r="75" spans="1:16">
      <c r="A75" s="58" t="s">
        <v>157</v>
      </c>
      <c r="B75" s="10">
        <v>1.5</v>
      </c>
      <c r="C75" s="10">
        <v>1.8</v>
      </c>
      <c r="D75" s="10">
        <v>1.8</v>
      </c>
      <c r="E75" s="10">
        <v>2</v>
      </c>
      <c r="F75" s="10">
        <v>2.2999999999999998</v>
      </c>
      <c r="G75" s="10">
        <v>2.2999999999999998</v>
      </c>
      <c r="H75" s="10">
        <v>2.4</v>
      </c>
      <c r="I75" s="10">
        <v>2.7</v>
      </c>
      <c r="J75" s="10">
        <v>2.6</v>
      </c>
      <c r="K75" s="46">
        <v>2.5902829999999999</v>
      </c>
      <c r="L75" s="46">
        <v>2.6</v>
      </c>
      <c r="M75" s="46">
        <v>3.1</v>
      </c>
      <c r="N75" s="46">
        <v>3.9</v>
      </c>
      <c r="O75" s="46">
        <v>4.3</v>
      </c>
      <c r="P75" s="1">
        <v>4.5</v>
      </c>
    </row>
    <row r="76" spans="1:16">
      <c r="A76" s="58" t="s">
        <v>158</v>
      </c>
      <c r="B76" s="10">
        <v>0.4</v>
      </c>
      <c r="C76" s="10">
        <v>0.7</v>
      </c>
      <c r="D76" s="10">
        <v>0.6</v>
      </c>
      <c r="E76" s="10">
        <v>1</v>
      </c>
      <c r="F76" s="10">
        <v>0.6</v>
      </c>
      <c r="G76" s="10">
        <v>1.7</v>
      </c>
      <c r="H76" s="10">
        <v>0.9</v>
      </c>
      <c r="I76" s="10">
        <v>1.1000000000000001</v>
      </c>
      <c r="J76" s="10">
        <v>1</v>
      </c>
      <c r="K76" s="46">
        <v>0.85636999999999996</v>
      </c>
      <c r="L76" s="46">
        <v>1</v>
      </c>
      <c r="M76" s="46">
        <v>0.8</v>
      </c>
      <c r="N76" s="46">
        <v>1.4</v>
      </c>
      <c r="O76" s="46">
        <v>1.6</v>
      </c>
      <c r="P76" s="1">
        <v>1.2</v>
      </c>
    </row>
    <row r="77" spans="1:16">
      <c r="A77" s="58" t="s">
        <v>165</v>
      </c>
      <c r="B77" s="10">
        <v>9.1999999999999993</v>
      </c>
      <c r="C77" s="10">
        <v>9.1999999999999993</v>
      </c>
      <c r="D77" s="10">
        <v>9.3000000000000007</v>
      </c>
      <c r="E77" s="10">
        <v>9.5</v>
      </c>
      <c r="F77" s="10">
        <v>9</v>
      </c>
      <c r="G77" s="10">
        <v>8.9</v>
      </c>
      <c r="H77" s="10">
        <v>7.2</v>
      </c>
      <c r="I77" s="10">
        <v>9</v>
      </c>
      <c r="J77" s="10">
        <v>9.9</v>
      </c>
      <c r="K77" s="46">
        <v>11.800738000000001</v>
      </c>
      <c r="L77" s="46">
        <v>12.9</v>
      </c>
      <c r="M77" s="46">
        <v>12.4</v>
      </c>
      <c r="N77" s="46">
        <v>33.799999999999997</v>
      </c>
      <c r="O77" s="46">
        <v>36.4</v>
      </c>
      <c r="P77" s="1">
        <v>35.799999999999997</v>
      </c>
    </row>
    <row r="78" spans="1:16" ht="13" thickBot="1">
      <c r="A78" s="58" t="s">
        <v>160</v>
      </c>
      <c r="B78" s="55">
        <v>10</v>
      </c>
      <c r="C78" s="55">
        <v>11.4</v>
      </c>
      <c r="D78" s="55">
        <v>11.9</v>
      </c>
      <c r="E78" s="55">
        <v>7.5</v>
      </c>
      <c r="F78" s="55">
        <v>6</v>
      </c>
      <c r="G78" s="55">
        <v>11.9</v>
      </c>
      <c r="H78" s="55">
        <v>9</v>
      </c>
      <c r="I78" s="55">
        <v>16.5</v>
      </c>
      <c r="J78" s="55">
        <v>15.7</v>
      </c>
      <c r="K78" s="47">
        <v>9.3711870000000008</v>
      </c>
      <c r="L78" s="47">
        <v>10.6</v>
      </c>
      <c r="M78" s="47">
        <v>18.899999999999999</v>
      </c>
      <c r="N78" s="47">
        <v>8</v>
      </c>
      <c r="O78" s="47">
        <v>12.6</v>
      </c>
      <c r="P78" s="47">
        <v>14.3</v>
      </c>
    </row>
    <row r="79" spans="1:16" ht="13.5" thickBot="1">
      <c r="A79" s="73" t="s">
        <v>166</v>
      </c>
      <c r="B79" s="107">
        <v>128</v>
      </c>
      <c r="C79" s="107">
        <v>102.7</v>
      </c>
      <c r="D79" s="107">
        <v>125.5</v>
      </c>
      <c r="E79" s="107">
        <v>117.6</v>
      </c>
      <c r="F79" s="107">
        <v>151.5</v>
      </c>
      <c r="G79" s="107">
        <v>148.9</v>
      </c>
      <c r="H79" s="107">
        <v>164.2</v>
      </c>
      <c r="I79" s="107">
        <v>253.2</v>
      </c>
      <c r="J79" s="107">
        <v>184.3</v>
      </c>
      <c r="K79" s="107">
        <v>194.27132399999996</v>
      </c>
      <c r="L79" s="107">
        <v>216.99999999999997</v>
      </c>
      <c r="M79" s="107">
        <v>264.89999999999998</v>
      </c>
      <c r="N79" s="107">
        <v>267.90000000000003</v>
      </c>
      <c r="O79" s="107">
        <v>216</v>
      </c>
      <c r="P79" s="107">
        <v>237.60000000000002</v>
      </c>
    </row>
    <row r="80" spans="1:16" ht="13.5" thickBot="1">
      <c r="A80" s="99" t="s">
        <v>167</v>
      </c>
      <c r="B80" s="55">
        <v>247.2</v>
      </c>
      <c r="C80" s="55">
        <v>223.10000000000002</v>
      </c>
      <c r="D80" s="55">
        <v>250.5</v>
      </c>
      <c r="E80" s="55">
        <v>316.2</v>
      </c>
      <c r="F80" s="55">
        <v>359.1</v>
      </c>
      <c r="G80" s="55">
        <v>365.5</v>
      </c>
      <c r="H80" s="55">
        <v>373</v>
      </c>
      <c r="I80" s="55">
        <v>458.9</v>
      </c>
      <c r="J80" s="55">
        <v>507.6</v>
      </c>
      <c r="K80" s="55">
        <v>514.89388599999995</v>
      </c>
      <c r="L80" s="55">
        <v>516.19999999999993</v>
      </c>
      <c r="M80" s="55">
        <v>605.70000000000005</v>
      </c>
      <c r="N80" s="55">
        <v>724.8</v>
      </c>
      <c r="O80" s="55">
        <v>721.1</v>
      </c>
      <c r="P80" s="55">
        <v>707.6</v>
      </c>
    </row>
  </sheetData>
  <autoFilter ref="A48:Q55" xr:uid="{00000000-0001-0000-0B00-000000000000}">
    <sortState xmlns:xlrd2="http://schemas.microsoft.com/office/spreadsheetml/2017/richdata2" ref="A49:Q55">
      <sortCondition descending="1" ref="Q48:Q55"/>
    </sortState>
  </autoFilter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67A8D-E4CB-44B1-9982-C4D91452D8A7}">
  <dimension ref="A1:Q39"/>
  <sheetViews>
    <sheetView workbookViewId="0">
      <selection activeCell="N12" sqref="N12"/>
    </sheetView>
  </sheetViews>
  <sheetFormatPr defaultRowHeight="12.5"/>
  <cols>
    <col min="1" max="1" width="32.33203125" style="1" bestFit="1" customWidth="1"/>
    <col min="2" max="16384" width="8.6640625" style="1"/>
  </cols>
  <sheetData>
    <row r="1" spans="1:1" ht="13">
      <c r="A1" s="244" t="s">
        <v>596</v>
      </c>
    </row>
    <row r="28" spans="1:17">
      <c r="B28" s="1" t="str">
        <f>'Data for charts 09-24'!B16</f>
        <v>2009-10</v>
      </c>
      <c r="C28" s="1" t="str">
        <f>'Data for charts 09-24'!B15</f>
        <v>2010-11</v>
      </c>
      <c r="D28" s="1" t="str">
        <f>'Data for charts 09-24'!B14</f>
        <v>2011-12</v>
      </c>
      <c r="E28" s="1" t="str">
        <f>'Data for charts 09-24'!B13</f>
        <v>2012-13</v>
      </c>
      <c r="F28" s="1" t="str">
        <f>'Data for charts 09-24'!B12</f>
        <v>2013-14</v>
      </c>
      <c r="G28" s="1" t="str">
        <f>'Data for charts 09-24'!B11</f>
        <v>2014-15</v>
      </c>
      <c r="H28" s="1" t="str">
        <f>'Data for charts 09-24'!B10</f>
        <v>2015-16</v>
      </c>
      <c r="I28" s="1" t="str">
        <f>'Data for charts 09-24'!B9</f>
        <v>2016-17</v>
      </c>
      <c r="J28" s="1" t="str">
        <f>'Data for charts 09-24'!B8</f>
        <v>2017-18</v>
      </c>
      <c r="K28" s="1" t="str">
        <f>'Data for charts 09-24'!B7</f>
        <v>2018-19</v>
      </c>
      <c r="L28" s="1" t="str">
        <f>'Data for charts 09-24'!B6</f>
        <v>2019-20</v>
      </c>
      <c r="M28" s="1" t="str">
        <f>'Data for charts 09-24'!B5</f>
        <v>2020-21</v>
      </c>
      <c r="N28" s="1" t="str">
        <f>'Data for charts 09-24'!B4</f>
        <v>2021-22</v>
      </c>
      <c r="O28" s="1" t="str">
        <f>'Data for charts 09-24'!B3</f>
        <v>2022-23</v>
      </c>
      <c r="P28" s="1" t="str">
        <f>'Data for charts 09-24'!B2</f>
        <v>2023-24</v>
      </c>
    </row>
    <row r="29" spans="1:17">
      <c r="A29" s="58" t="s">
        <v>359</v>
      </c>
      <c r="B29" s="1">
        <f>'Data for charts 09-24'!B241</f>
        <v>26.1</v>
      </c>
      <c r="C29" s="1">
        <f>'Data for charts 09-24'!C241</f>
        <v>27.8</v>
      </c>
      <c r="D29" s="1">
        <f>'Data for charts 09-24'!D241</f>
        <v>31.3</v>
      </c>
      <c r="E29" s="1">
        <f>'Data for charts 09-24'!E241</f>
        <v>34</v>
      </c>
      <c r="F29" s="1">
        <f>'Data for charts 09-24'!F241</f>
        <v>36.700000000000003</v>
      </c>
      <c r="G29" s="1">
        <f>'Data for charts 09-24'!G241</f>
        <v>46.2</v>
      </c>
      <c r="H29" s="1">
        <f>'Data for charts 09-24'!H241</f>
        <v>62</v>
      </c>
      <c r="I29" s="1">
        <f>'Data for charts 09-24'!I241</f>
        <v>66.7</v>
      </c>
      <c r="J29" s="1">
        <f>'Data for charts 09-24'!J241</f>
        <v>67.400000000000006</v>
      </c>
      <c r="K29" s="1">
        <f>'Data for charts 09-24'!K241</f>
        <v>74.3</v>
      </c>
      <c r="L29" s="1">
        <f>'Data for charts 09-24'!L241</f>
        <v>76.5</v>
      </c>
      <c r="M29" s="1">
        <f>'Data for charts 09-24'!M241</f>
        <v>84.7</v>
      </c>
      <c r="N29" s="1">
        <f>'Data for charts 09-24'!N241</f>
        <v>107.7</v>
      </c>
      <c r="O29" s="1">
        <f>'Data for charts 09-24'!O241</f>
        <v>150.19999999999999</v>
      </c>
      <c r="P29" s="1">
        <f>'Data for charts 09-24'!P241</f>
        <v>164.6</v>
      </c>
      <c r="Q29" s="58"/>
    </row>
    <row r="30" spans="1:17">
      <c r="A30" s="58" t="s">
        <v>360</v>
      </c>
      <c r="B30" s="1">
        <f>'Data for charts 09-24'!B250</f>
        <v>1.5</v>
      </c>
      <c r="C30" s="1">
        <f>'Data for charts 09-24'!C250</f>
        <v>1.8</v>
      </c>
      <c r="D30" s="1">
        <f>'Data for charts 09-24'!D250</f>
        <v>1.8</v>
      </c>
      <c r="E30" s="1">
        <f>'Data for charts 09-24'!E250</f>
        <v>2</v>
      </c>
      <c r="F30" s="1">
        <f>'Data for charts 09-24'!F250</f>
        <v>2.2999999999999998</v>
      </c>
      <c r="G30" s="1">
        <f>'Data for charts 09-24'!G250</f>
        <v>2.2999999999999998</v>
      </c>
      <c r="H30" s="1">
        <f>'Data for charts 09-24'!H250</f>
        <v>2.4</v>
      </c>
      <c r="I30" s="1">
        <f>'Data for charts 09-24'!I250</f>
        <v>2.7</v>
      </c>
      <c r="J30" s="1">
        <f>'Data for charts 09-24'!J250</f>
        <v>2.6</v>
      </c>
      <c r="K30" s="1">
        <f>'Data for charts 09-24'!K250</f>
        <v>2.6</v>
      </c>
      <c r="L30" s="1">
        <f>'Data for charts 09-24'!L250</f>
        <v>2.6</v>
      </c>
      <c r="M30" s="1">
        <f>'Data for charts 09-24'!M250</f>
        <v>3.1</v>
      </c>
      <c r="N30" s="1">
        <f>'Data for charts 09-24'!N250</f>
        <v>3.9</v>
      </c>
      <c r="O30" s="1">
        <f>'Data for charts 09-24'!O250</f>
        <v>4.3</v>
      </c>
      <c r="P30" s="1">
        <f>'Data for charts 09-24'!P250</f>
        <v>4.5</v>
      </c>
      <c r="Q30" s="46"/>
    </row>
    <row r="31" spans="1:17">
      <c r="A31" s="1" t="s">
        <v>361</v>
      </c>
      <c r="B31" s="19">
        <f>SUM(B29:B30)</f>
        <v>27.6</v>
      </c>
      <c r="C31" s="19">
        <f t="shared" ref="C31:P31" si="0">SUM(C29:C30)</f>
        <v>29.6</v>
      </c>
      <c r="D31" s="19">
        <f t="shared" si="0"/>
        <v>33.1</v>
      </c>
      <c r="E31" s="19">
        <f t="shared" si="0"/>
        <v>36</v>
      </c>
      <c r="F31" s="19">
        <f t="shared" si="0"/>
        <v>39</v>
      </c>
      <c r="G31" s="19">
        <f t="shared" si="0"/>
        <v>48.5</v>
      </c>
      <c r="H31" s="19">
        <f t="shared" si="0"/>
        <v>64.400000000000006</v>
      </c>
      <c r="I31" s="19">
        <f t="shared" si="0"/>
        <v>69.400000000000006</v>
      </c>
      <c r="J31" s="19">
        <f t="shared" si="0"/>
        <v>70</v>
      </c>
      <c r="K31" s="19">
        <f t="shared" si="0"/>
        <v>76.899999999999991</v>
      </c>
      <c r="L31" s="19">
        <f t="shared" si="0"/>
        <v>79.099999999999994</v>
      </c>
      <c r="M31" s="19">
        <f t="shared" si="0"/>
        <v>87.8</v>
      </c>
      <c r="N31" s="19">
        <f t="shared" si="0"/>
        <v>111.60000000000001</v>
      </c>
      <c r="O31" s="19">
        <f t="shared" si="0"/>
        <v>154.5</v>
      </c>
      <c r="P31" s="19">
        <f t="shared" si="0"/>
        <v>169.1</v>
      </c>
      <c r="Q31" s="25"/>
    </row>
    <row r="38" spans="2:16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2:16">
      <c r="N39" s="25"/>
      <c r="O39" s="21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1F7C-D2DB-42B3-A643-CE1D898A2DBF}">
  <dimension ref="A1:Q46"/>
  <sheetViews>
    <sheetView zoomScale="91" zoomScaleNormal="55" workbookViewId="0">
      <selection activeCell="K25" sqref="K25"/>
    </sheetView>
  </sheetViews>
  <sheetFormatPr defaultColWidth="9" defaultRowHeight="12.5"/>
  <cols>
    <col min="1" max="1" width="14.83203125" style="1" bestFit="1" customWidth="1"/>
    <col min="2" max="16384" width="9" style="1"/>
  </cols>
  <sheetData>
    <row r="1" spans="1:1" ht="13">
      <c r="A1" s="200" t="s">
        <v>597</v>
      </c>
    </row>
    <row r="24" spans="1:2" ht="13">
      <c r="A24" s="248" t="s">
        <v>343</v>
      </c>
    </row>
    <row r="25" spans="1:2">
      <c r="A25" s="249" t="s">
        <v>362</v>
      </c>
      <c r="B25" s="174">
        <v>39</v>
      </c>
    </row>
    <row r="26" spans="1:2">
      <c r="A26" s="1" t="s">
        <v>363</v>
      </c>
      <c r="B26" s="174">
        <v>149.6</v>
      </c>
    </row>
    <row r="27" spans="1:2">
      <c r="A27" s="1" t="s">
        <v>364</v>
      </c>
      <c r="B27" s="174">
        <v>-29.299999999999997</v>
      </c>
    </row>
    <row r="28" spans="1:2">
      <c r="A28" s="1" t="s">
        <v>365</v>
      </c>
      <c r="B28" s="174">
        <v>6.1999999999999975</v>
      </c>
    </row>
    <row r="29" spans="1:2">
      <c r="A29" s="1" t="s">
        <v>366</v>
      </c>
      <c r="B29" s="174">
        <v>-3.3999999999999995</v>
      </c>
    </row>
    <row r="30" spans="1:2">
      <c r="A30" s="212" t="s">
        <v>367</v>
      </c>
      <c r="B30" s="174">
        <v>7.2</v>
      </c>
    </row>
    <row r="31" spans="1:2">
      <c r="A31" s="252" t="s">
        <v>345</v>
      </c>
      <c r="B31" s="174">
        <v>169.1</v>
      </c>
    </row>
    <row r="35" spans="1:17">
      <c r="B35" s="1" t="str">
        <f>'Data for charts 09-24'!B209</f>
        <v>2009-10</v>
      </c>
      <c r="C35" s="1" t="str">
        <f>'Data for charts 09-24'!C209</f>
        <v>2010-11</v>
      </c>
      <c r="D35" s="1" t="str">
        <f>'Data for charts 09-24'!D209</f>
        <v>2011-12</v>
      </c>
      <c r="E35" s="1" t="str">
        <f>'Data for charts 09-24'!E209</f>
        <v>2012-13</v>
      </c>
      <c r="F35" s="1" t="str">
        <f>'Data for charts 09-24'!F209</f>
        <v>2013-14</v>
      </c>
      <c r="G35" s="1" t="str">
        <f>'Data for charts 09-24'!G209</f>
        <v>2014-15</v>
      </c>
      <c r="H35" s="1" t="str">
        <f>'Data for charts 09-24'!H209</f>
        <v>2015-16</v>
      </c>
      <c r="I35" s="1" t="str">
        <f>'Data for charts 09-24'!I209</f>
        <v>2016-17</v>
      </c>
      <c r="J35" s="1" t="str">
        <f>'Data for charts 09-24'!J209</f>
        <v>2017-18</v>
      </c>
      <c r="K35" s="1" t="str">
        <f>'Data for charts 09-24'!K209</f>
        <v>2018-19</v>
      </c>
      <c r="L35" s="1" t="str">
        <f>'Data for charts 09-24'!L209</f>
        <v>2019-20</v>
      </c>
      <c r="M35" s="1" t="str">
        <f>'Data for charts 09-24'!M209</f>
        <v>2020-21</v>
      </c>
      <c r="N35" s="1" t="str">
        <f>'Data for charts 09-24'!N209</f>
        <v>2021-22</v>
      </c>
      <c r="O35" s="1" t="str">
        <f>'Data for charts 09-24'!O209</f>
        <v>2022-23</v>
      </c>
      <c r="P35" s="1" t="str">
        <f>'Data for charts 09-24'!P209</f>
        <v>2023-24</v>
      </c>
    </row>
    <row r="36" spans="1:17">
      <c r="A36" s="1" t="str">
        <f>'Data for charts 09-24'!A211</f>
        <v>Initial position</v>
      </c>
      <c r="C36" s="1">
        <v>27.6</v>
      </c>
      <c r="D36" s="1">
        <v>29.6</v>
      </c>
      <c r="E36" s="1">
        <v>33.1</v>
      </c>
      <c r="F36" s="1">
        <v>36</v>
      </c>
      <c r="G36" s="1">
        <v>39</v>
      </c>
      <c r="H36" s="1">
        <v>48.5</v>
      </c>
      <c r="I36" s="1">
        <v>64.400000000000006</v>
      </c>
      <c r="J36" s="1">
        <v>69.400000000000006</v>
      </c>
      <c r="K36" s="1">
        <v>70</v>
      </c>
      <c r="L36" s="1">
        <v>76.899999999999991</v>
      </c>
      <c r="M36" s="1">
        <v>79.099999999999994</v>
      </c>
      <c r="N36" s="1">
        <v>87.8</v>
      </c>
      <c r="O36" s="1">
        <v>111.60000000000001</v>
      </c>
      <c r="P36" s="1">
        <v>154.5</v>
      </c>
    </row>
    <row r="37" spans="1:17">
      <c r="A37" s="1" t="s">
        <v>363</v>
      </c>
      <c r="E37" s="1">
        <v>2</v>
      </c>
      <c r="F37" s="1">
        <v>2.2999999999999998</v>
      </c>
      <c r="G37" s="1">
        <v>7.3</v>
      </c>
      <c r="H37" s="1">
        <v>10.199999999999999</v>
      </c>
      <c r="I37" s="1">
        <v>5.6</v>
      </c>
      <c r="J37" s="1">
        <v>3.2</v>
      </c>
      <c r="K37" s="1">
        <v>17</v>
      </c>
      <c r="L37" s="1">
        <v>18.899999999999999</v>
      </c>
      <c r="M37" s="1">
        <v>20.9</v>
      </c>
      <c r="N37" s="1">
        <v>22</v>
      </c>
      <c r="O37" s="1">
        <v>22.2</v>
      </c>
      <c r="P37" s="1">
        <v>22.3</v>
      </c>
      <c r="Q37" s="1">
        <f>SUM(G37:P37)</f>
        <v>149.6</v>
      </c>
    </row>
    <row r="38" spans="1:17">
      <c r="A38" s="1" t="s">
        <v>364</v>
      </c>
      <c r="G38" s="1">
        <v>-2</v>
      </c>
      <c r="H38" s="1">
        <v>-2.1</v>
      </c>
      <c r="I38" s="1">
        <v>-2.6</v>
      </c>
      <c r="J38" s="1">
        <v>-2.6</v>
      </c>
      <c r="K38" s="1">
        <v>-2</v>
      </c>
      <c r="L38" s="1">
        <v>-2.4</v>
      </c>
      <c r="M38" s="1">
        <v>-2.9</v>
      </c>
      <c r="N38" s="1">
        <v>-3.5</v>
      </c>
      <c r="O38" s="1">
        <v>-4.3</v>
      </c>
      <c r="P38" s="1">
        <v>-4.9000000000000004</v>
      </c>
      <c r="Q38" s="1">
        <f t="shared" ref="Q38:Q41" si="0">SUM(G38:P38)</f>
        <v>-29.299999999999997</v>
      </c>
    </row>
    <row r="39" spans="1:17">
      <c r="A39" s="1" t="s">
        <v>368</v>
      </c>
      <c r="E39" s="1">
        <v>1</v>
      </c>
      <c r="F39" s="1">
        <v>1.4</v>
      </c>
      <c r="G39" s="1">
        <v>1.9</v>
      </c>
      <c r="H39" s="1">
        <v>1.2</v>
      </c>
      <c r="I39" s="1">
        <v>2</v>
      </c>
      <c r="J39" s="1">
        <v>2.7</v>
      </c>
      <c r="K39" s="1">
        <v>-4.9000000000000004</v>
      </c>
      <c r="L39" s="1">
        <v>-14.3</v>
      </c>
      <c r="M39" s="1">
        <v>-9.1999999999999993</v>
      </c>
      <c r="N39" s="1">
        <v>5.3</v>
      </c>
      <c r="O39" s="1">
        <v>24.4</v>
      </c>
      <c r="P39" s="1">
        <v>-2.9</v>
      </c>
      <c r="Q39" s="1">
        <f t="shared" si="0"/>
        <v>6.1999999999999975</v>
      </c>
    </row>
    <row r="40" spans="1:17">
      <c r="A40" s="1" t="s">
        <v>366</v>
      </c>
      <c r="F40" s="1">
        <v>-4.2</v>
      </c>
      <c r="G40" s="1">
        <v>2.5</v>
      </c>
      <c r="H40" s="1">
        <v>-0.6</v>
      </c>
      <c r="I40" s="1">
        <v>0</v>
      </c>
      <c r="J40" s="1">
        <v>-2.7</v>
      </c>
      <c r="K40" s="1">
        <v>-3.2</v>
      </c>
      <c r="L40" s="1">
        <v>0</v>
      </c>
      <c r="M40" s="1">
        <v>-0.1</v>
      </c>
      <c r="N40" s="1">
        <v>0</v>
      </c>
      <c r="O40" s="1">
        <v>0.6</v>
      </c>
      <c r="P40" s="1">
        <v>0.1</v>
      </c>
      <c r="Q40" s="1">
        <f t="shared" si="0"/>
        <v>-3.3999999999999995</v>
      </c>
    </row>
    <row r="41" spans="1:17">
      <c r="A41" s="1" t="s">
        <v>369</v>
      </c>
      <c r="H41" s="1">
        <v>7.2</v>
      </c>
      <c r="Q41" s="1">
        <f t="shared" si="0"/>
        <v>7.2</v>
      </c>
    </row>
    <row r="42" spans="1:17">
      <c r="A42" s="109" t="s">
        <v>370</v>
      </c>
      <c r="B42" s="1">
        <v>27.6</v>
      </c>
      <c r="C42" s="1">
        <v>29.6</v>
      </c>
      <c r="D42" s="1">
        <v>33.1</v>
      </c>
      <c r="E42" s="1">
        <v>36</v>
      </c>
      <c r="F42" s="1">
        <v>39</v>
      </c>
      <c r="G42" s="1">
        <v>48.5</v>
      </c>
      <c r="H42" s="1">
        <v>64.400000000000006</v>
      </c>
      <c r="I42" s="1">
        <v>69.400000000000006</v>
      </c>
      <c r="J42" s="1">
        <v>70</v>
      </c>
      <c r="K42" s="1">
        <v>76.899999999999991</v>
      </c>
      <c r="L42" s="1">
        <v>79.099999999999994</v>
      </c>
      <c r="M42" s="1">
        <v>87.8</v>
      </c>
      <c r="N42" s="1">
        <v>111.60000000000001</v>
      </c>
      <c r="O42" s="1">
        <v>154.5</v>
      </c>
      <c r="P42" s="1">
        <v>169.1</v>
      </c>
    </row>
    <row r="44" spans="1:17">
      <c r="A44" s="1">
        <v>26.1</v>
      </c>
      <c r="B44" s="1">
        <v>27.8</v>
      </c>
      <c r="C44" s="1">
        <v>31.3</v>
      </c>
      <c r="D44" s="1">
        <v>34</v>
      </c>
      <c r="E44" s="1">
        <v>36.700000000000003</v>
      </c>
      <c r="F44" s="1">
        <v>46.2</v>
      </c>
      <c r="G44" s="1">
        <v>62</v>
      </c>
      <c r="H44" s="1">
        <v>66.7</v>
      </c>
      <c r="I44" s="1">
        <v>67.400000000000006</v>
      </c>
      <c r="J44" s="1">
        <v>74.3</v>
      </c>
      <c r="K44" s="1">
        <v>76.5</v>
      </c>
      <c r="L44" s="1">
        <v>84.7</v>
      </c>
      <c r="M44" s="1">
        <v>107.7</v>
      </c>
      <c r="N44" s="1">
        <v>150.19999999999999</v>
      </c>
      <c r="O44" s="1">
        <v>164.6</v>
      </c>
    </row>
    <row r="45" spans="1:17">
      <c r="A45" s="1">
        <v>1.5</v>
      </c>
      <c r="B45" s="1">
        <v>1.8</v>
      </c>
      <c r="C45" s="1">
        <v>1.8</v>
      </c>
      <c r="D45" s="1">
        <v>2</v>
      </c>
      <c r="E45" s="1">
        <v>2.2999999999999998</v>
      </c>
      <c r="F45" s="1">
        <v>2.2999999999999998</v>
      </c>
      <c r="G45" s="1">
        <v>2.4</v>
      </c>
      <c r="H45" s="1">
        <v>2.7</v>
      </c>
      <c r="I45" s="1">
        <v>2.6</v>
      </c>
      <c r="J45" s="1">
        <v>2.6</v>
      </c>
      <c r="K45" s="1">
        <v>2.6</v>
      </c>
      <c r="L45" s="1">
        <v>3.1</v>
      </c>
      <c r="M45" s="1">
        <v>3.9</v>
      </c>
      <c r="N45" s="1">
        <v>4.3</v>
      </c>
      <c r="O45" s="1">
        <v>4.5</v>
      </c>
    </row>
    <row r="46" spans="1:17">
      <c r="A46" s="1">
        <f>SUM(A44:A45)</f>
        <v>27.6</v>
      </c>
      <c r="B46" s="1">
        <f t="shared" ref="B46:O46" si="1">SUM(B44:B45)</f>
        <v>29.6</v>
      </c>
      <c r="C46" s="1">
        <f t="shared" si="1"/>
        <v>33.1</v>
      </c>
      <c r="D46" s="1">
        <f t="shared" si="1"/>
        <v>36</v>
      </c>
      <c r="E46" s="1">
        <f t="shared" si="1"/>
        <v>39</v>
      </c>
      <c r="F46" s="1">
        <f t="shared" si="1"/>
        <v>48.5</v>
      </c>
      <c r="G46" s="1">
        <f t="shared" si="1"/>
        <v>64.400000000000006</v>
      </c>
      <c r="H46" s="1">
        <f t="shared" si="1"/>
        <v>69.400000000000006</v>
      </c>
      <c r="I46" s="1">
        <f t="shared" si="1"/>
        <v>70</v>
      </c>
      <c r="J46" s="1">
        <f t="shared" si="1"/>
        <v>76.899999999999991</v>
      </c>
      <c r="K46" s="1">
        <f t="shared" si="1"/>
        <v>79.099999999999994</v>
      </c>
      <c r="L46" s="1">
        <f t="shared" si="1"/>
        <v>87.8</v>
      </c>
      <c r="M46" s="1">
        <f t="shared" si="1"/>
        <v>111.60000000000001</v>
      </c>
      <c r="N46" s="1">
        <f t="shared" si="1"/>
        <v>154.5</v>
      </c>
      <c r="O46" s="1">
        <f t="shared" si="1"/>
        <v>169.1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AE755-DE9A-41FB-9399-9935095668DA}">
  <dimension ref="A1:P31"/>
  <sheetViews>
    <sheetView workbookViewId="0">
      <selection activeCell="A35" sqref="A35"/>
    </sheetView>
  </sheetViews>
  <sheetFormatPr defaultRowHeight="12.5"/>
  <cols>
    <col min="1" max="1" width="32.33203125" style="1" bestFit="1" customWidth="1"/>
    <col min="2" max="16384" width="8.6640625" style="1"/>
  </cols>
  <sheetData>
    <row r="1" spans="1:1" ht="13">
      <c r="A1" s="244" t="s">
        <v>598</v>
      </c>
    </row>
    <row r="28" spans="1:16">
      <c r="B28" s="1" t="s">
        <v>1</v>
      </c>
      <c r="C28" s="1" t="s">
        <v>2</v>
      </c>
      <c r="D28" s="1" t="s">
        <v>3</v>
      </c>
      <c r="E28" s="1" t="s">
        <v>4</v>
      </c>
      <c r="F28" s="1" t="s">
        <v>5</v>
      </c>
      <c r="G28" s="1" t="s">
        <v>6</v>
      </c>
      <c r="H28" s="1" t="s">
        <v>7</v>
      </c>
      <c r="I28" s="1" t="s">
        <v>8</v>
      </c>
      <c r="J28" s="1" t="s">
        <v>9</v>
      </c>
      <c r="K28" s="1" t="s">
        <v>10</v>
      </c>
      <c r="L28" s="1" t="s">
        <v>11</v>
      </c>
      <c r="M28" s="1" t="s">
        <v>12</v>
      </c>
      <c r="N28" s="1" t="s">
        <v>13</v>
      </c>
      <c r="O28" s="1" t="s">
        <v>14</v>
      </c>
      <c r="P28" s="1" t="s">
        <v>15</v>
      </c>
    </row>
    <row r="29" spans="1:16">
      <c r="A29" s="1" t="s">
        <v>399</v>
      </c>
      <c r="C29" s="19">
        <v>47.4</v>
      </c>
      <c r="D29" s="19">
        <v>46.4</v>
      </c>
      <c r="E29" s="19">
        <v>44.8</v>
      </c>
      <c r="F29" s="19">
        <v>37.1</v>
      </c>
      <c r="G29" s="19">
        <v>56.230196999999997</v>
      </c>
      <c r="H29" s="19">
        <v>54.8</v>
      </c>
      <c r="I29" s="19">
        <v>53.800000000000004</v>
      </c>
      <c r="J29" s="19">
        <v>54.4</v>
      </c>
      <c r="K29" s="19">
        <v>74.3</v>
      </c>
      <c r="L29" s="19">
        <v>71.099999999999994</v>
      </c>
      <c r="M29" s="19">
        <v>67.8</v>
      </c>
      <c r="N29" s="19">
        <v>58.3</v>
      </c>
      <c r="O29" s="19">
        <v>76.099999999999994</v>
      </c>
      <c r="P29" s="19">
        <v>76.099999999999994</v>
      </c>
    </row>
    <row r="30" spans="1:16">
      <c r="A30" s="1" t="s">
        <v>400</v>
      </c>
      <c r="B30" s="1">
        <v>6.8</v>
      </c>
      <c r="C30" s="1">
        <v>10.5</v>
      </c>
      <c r="D30" s="1">
        <v>11</v>
      </c>
      <c r="E30" s="1">
        <v>13.6</v>
      </c>
      <c r="F30" s="1">
        <v>8.5</v>
      </c>
      <c r="G30" s="1">
        <v>18.600000000000001</v>
      </c>
      <c r="H30" s="1">
        <v>21.8</v>
      </c>
      <c r="I30" s="1">
        <v>20.399999999999999</v>
      </c>
      <c r="J30" s="1">
        <v>18.8</v>
      </c>
      <c r="K30" s="1">
        <v>32</v>
      </c>
      <c r="L30" s="1">
        <v>29.7</v>
      </c>
      <c r="M30" s="1">
        <v>10.9</v>
      </c>
      <c r="N30" s="1">
        <v>11</v>
      </c>
      <c r="O30" s="1">
        <v>16.2</v>
      </c>
      <c r="P30" s="1">
        <v>17.399999999999999</v>
      </c>
    </row>
    <row r="31" spans="1:16">
      <c r="A31" s="1" t="s">
        <v>31</v>
      </c>
      <c r="B31" s="1">
        <f>HLOOKUP(B28,'Data for charts 09-24'!A23:P41,19,FALSE)</f>
        <v>2651.2999999999997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0AD66-C1FA-484E-A0F4-934EF7E64210}">
  <dimension ref="A1:P31"/>
  <sheetViews>
    <sheetView workbookViewId="0">
      <selection activeCell="K22" sqref="K22"/>
    </sheetView>
  </sheetViews>
  <sheetFormatPr defaultRowHeight="12.5"/>
  <cols>
    <col min="1" max="1" width="32.33203125" style="1" bestFit="1" customWidth="1"/>
    <col min="2" max="16384" width="8.6640625" style="1"/>
  </cols>
  <sheetData>
    <row r="1" spans="1:1" ht="13">
      <c r="A1" s="244" t="s">
        <v>599</v>
      </c>
    </row>
    <row r="28" spans="1:16">
      <c r="B28" s="1" t="s">
        <v>15</v>
      </c>
      <c r="C28" s="1" t="s">
        <v>14</v>
      </c>
      <c r="D28" s="1" t="s">
        <v>13</v>
      </c>
      <c r="E28" s="1" t="s">
        <v>12</v>
      </c>
      <c r="F28" s="1" t="s">
        <v>11</v>
      </c>
      <c r="G28" s="1" t="s">
        <v>10</v>
      </c>
      <c r="H28" s="1" t="s">
        <v>9</v>
      </c>
      <c r="I28" s="1" t="s">
        <v>8</v>
      </c>
      <c r="J28" s="1" t="s">
        <v>7</v>
      </c>
      <c r="K28" s="1" t="s">
        <v>6</v>
      </c>
      <c r="L28" s="1" t="s">
        <v>5</v>
      </c>
      <c r="M28" s="1" t="s">
        <v>4</v>
      </c>
      <c r="N28" s="1" t="s">
        <v>3</v>
      </c>
      <c r="O28" s="1" t="s">
        <v>2</v>
      </c>
      <c r="P28" s="1" t="s">
        <v>1</v>
      </c>
    </row>
    <row r="29" spans="1:16" ht="13" thickBot="1">
      <c r="A29" s="58" t="s">
        <v>397</v>
      </c>
      <c r="B29" s="196">
        <v>17.399999999999999</v>
      </c>
      <c r="C29" s="196">
        <v>16.2</v>
      </c>
      <c r="D29" s="196">
        <v>11</v>
      </c>
      <c r="E29" s="196">
        <v>10.9</v>
      </c>
      <c r="F29" s="196">
        <v>29.7</v>
      </c>
      <c r="G29" s="196">
        <v>32</v>
      </c>
      <c r="H29" s="196">
        <v>18.8</v>
      </c>
      <c r="I29" s="196">
        <v>20.399999999999999</v>
      </c>
      <c r="J29" s="196">
        <v>21.8</v>
      </c>
      <c r="K29" s="196">
        <v>18.600000000000001</v>
      </c>
      <c r="L29" s="196">
        <v>8.5</v>
      </c>
      <c r="M29" s="196">
        <v>13.6</v>
      </c>
      <c r="N29" s="196">
        <v>11</v>
      </c>
      <c r="O29" s="196">
        <v>10.5</v>
      </c>
      <c r="P29" s="1">
        <v>6.8</v>
      </c>
    </row>
    <row r="30" spans="1:16">
      <c r="A30" s="58" t="s">
        <v>398</v>
      </c>
      <c r="B30" s="20">
        <v>16</v>
      </c>
      <c r="C30" s="20">
        <v>17.3</v>
      </c>
      <c r="D30" s="20">
        <v>9.3000000000000007</v>
      </c>
      <c r="E30" s="20">
        <v>13.4</v>
      </c>
      <c r="F30" s="20">
        <v>13.3</v>
      </c>
      <c r="G30" s="20">
        <v>12.2</v>
      </c>
      <c r="H30" s="20">
        <v>4.4000000000000004</v>
      </c>
      <c r="I30" s="20">
        <v>0.9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</row>
    <row r="31" spans="1:16">
      <c r="A31" s="1" t="s">
        <v>80</v>
      </c>
      <c r="B31" s="25">
        <f t="shared" ref="B31:O31" si="0">SUM(B29:B30)</f>
        <v>33.4</v>
      </c>
      <c r="C31" s="25">
        <f t="shared" si="0"/>
        <v>33.5</v>
      </c>
      <c r="D31" s="25">
        <f t="shared" si="0"/>
        <v>20.3</v>
      </c>
      <c r="E31" s="25">
        <f t="shared" si="0"/>
        <v>24.3</v>
      </c>
      <c r="F31" s="25">
        <f t="shared" si="0"/>
        <v>43</v>
      </c>
      <c r="G31" s="25">
        <f t="shared" si="0"/>
        <v>44.2</v>
      </c>
      <c r="H31" s="25">
        <f t="shared" si="0"/>
        <v>23.200000000000003</v>
      </c>
      <c r="I31" s="25">
        <f t="shared" si="0"/>
        <v>21.299999999999997</v>
      </c>
      <c r="J31" s="25">
        <f t="shared" si="0"/>
        <v>21.8</v>
      </c>
      <c r="K31" s="25">
        <f t="shared" si="0"/>
        <v>18.600000000000001</v>
      </c>
      <c r="L31" s="25">
        <f t="shared" si="0"/>
        <v>8.5</v>
      </c>
      <c r="M31" s="25">
        <f t="shared" si="0"/>
        <v>13.6</v>
      </c>
      <c r="N31" s="25">
        <f t="shared" si="0"/>
        <v>11</v>
      </c>
      <c r="O31" s="25">
        <f t="shared" si="0"/>
        <v>10.5</v>
      </c>
      <c r="P31" s="25">
        <f>SUM(P29:P30)</f>
        <v>6.8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74FC8-F2AC-4A19-893A-31DB00824B06}">
  <dimension ref="A2"/>
  <sheetViews>
    <sheetView tabSelected="1" workbookViewId="0">
      <selection activeCell="A4" sqref="A4"/>
    </sheetView>
  </sheetViews>
  <sheetFormatPr defaultRowHeight="12.5"/>
  <cols>
    <col min="1" max="1" width="102" style="1" customWidth="1"/>
    <col min="2" max="16384" width="8.6640625" style="1"/>
  </cols>
  <sheetData>
    <row r="2" spans="1:1" ht="26">
      <c r="A2" s="28" t="s">
        <v>632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62EBB-AE73-4FC7-B742-6843D504D7AB}">
  <dimension ref="A1:P29"/>
  <sheetViews>
    <sheetView workbookViewId="0">
      <selection activeCell="L19" sqref="L19"/>
    </sheetView>
  </sheetViews>
  <sheetFormatPr defaultRowHeight="12.5"/>
  <cols>
    <col min="1" max="1" width="32.33203125" style="1" bestFit="1" customWidth="1"/>
    <col min="2" max="16384" width="8.6640625" style="1"/>
  </cols>
  <sheetData>
    <row r="1" spans="1:1" ht="13">
      <c r="A1" s="244" t="s">
        <v>600</v>
      </c>
    </row>
    <row r="28" spans="1:16">
      <c r="B28" s="1" t="s">
        <v>15</v>
      </c>
      <c r="C28" s="1" t="s">
        <v>14</v>
      </c>
      <c r="D28" s="1" t="s">
        <v>13</v>
      </c>
      <c r="E28" s="1" t="s">
        <v>12</v>
      </c>
      <c r="F28" s="1" t="s">
        <v>11</v>
      </c>
      <c r="G28" s="1" t="s">
        <v>10</v>
      </c>
      <c r="H28" s="1" t="s">
        <v>9</v>
      </c>
      <c r="I28" s="1" t="s">
        <v>8</v>
      </c>
      <c r="J28" s="1" t="s">
        <v>7</v>
      </c>
      <c r="K28" s="1" t="s">
        <v>6</v>
      </c>
      <c r="L28" s="1" t="s">
        <v>5</v>
      </c>
      <c r="M28" s="1" t="s">
        <v>4</v>
      </c>
      <c r="N28" s="1" t="s">
        <v>3</v>
      </c>
      <c r="O28" s="1" t="s">
        <v>2</v>
      </c>
      <c r="P28" s="1" t="s">
        <v>1</v>
      </c>
    </row>
    <row r="29" spans="1:16">
      <c r="A29" s="1" t="s">
        <v>396</v>
      </c>
      <c r="B29" s="1">
        <f>'Data for charts 09-24'!B29</f>
        <v>36.299999999999997</v>
      </c>
      <c r="C29" s="1">
        <f>'Data for charts 09-24'!C29</f>
        <v>34.799999999999997</v>
      </c>
      <c r="D29" s="1">
        <f>'Data for charts 09-24'!D29</f>
        <v>35.200000000000003</v>
      </c>
      <c r="E29" s="1">
        <f>'Data for charts 09-24'!E29</f>
        <v>34.5</v>
      </c>
      <c r="F29" s="1">
        <f>'Data for charts 09-24'!F29</f>
        <v>31.9</v>
      </c>
      <c r="G29" s="1">
        <f>'Data for charts 09-24'!G29</f>
        <v>32.4</v>
      </c>
      <c r="H29" s="1">
        <f>'Data for charts 09-24'!H29</f>
        <v>33</v>
      </c>
      <c r="I29" s="1">
        <f>'Data for charts 09-24'!I29</f>
        <v>34.5</v>
      </c>
      <c r="J29" s="1">
        <f>'Data for charts 09-24'!J29</f>
        <v>36</v>
      </c>
      <c r="K29" s="1">
        <f>'Data for charts 09-24'!K29</f>
        <v>37.4</v>
      </c>
      <c r="L29" s="1">
        <f>'Data for charts 09-24'!L29</f>
        <v>40.200000000000003</v>
      </c>
      <c r="M29" s="1">
        <f>'Data for charts 09-24'!M29</f>
        <v>41</v>
      </c>
      <c r="N29" s="1">
        <f>'Data for charts 09-24'!N29</f>
        <v>43.7</v>
      </c>
      <c r="O29" s="1">
        <f>'Data for charts 09-24'!O29</f>
        <v>47.9</v>
      </c>
      <c r="P29" s="1">
        <f>'Data for charts 09-24'!P29</f>
        <v>52.1</v>
      </c>
    </row>
  </sheetData>
  <phoneticPr fontId="167" type="noConversion"/>
  <pageMargins left="0.7" right="0.7" top="0.75" bottom="0.75" header="0.3" footer="0.3"/>
  <pageSetup paperSize="9" orientation="portrait" horizontalDpi="30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26205-5B01-4E6E-B82C-7185B46E95E1}">
  <dimension ref="A1:P33"/>
  <sheetViews>
    <sheetView showGridLines="0" topLeftCell="A4" workbookViewId="0">
      <selection activeCell="D37" sqref="D37"/>
    </sheetView>
  </sheetViews>
  <sheetFormatPr defaultRowHeight="12.5"/>
  <cols>
    <col min="1" max="1" width="43.08203125" style="1" customWidth="1"/>
    <col min="2" max="16384" width="8.6640625" style="1"/>
  </cols>
  <sheetData>
    <row r="1" spans="1:1" ht="13">
      <c r="A1" s="27" t="s">
        <v>372</v>
      </c>
    </row>
    <row r="2" spans="1:1" ht="13">
      <c r="A2" s="27" t="s">
        <v>373</v>
      </c>
    </row>
    <row r="4" spans="1:1" ht="13">
      <c r="A4" s="26" t="s">
        <v>601</v>
      </c>
    </row>
    <row r="27" spans="1:16" ht="13.5" thickBot="1">
      <c r="A27" s="26" t="s">
        <v>374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</row>
    <row r="28" spans="1:16" ht="15.65" customHeight="1">
      <c r="B28" s="33" t="s">
        <v>15</v>
      </c>
      <c r="C28" s="33" t="s">
        <v>14</v>
      </c>
      <c r="D28" s="33" t="s">
        <v>13</v>
      </c>
      <c r="E28" s="33" t="s">
        <v>12</v>
      </c>
      <c r="F28" s="33" t="s">
        <v>11</v>
      </c>
      <c r="G28" s="33" t="s">
        <v>10</v>
      </c>
      <c r="H28" s="33" t="s">
        <v>9</v>
      </c>
      <c r="I28" s="33" t="s">
        <v>8</v>
      </c>
      <c r="J28" s="33" t="s">
        <v>7</v>
      </c>
      <c r="K28" s="33" t="s">
        <v>6</v>
      </c>
      <c r="L28" s="33" t="s">
        <v>5</v>
      </c>
      <c r="M28" s="33" t="s">
        <v>4</v>
      </c>
      <c r="N28" s="33" t="s">
        <v>3</v>
      </c>
      <c r="O28" s="33" t="s">
        <v>2</v>
      </c>
      <c r="P28" s="33" t="s">
        <v>1</v>
      </c>
    </row>
    <row r="29" spans="1:16">
      <c r="A29" s="58" t="s">
        <v>375</v>
      </c>
      <c r="B29" s="24">
        <v>6.6</v>
      </c>
      <c r="C29" s="24">
        <v>6.9</v>
      </c>
      <c r="D29" s="24">
        <v>6.3</v>
      </c>
      <c r="E29" s="24">
        <v>7.7</v>
      </c>
      <c r="F29" s="24">
        <v>12.2</v>
      </c>
      <c r="G29" s="24">
        <v>12.6</v>
      </c>
      <c r="H29" s="24">
        <f>15.4-3.5</f>
        <v>11.9</v>
      </c>
      <c r="I29" s="24">
        <f>14.9-3.2</f>
        <v>11.7</v>
      </c>
      <c r="J29" s="24">
        <f>18.5-3.8</f>
        <v>14.7</v>
      </c>
      <c r="K29" s="24">
        <f>29.3-2.3</f>
        <v>27</v>
      </c>
      <c r="L29" s="24">
        <f>19.9-4.4</f>
        <v>15.499999999999998</v>
      </c>
      <c r="M29" s="24">
        <f>18-8.2</f>
        <v>9.8000000000000007</v>
      </c>
      <c r="N29" s="24">
        <f>22.5-5</f>
        <v>17.5</v>
      </c>
      <c r="O29" s="24">
        <f>22.5-5.1</f>
        <v>17.399999999999999</v>
      </c>
      <c r="P29" s="24">
        <f>22.4-4.1</f>
        <v>18.299999999999997</v>
      </c>
    </row>
    <row r="30" spans="1:16">
      <c r="A30" s="58" t="s">
        <v>376</v>
      </c>
      <c r="B30" s="24">
        <v>13.1</v>
      </c>
      <c r="C30" s="24">
        <v>15.6</v>
      </c>
      <c r="D30" s="24">
        <v>15.2</v>
      </c>
      <c r="E30" s="24">
        <v>12.1</v>
      </c>
      <c r="F30" s="24">
        <v>13.3</v>
      </c>
      <c r="G30" s="24">
        <v>14.2</v>
      </c>
      <c r="H30" s="24">
        <v>13.9</v>
      </c>
      <c r="I30" s="24">
        <v>16.600000000000001</v>
      </c>
      <c r="J30" s="24">
        <v>19.600000000000001</v>
      </c>
      <c r="K30" s="24">
        <v>17.2</v>
      </c>
      <c r="L30" s="24">
        <v>22.1</v>
      </c>
      <c r="M30" s="24">
        <v>29.8</v>
      </c>
      <c r="N30" s="24">
        <v>26.4</v>
      </c>
      <c r="O30" s="24">
        <v>26.4</v>
      </c>
      <c r="P30" s="24">
        <v>21.2</v>
      </c>
    </row>
    <row r="31" spans="1:16" ht="13">
      <c r="B31" s="222">
        <f t="shared" ref="B31:P31" si="0">SUM(B29:B30)</f>
        <v>19.7</v>
      </c>
      <c r="C31" s="222">
        <f t="shared" si="0"/>
        <v>22.5</v>
      </c>
      <c r="D31" s="222">
        <f t="shared" si="0"/>
        <v>21.5</v>
      </c>
      <c r="E31" s="222">
        <f t="shared" si="0"/>
        <v>19.8</v>
      </c>
      <c r="F31" s="222">
        <f t="shared" si="0"/>
        <v>25.5</v>
      </c>
      <c r="G31" s="222">
        <f t="shared" si="0"/>
        <v>26.799999999999997</v>
      </c>
      <c r="H31" s="222">
        <f t="shared" si="0"/>
        <v>25.8</v>
      </c>
      <c r="I31" s="222">
        <f t="shared" si="0"/>
        <v>28.3</v>
      </c>
      <c r="J31" s="222">
        <f t="shared" si="0"/>
        <v>34.299999999999997</v>
      </c>
      <c r="K31" s="222">
        <f t="shared" si="0"/>
        <v>44.2</v>
      </c>
      <c r="L31" s="222">
        <f t="shared" si="0"/>
        <v>37.6</v>
      </c>
      <c r="M31" s="222">
        <f t="shared" si="0"/>
        <v>39.6</v>
      </c>
      <c r="N31" s="222">
        <f t="shared" si="0"/>
        <v>43.9</v>
      </c>
      <c r="O31" s="222">
        <f t="shared" si="0"/>
        <v>43.8</v>
      </c>
      <c r="P31" s="222">
        <f t="shared" si="0"/>
        <v>39.5</v>
      </c>
    </row>
    <row r="32" spans="1:16">
      <c r="A32" s="58"/>
    </row>
    <row r="33" spans="1:16">
      <c r="A33" s="1" t="s">
        <v>377</v>
      </c>
      <c r="B33" s="94">
        <f>B29/B31</f>
        <v>0.3350253807106599</v>
      </c>
      <c r="C33" s="94">
        <f t="shared" ref="C33:P33" si="1">C29/C31</f>
        <v>0.3066666666666667</v>
      </c>
      <c r="D33" s="94">
        <f t="shared" si="1"/>
        <v>0.2930232558139535</v>
      </c>
      <c r="E33" s="94">
        <f t="shared" si="1"/>
        <v>0.3888888888888889</v>
      </c>
      <c r="F33" s="94">
        <f t="shared" si="1"/>
        <v>0.47843137254901957</v>
      </c>
      <c r="G33" s="94">
        <f t="shared" si="1"/>
        <v>0.47014925373134331</v>
      </c>
      <c r="H33" s="94">
        <f t="shared" si="1"/>
        <v>0.46124031007751937</v>
      </c>
      <c r="I33" s="94">
        <f t="shared" si="1"/>
        <v>0.41342756183745577</v>
      </c>
      <c r="J33" s="94">
        <f t="shared" si="1"/>
        <v>0.4285714285714286</v>
      </c>
      <c r="K33" s="94">
        <f t="shared" si="1"/>
        <v>0.61085972850678727</v>
      </c>
      <c r="L33" s="94">
        <f t="shared" si="1"/>
        <v>0.4122340425531914</v>
      </c>
      <c r="M33" s="94">
        <f t="shared" si="1"/>
        <v>0.24747474747474749</v>
      </c>
      <c r="N33" s="94">
        <f t="shared" si="1"/>
        <v>0.39863325740318906</v>
      </c>
      <c r="O33" s="94">
        <f t="shared" si="1"/>
        <v>0.39726027397260272</v>
      </c>
      <c r="P33" s="94">
        <f t="shared" si="1"/>
        <v>0.46329113924050624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F589-812F-4523-B3AC-FE037968EC8A}">
  <dimension ref="A1:P55"/>
  <sheetViews>
    <sheetView workbookViewId="0">
      <selection activeCell="K23" sqref="K23"/>
    </sheetView>
  </sheetViews>
  <sheetFormatPr defaultRowHeight="12.5"/>
  <cols>
    <col min="1" max="1" width="48.58203125" style="1" customWidth="1"/>
    <col min="2" max="16384" width="8.6640625" style="1"/>
  </cols>
  <sheetData>
    <row r="1" spans="1:10" ht="13">
      <c r="A1" s="200" t="s">
        <v>603</v>
      </c>
    </row>
    <row r="14" spans="1:10">
      <c r="J14" s="1" t="s">
        <v>371</v>
      </c>
    </row>
    <row r="30" spans="1:16" ht="13" thickBot="1">
      <c r="A30" s="1" t="s">
        <v>602</v>
      </c>
    </row>
    <row r="31" spans="1:16" ht="13">
      <c r="A31" s="32"/>
      <c r="B31" s="33" t="s">
        <v>15</v>
      </c>
      <c r="C31" s="33" t="s">
        <v>14</v>
      </c>
      <c r="D31" s="33" t="s">
        <v>13</v>
      </c>
      <c r="E31" s="33" t="s">
        <v>12</v>
      </c>
      <c r="F31" s="33" t="s">
        <v>11</v>
      </c>
      <c r="G31" s="33" t="s">
        <v>10</v>
      </c>
      <c r="H31" s="33" t="s">
        <v>9</v>
      </c>
      <c r="I31" s="33" t="s">
        <v>8</v>
      </c>
      <c r="J31" s="33" t="s">
        <v>7</v>
      </c>
      <c r="K31" s="33" t="s">
        <v>6</v>
      </c>
      <c r="L31" s="33" t="s">
        <v>5</v>
      </c>
      <c r="M31" s="33" t="s">
        <v>4</v>
      </c>
      <c r="N31" s="33" t="s">
        <v>3</v>
      </c>
      <c r="O31" s="33" t="s">
        <v>2</v>
      </c>
      <c r="P31" s="33" t="s">
        <v>1</v>
      </c>
    </row>
    <row r="32" spans="1:16">
      <c r="A32" s="38" t="s">
        <v>34</v>
      </c>
      <c r="B32" s="24">
        <f t="shared" ref="B32:P36" si="0">ABS(SUMIFS(B$43:B$55,$A$43:$A$55,$A32))</f>
        <v>177.1</v>
      </c>
      <c r="C32" s="24">
        <f t="shared" si="0"/>
        <v>148.39999999999998</v>
      </c>
      <c r="D32" s="24">
        <f t="shared" si="0"/>
        <v>158.9</v>
      </c>
      <c r="E32" s="24">
        <f t="shared" si="0"/>
        <v>153.5</v>
      </c>
      <c r="F32" s="24">
        <f t="shared" si="0"/>
        <v>173</v>
      </c>
      <c r="G32" s="24">
        <f t="shared" si="0"/>
        <v>172.89999999999998</v>
      </c>
      <c r="H32" s="24">
        <f t="shared" si="0"/>
        <v>180.2</v>
      </c>
      <c r="I32" s="24">
        <f t="shared" si="0"/>
        <v>185.6</v>
      </c>
      <c r="J32" s="24">
        <f t="shared" si="0"/>
        <v>191.2</v>
      </c>
      <c r="K32" s="24">
        <f t="shared" si="0"/>
        <v>191.9</v>
      </c>
      <c r="L32" s="24">
        <f t="shared" si="0"/>
        <v>201.1</v>
      </c>
      <c r="M32" s="24">
        <f t="shared" si="0"/>
        <v>221.3</v>
      </c>
      <c r="N32" s="24">
        <f t="shared" si="0"/>
        <v>212.60000000000002</v>
      </c>
      <c r="O32" s="24">
        <f t="shared" si="0"/>
        <v>216.3</v>
      </c>
      <c r="P32" s="24">
        <f t="shared" si="0"/>
        <v>228.3</v>
      </c>
    </row>
    <row r="33" spans="1:16">
      <c r="A33" s="38" t="s">
        <v>35</v>
      </c>
      <c r="B33" s="24">
        <f t="shared" si="0"/>
        <v>781.8</v>
      </c>
      <c r="C33" s="24">
        <f t="shared" si="0"/>
        <v>908.2</v>
      </c>
      <c r="D33" s="24">
        <f t="shared" si="0"/>
        <v>965.5</v>
      </c>
      <c r="E33" s="24">
        <f t="shared" si="0"/>
        <v>996.2</v>
      </c>
      <c r="F33" s="24">
        <f t="shared" si="0"/>
        <v>1096.1000000000001</v>
      </c>
      <c r="G33" s="24">
        <f t="shared" si="0"/>
        <v>1174.5</v>
      </c>
      <c r="H33" s="24">
        <f t="shared" si="0"/>
        <v>1260.5999999999999</v>
      </c>
      <c r="I33" s="24">
        <f t="shared" si="0"/>
        <v>1289</v>
      </c>
      <c r="J33" s="24">
        <f t="shared" si="0"/>
        <v>1347.4</v>
      </c>
      <c r="K33" s="24">
        <f t="shared" si="0"/>
        <v>1407.2</v>
      </c>
      <c r="L33" s="24">
        <f t="shared" si="0"/>
        <v>1445.4</v>
      </c>
      <c r="M33" s="24">
        <f t="shared" si="0"/>
        <v>1520.3</v>
      </c>
      <c r="N33" s="24">
        <f t="shared" si="0"/>
        <v>1575.7</v>
      </c>
      <c r="O33" s="24">
        <f t="shared" si="0"/>
        <v>1754</v>
      </c>
      <c r="P33" s="24">
        <f t="shared" si="0"/>
        <v>2020</v>
      </c>
    </row>
    <row r="34" spans="1:16">
      <c r="A34" s="38" t="s">
        <v>36</v>
      </c>
      <c r="B34" s="24">
        <f t="shared" si="0"/>
        <v>281.60000000000002</v>
      </c>
      <c r="C34" s="24">
        <f t="shared" si="0"/>
        <v>295.39999999999998</v>
      </c>
      <c r="D34" s="24">
        <f t="shared" si="0"/>
        <v>374.3</v>
      </c>
      <c r="E34" s="24">
        <f t="shared" si="0"/>
        <v>472.79999999999995</v>
      </c>
      <c r="F34" s="24">
        <f t="shared" si="0"/>
        <v>528.70000000000005</v>
      </c>
      <c r="G34" s="24">
        <f t="shared" si="0"/>
        <v>542.5</v>
      </c>
      <c r="H34" s="24">
        <f t="shared" si="0"/>
        <v>557.4</v>
      </c>
      <c r="I34" s="24">
        <f t="shared" si="0"/>
        <v>692.19999999999993</v>
      </c>
      <c r="J34" s="24">
        <f t="shared" si="0"/>
        <v>752.8</v>
      </c>
      <c r="K34" s="24">
        <f t="shared" si="0"/>
        <v>750.2</v>
      </c>
      <c r="L34" s="24">
        <f t="shared" si="0"/>
        <v>761.9</v>
      </c>
      <c r="M34" s="24">
        <f t="shared" si="0"/>
        <v>1118.8</v>
      </c>
      <c r="N34" s="24">
        <f t="shared" si="0"/>
        <v>1334</v>
      </c>
      <c r="O34" s="24">
        <f t="shared" si="0"/>
        <v>1251.2</v>
      </c>
      <c r="P34" s="24">
        <f t="shared" si="0"/>
        <v>1202.0999999999999</v>
      </c>
    </row>
    <row r="35" spans="1:16">
      <c r="A35" s="38" t="s">
        <v>37</v>
      </c>
      <c r="B35" s="24">
        <f t="shared" si="0"/>
        <v>102.2</v>
      </c>
      <c r="C35" s="24">
        <f t="shared" si="0"/>
        <v>107</v>
      </c>
      <c r="D35" s="24">
        <f t="shared" si="0"/>
        <v>113</v>
      </c>
      <c r="E35" s="24">
        <f t="shared" si="0"/>
        <v>131</v>
      </c>
      <c r="F35" s="24">
        <f t="shared" si="0"/>
        <v>154.6</v>
      </c>
      <c r="G35" s="24">
        <f t="shared" si="0"/>
        <v>175.3</v>
      </c>
      <c r="H35" s="24">
        <f t="shared" si="0"/>
        <v>305.5</v>
      </c>
      <c r="I35" s="24">
        <f t="shared" si="0"/>
        <v>322.20000000000005</v>
      </c>
      <c r="J35" s="24">
        <f t="shared" si="0"/>
        <v>422.5</v>
      </c>
      <c r="K35" s="24">
        <f t="shared" si="0"/>
        <v>311.39999999999998</v>
      </c>
      <c r="L35" s="24">
        <f t="shared" si="0"/>
        <v>374.79999999999995</v>
      </c>
      <c r="M35" s="24">
        <f t="shared" si="0"/>
        <v>366.4</v>
      </c>
      <c r="N35" s="24">
        <f t="shared" si="0"/>
        <v>527.80000000000007</v>
      </c>
      <c r="O35" s="24">
        <f t="shared" si="0"/>
        <v>306.90000000000003</v>
      </c>
      <c r="P35" s="24">
        <f t="shared" si="0"/>
        <v>262.2</v>
      </c>
    </row>
    <row r="36" spans="1:16">
      <c r="A36" s="38" t="s">
        <v>39</v>
      </c>
      <c r="B36" s="24">
        <f t="shared" si="0"/>
        <v>1134.7</v>
      </c>
      <c r="C36" s="24">
        <f t="shared" si="0"/>
        <v>961</v>
      </c>
      <c r="D36" s="24">
        <f t="shared" si="0"/>
        <v>1005.8</v>
      </c>
      <c r="E36" s="24">
        <f t="shared" si="0"/>
        <v>1171.9000000000001</v>
      </c>
      <c r="F36" s="24">
        <f t="shared" si="0"/>
        <v>1303.0999999999999</v>
      </c>
      <c r="G36" s="24">
        <f t="shared" si="0"/>
        <v>1493.3</v>
      </c>
      <c r="H36" s="24">
        <f t="shared" si="0"/>
        <v>1424.7</v>
      </c>
      <c r="I36" s="24">
        <f t="shared" si="0"/>
        <v>1834.7</v>
      </c>
      <c r="J36" s="24">
        <f t="shared" si="0"/>
        <v>1865.3</v>
      </c>
      <c r="K36" s="24">
        <f t="shared" si="0"/>
        <v>1893.8504840000001</v>
      </c>
      <c r="L36" s="24">
        <f t="shared" si="0"/>
        <v>2189.5</v>
      </c>
      <c r="M36" s="24">
        <f t="shared" si="0"/>
        <v>2306.1999999999998</v>
      </c>
      <c r="N36" s="24">
        <f t="shared" si="0"/>
        <v>2639.1</v>
      </c>
      <c r="O36" s="24">
        <f t="shared" si="0"/>
        <v>1415</v>
      </c>
      <c r="P36" s="24">
        <f t="shared" si="0"/>
        <v>1311.9</v>
      </c>
    </row>
    <row r="37" spans="1:16">
      <c r="A37" s="38" t="s">
        <v>80</v>
      </c>
      <c r="B37" s="19">
        <f t="shared" ref="B37:P37" si="1">SUM(B32:B36)</f>
        <v>2477.4</v>
      </c>
      <c r="C37" s="19">
        <f t="shared" si="1"/>
        <v>2420</v>
      </c>
      <c r="D37" s="19">
        <f t="shared" si="1"/>
        <v>2617.5</v>
      </c>
      <c r="E37" s="19">
        <f t="shared" si="1"/>
        <v>2925.4</v>
      </c>
      <c r="F37" s="19">
        <f t="shared" si="1"/>
        <v>3255.5</v>
      </c>
      <c r="G37" s="19">
        <f t="shared" si="1"/>
        <v>3558.5</v>
      </c>
      <c r="H37" s="19">
        <f t="shared" si="1"/>
        <v>3728.3999999999996</v>
      </c>
      <c r="I37" s="19">
        <f t="shared" si="1"/>
        <v>4323.7</v>
      </c>
      <c r="J37" s="19">
        <f t="shared" si="1"/>
        <v>4579.2</v>
      </c>
      <c r="K37" s="19">
        <f t="shared" si="1"/>
        <v>4554.5504840000003</v>
      </c>
      <c r="L37" s="19">
        <f t="shared" si="1"/>
        <v>4972.7</v>
      </c>
      <c r="M37" s="19">
        <f t="shared" si="1"/>
        <v>5533</v>
      </c>
      <c r="N37" s="19">
        <f t="shared" si="1"/>
        <v>6289.2000000000007</v>
      </c>
      <c r="O37" s="19">
        <f t="shared" si="1"/>
        <v>4943.3999999999996</v>
      </c>
      <c r="P37" s="19">
        <f t="shared" si="1"/>
        <v>5024.5</v>
      </c>
    </row>
    <row r="39" spans="1:16" ht="13">
      <c r="A39" s="197" t="s">
        <v>339</v>
      </c>
      <c r="B39" s="223">
        <f t="shared" ref="B39:P39" si="2">B37+B55</f>
        <v>0</v>
      </c>
      <c r="C39" s="223">
        <f t="shared" si="2"/>
        <v>0</v>
      </c>
      <c r="D39" s="223">
        <f t="shared" si="2"/>
        <v>0</v>
      </c>
      <c r="E39" s="223">
        <f t="shared" si="2"/>
        <v>0</v>
      </c>
      <c r="F39" s="223">
        <f t="shared" si="2"/>
        <v>0</v>
      </c>
      <c r="G39" s="223">
        <f t="shared" si="2"/>
        <v>0</v>
      </c>
      <c r="H39" s="223">
        <f t="shared" si="2"/>
        <v>0</v>
      </c>
      <c r="I39" s="223">
        <f t="shared" si="2"/>
        <v>0</v>
      </c>
      <c r="J39" s="223">
        <f t="shared" si="2"/>
        <v>0</v>
      </c>
      <c r="K39" s="223">
        <f t="shared" si="2"/>
        <v>0</v>
      </c>
      <c r="L39" s="223">
        <f t="shared" si="2"/>
        <v>0</v>
      </c>
      <c r="M39" s="223">
        <f t="shared" si="2"/>
        <v>0</v>
      </c>
      <c r="N39" s="223">
        <f t="shared" si="2"/>
        <v>0</v>
      </c>
      <c r="O39" s="223">
        <f t="shared" si="2"/>
        <v>0</v>
      </c>
      <c r="P39" s="223">
        <f t="shared" si="2"/>
        <v>0</v>
      </c>
    </row>
    <row r="40" spans="1:16" ht="13" thickBot="1"/>
    <row r="41" spans="1:16" ht="13">
      <c r="A41" s="32"/>
      <c r="B41" s="33" t="s">
        <v>15</v>
      </c>
      <c r="C41" s="33" t="s">
        <v>14</v>
      </c>
      <c r="D41" s="33" t="s">
        <v>13</v>
      </c>
      <c r="E41" s="33" t="s">
        <v>12</v>
      </c>
      <c r="F41" s="33" t="s">
        <v>11</v>
      </c>
      <c r="G41" s="33" t="s">
        <v>10</v>
      </c>
      <c r="H41" s="33" t="s">
        <v>9</v>
      </c>
      <c r="I41" s="33" t="s">
        <v>8</v>
      </c>
      <c r="J41" s="33" t="s">
        <v>7</v>
      </c>
      <c r="K41" s="33" t="s">
        <v>6</v>
      </c>
      <c r="L41" s="33" t="s">
        <v>5</v>
      </c>
      <c r="M41" s="33" t="s">
        <v>4</v>
      </c>
      <c r="N41" s="33" t="s">
        <v>3</v>
      </c>
      <c r="O41" s="33" t="s">
        <v>2</v>
      </c>
      <c r="P41" s="33" t="s">
        <v>1</v>
      </c>
    </row>
    <row r="42" spans="1:16" ht="13">
      <c r="A42" s="35" t="s">
        <v>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37"/>
      <c r="M42" s="37"/>
      <c r="N42" s="37"/>
      <c r="O42" s="37"/>
      <c r="P42" s="49"/>
    </row>
    <row r="43" spans="1:16">
      <c r="A43" s="38" t="s">
        <v>34</v>
      </c>
      <c r="B43" s="10">
        <v>-103.1</v>
      </c>
      <c r="C43" s="10">
        <v>-98.6</v>
      </c>
      <c r="D43" s="10">
        <v>-103.7</v>
      </c>
      <c r="E43" s="10">
        <v>-98.3</v>
      </c>
      <c r="F43" s="10">
        <v>-107</v>
      </c>
      <c r="G43" s="10">
        <v>-108.8</v>
      </c>
      <c r="H43" s="10">
        <v>-114.7</v>
      </c>
      <c r="I43" s="10">
        <v>-122.5</v>
      </c>
      <c r="J43" s="10">
        <v>-126.8</v>
      </c>
      <c r="K43" s="49">
        <v>-133.30000000000001</v>
      </c>
      <c r="L43" s="10">
        <v>-143.19999999999999</v>
      </c>
      <c r="M43" s="10">
        <v>-169.3</v>
      </c>
      <c r="N43" s="49">
        <v>-160.80000000000001</v>
      </c>
      <c r="O43" s="49">
        <v>-168.6</v>
      </c>
      <c r="P43" s="49">
        <v>-175</v>
      </c>
    </row>
    <row r="44" spans="1:16">
      <c r="A44" s="38" t="s">
        <v>35</v>
      </c>
      <c r="B44" s="10">
        <v>-200.9</v>
      </c>
      <c r="C44" s="10">
        <v>-217</v>
      </c>
      <c r="D44" s="10">
        <v>-224.2</v>
      </c>
      <c r="E44" s="10">
        <v>-214.3</v>
      </c>
      <c r="F44" s="10">
        <v>-212.4</v>
      </c>
      <c r="G44" s="10">
        <v>-235.2</v>
      </c>
      <c r="H44" s="10">
        <v>-274.2</v>
      </c>
      <c r="I44" s="10">
        <v>-275.5</v>
      </c>
      <c r="J44" s="10">
        <v>-275.60000000000002</v>
      </c>
      <c r="K44" s="49">
        <v>-307.2</v>
      </c>
      <c r="L44" s="10">
        <v>-344.7</v>
      </c>
      <c r="M44" s="10">
        <v>-274</v>
      </c>
      <c r="N44" s="49">
        <v>-340</v>
      </c>
      <c r="O44" s="49">
        <v>-371.9</v>
      </c>
      <c r="P44" s="49">
        <v>-407</v>
      </c>
    </row>
    <row r="45" spans="1:16">
      <c r="A45" s="38" t="s">
        <v>36</v>
      </c>
      <c r="B45" s="10">
        <v>-270.10000000000002</v>
      </c>
      <c r="C45" s="10">
        <v>-259.39999999999998</v>
      </c>
      <c r="D45" s="10">
        <v>-341.1</v>
      </c>
      <c r="E45" s="10">
        <v>-408.4</v>
      </c>
      <c r="F45" s="10">
        <v>-432.8</v>
      </c>
      <c r="G45" s="10">
        <v>-444.2</v>
      </c>
      <c r="H45" s="10">
        <v>-452.5</v>
      </c>
      <c r="I45" s="10">
        <v>-584.9</v>
      </c>
      <c r="J45" s="10">
        <v>-654</v>
      </c>
      <c r="K45" s="49">
        <v>-652.1</v>
      </c>
      <c r="L45" s="10">
        <v>-656.8</v>
      </c>
      <c r="M45" s="10">
        <v>-943.3</v>
      </c>
      <c r="N45" s="49">
        <v>-1030.4000000000001</v>
      </c>
      <c r="O45" s="49">
        <v>-948</v>
      </c>
      <c r="P45" s="49">
        <v>-868.5</v>
      </c>
    </row>
    <row r="46" spans="1:16" ht="13" thickBot="1">
      <c r="A46" s="38" t="s">
        <v>37</v>
      </c>
      <c r="B46" s="10">
        <v>-15.7</v>
      </c>
      <c r="C46" s="10">
        <v>-11.6</v>
      </c>
      <c r="D46" s="10">
        <v>-13.6</v>
      </c>
      <c r="E46" s="10">
        <v>-13.4</v>
      </c>
      <c r="F46" s="10">
        <v>-17.100000000000001</v>
      </c>
      <c r="G46" s="10">
        <v>-14.9</v>
      </c>
      <c r="H46" s="10">
        <v>-14.7</v>
      </c>
      <c r="I46" s="10">
        <v>-15.6</v>
      </c>
      <c r="J46" s="10">
        <v>-16.399999999999999</v>
      </c>
      <c r="K46" s="52">
        <v>-17.7</v>
      </c>
      <c r="L46" s="10">
        <v>-30.4</v>
      </c>
      <c r="M46" s="10">
        <v>-28.4</v>
      </c>
      <c r="N46" s="49">
        <v>-29.7</v>
      </c>
      <c r="O46" s="49">
        <v>-29.8</v>
      </c>
      <c r="P46" s="49">
        <v>-22.2</v>
      </c>
    </row>
    <row r="47" spans="1:16" ht="13">
      <c r="A47" s="35"/>
      <c r="B47" s="45">
        <v>-589.80000000000007</v>
      </c>
      <c r="C47" s="45">
        <v>-586.6</v>
      </c>
      <c r="D47" s="45">
        <v>-682.6</v>
      </c>
      <c r="E47" s="45">
        <v>-734.4</v>
      </c>
      <c r="F47" s="45">
        <v>-769.30000000000007</v>
      </c>
      <c r="G47" s="45">
        <v>-803.1</v>
      </c>
      <c r="H47" s="45">
        <v>-856.1</v>
      </c>
      <c r="I47" s="45">
        <v>-998.5</v>
      </c>
      <c r="J47" s="45">
        <v>-1072.8000000000002</v>
      </c>
      <c r="K47" s="45">
        <v>-1110.3</v>
      </c>
      <c r="L47" s="45">
        <v>-1175.0999999999999</v>
      </c>
      <c r="M47" s="45">
        <v>-1415</v>
      </c>
      <c r="N47" s="45">
        <v>-1560.9</v>
      </c>
      <c r="O47" s="45">
        <v>-1518.3</v>
      </c>
      <c r="P47" s="45">
        <v>-1472.7</v>
      </c>
    </row>
    <row r="48" spans="1:16" ht="13">
      <c r="A48" s="35" t="s">
        <v>38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37"/>
      <c r="M48" s="37"/>
      <c r="N48" s="37"/>
      <c r="O48" s="37"/>
    </row>
    <row r="49" spans="1:16">
      <c r="A49" s="38" t="s">
        <v>34</v>
      </c>
      <c r="B49" s="10">
        <v>-74</v>
      </c>
      <c r="C49" s="10">
        <v>-49.8</v>
      </c>
      <c r="D49" s="10">
        <v>-55.2</v>
      </c>
      <c r="E49" s="10">
        <v>-55.2</v>
      </c>
      <c r="F49" s="10">
        <v>-66</v>
      </c>
      <c r="G49" s="10">
        <v>-64.099999999999994</v>
      </c>
      <c r="H49" s="10">
        <v>-65.5</v>
      </c>
      <c r="I49" s="10">
        <v>-63.1</v>
      </c>
      <c r="J49" s="10">
        <v>-64.400000000000006</v>
      </c>
      <c r="K49" s="49">
        <v>-58.6</v>
      </c>
      <c r="L49" s="10">
        <v>-57.9</v>
      </c>
      <c r="M49" s="10">
        <v>-52</v>
      </c>
      <c r="N49" s="10">
        <v>-51.8</v>
      </c>
      <c r="O49" s="10">
        <v>-47.7</v>
      </c>
      <c r="P49" s="10">
        <v>-53.3</v>
      </c>
    </row>
    <row r="50" spans="1:16">
      <c r="A50" s="38" t="s">
        <v>35</v>
      </c>
      <c r="B50" s="10">
        <v>-580.9</v>
      </c>
      <c r="C50" s="10">
        <v>-691.2</v>
      </c>
      <c r="D50" s="10">
        <v>-741.3</v>
      </c>
      <c r="E50" s="10">
        <v>-781.9</v>
      </c>
      <c r="F50" s="10">
        <v>-883.7</v>
      </c>
      <c r="G50" s="10">
        <v>-939.3</v>
      </c>
      <c r="H50" s="10">
        <v>-986.4</v>
      </c>
      <c r="I50" s="10">
        <v>-1013.5</v>
      </c>
      <c r="J50" s="10">
        <v>-1071.8</v>
      </c>
      <c r="K50" s="49">
        <v>-1100</v>
      </c>
      <c r="L50" s="10">
        <v>-1100.7</v>
      </c>
      <c r="M50" s="10">
        <v>-1246.3</v>
      </c>
      <c r="N50" s="10">
        <v>-1235.7</v>
      </c>
      <c r="O50" s="10">
        <v>-1382.1</v>
      </c>
      <c r="P50" s="10">
        <v>-1613</v>
      </c>
    </row>
    <row r="51" spans="1:16">
      <c r="A51" s="38" t="s">
        <v>36</v>
      </c>
      <c r="B51" s="10">
        <v>-11.5</v>
      </c>
      <c r="C51" s="10">
        <v>-36</v>
      </c>
      <c r="D51" s="10">
        <v>-33.200000000000003</v>
      </c>
      <c r="E51" s="10">
        <v>-64.400000000000006</v>
      </c>
      <c r="F51" s="10">
        <v>-95.9</v>
      </c>
      <c r="G51" s="10">
        <v>-98.3</v>
      </c>
      <c r="H51" s="10">
        <v>-104.9</v>
      </c>
      <c r="I51" s="10">
        <v>-107.3</v>
      </c>
      <c r="J51" s="10">
        <v>-98.8</v>
      </c>
      <c r="K51" s="49">
        <v>-98.1</v>
      </c>
      <c r="L51" s="10">
        <v>-105.1</v>
      </c>
      <c r="M51" s="10">
        <v>-175.5</v>
      </c>
      <c r="N51" s="10">
        <v>-303.60000000000002</v>
      </c>
      <c r="O51" s="10">
        <v>-303.2</v>
      </c>
      <c r="P51" s="10">
        <v>-333.6</v>
      </c>
    </row>
    <row r="52" spans="1:16">
      <c r="A52" s="38" t="s">
        <v>37</v>
      </c>
      <c r="B52" s="10">
        <v>-86.5</v>
      </c>
      <c r="C52" s="10">
        <v>-95.4</v>
      </c>
      <c r="D52" s="10">
        <v>-99.4</v>
      </c>
      <c r="E52" s="10">
        <v>-117.6</v>
      </c>
      <c r="F52" s="10">
        <v>-137.5</v>
      </c>
      <c r="G52" s="10">
        <v>-160.4</v>
      </c>
      <c r="H52" s="10">
        <v>-290.8</v>
      </c>
      <c r="I52" s="10">
        <v>-306.60000000000002</v>
      </c>
      <c r="J52" s="10">
        <v>-406.1</v>
      </c>
      <c r="K52" s="49">
        <v>-293.7</v>
      </c>
      <c r="L52" s="10">
        <v>-344.4</v>
      </c>
      <c r="M52" s="10">
        <v>-338</v>
      </c>
      <c r="N52" s="10">
        <v>-498.1</v>
      </c>
      <c r="O52" s="10">
        <v>-277.10000000000002</v>
      </c>
      <c r="P52" s="10">
        <v>-240</v>
      </c>
    </row>
    <row r="53" spans="1:16" ht="13" thickBot="1">
      <c r="A53" s="38" t="s">
        <v>39</v>
      </c>
      <c r="B53" s="10">
        <v>-1134.7</v>
      </c>
      <c r="C53" s="10">
        <v>-961</v>
      </c>
      <c r="D53" s="10">
        <v>-1005.8</v>
      </c>
      <c r="E53" s="10">
        <v>-1171.9000000000001</v>
      </c>
      <c r="F53" s="10">
        <v>-1303.0999999999999</v>
      </c>
      <c r="G53" s="10">
        <v>-1493.3</v>
      </c>
      <c r="H53" s="10">
        <v>-1424.7</v>
      </c>
      <c r="I53" s="10">
        <v>-1834.7</v>
      </c>
      <c r="J53" s="10">
        <v>-1865.3</v>
      </c>
      <c r="K53" s="49">
        <v>-1893.8504840000001</v>
      </c>
      <c r="L53" s="10">
        <v>-2189.5</v>
      </c>
      <c r="M53" s="10">
        <v>-2306.1999999999998</v>
      </c>
      <c r="N53" s="10">
        <v>-2639.1</v>
      </c>
      <c r="O53" s="10">
        <v>-1415</v>
      </c>
      <c r="P53" s="10">
        <v>-1311.9</v>
      </c>
    </row>
    <row r="54" spans="1:16" ht="13.5" thickBot="1">
      <c r="A54" s="35"/>
      <c r="B54" s="45">
        <v>-1887.6</v>
      </c>
      <c r="C54" s="45">
        <v>-1833.4</v>
      </c>
      <c r="D54" s="45">
        <v>-1934.9</v>
      </c>
      <c r="E54" s="45">
        <v>-2191</v>
      </c>
      <c r="F54" s="45">
        <v>-2486.1999999999998</v>
      </c>
      <c r="G54" s="45">
        <v>-2755.4</v>
      </c>
      <c r="H54" s="45">
        <v>-2872.3</v>
      </c>
      <c r="I54" s="45">
        <v>-3325.2</v>
      </c>
      <c r="J54" s="45">
        <v>-3506.3999999999996</v>
      </c>
      <c r="K54" s="45">
        <v>-3444.2504840000001</v>
      </c>
      <c r="L54" s="45">
        <v>-3797.6</v>
      </c>
      <c r="M54" s="45">
        <v>-4118</v>
      </c>
      <c r="N54" s="45">
        <v>-4728.2999999999993</v>
      </c>
      <c r="O54" s="45">
        <v>-3425.1</v>
      </c>
      <c r="P54" s="45">
        <v>-3551.8</v>
      </c>
    </row>
    <row r="55" spans="1:16" ht="13.5" thickBot="1">
      <c r="A55" s="35" t="s">
        <v>40</v>
      </c>
      <c r="B55" s="53">
        <v>-2477.4</v>
      </c>
      <c r="C55" s="53">
        <v>-2420</v>
      </c>
      <c r="D55" s="53">
        <v>-2617.5</v>
      </c>
      <c r="E55" s="53">
        <v>-2925.4</v>
      </c>
      <c r="F55" s="53">
        <v>-3255.5</v>
      </c>
      <c r="G55" s="53">
        <v>-3558.5</v>
      </c>
      <c r="H55" s="53">
        <v>-3728.4</v>
      </c>
      <c r="I55" s="53">
        <v>-4323.7</v>
      </c>
      <c r="J55" s="53">
        <v>-4579.2</v>
      </c>
      <c r="K55" s="53">
        <v>-4554.5504840000003</v>
      </c>
      <c r="L55" s="53">
        <v>-4972.7</v>
      </c>
      <c r="M55" s="53">
        <v>-5533</v>
      </c>
      <c r="N55" s="53">
        <v>-6289.1999999999989</v>
      </c>
      <c r="O55" s="53">
        <v>-4943.3999999999996</v>
      </c>
      <c r="P55" s="53">
        <v>-5024.5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6F3E-FE8F-4FBE-B0A8-533D0398C156}">
  <dimension ref="A1:P8"/>
  <sheetViews>
    <sheetView showGridLines="0" workbookViewId="0">
      <selection activeCell="M30" sqref="M30"/>
    </sheetView>
  </sheetViews>
  <sheetFormatPr defaultRowHeight="12.5"/>
  <cols>
    <col min="1" max="1" width="8.6640625" style="1"/>
    <col min="2" max="8" width="8.75" style="1" bestFit="1" customWidth="1"/>
    <col min="9" max="16" width="9.08203125" style="1" bestFit="1" customWidth="1"/>
    <col min="17" max="16384" width="8.6640625" style="1"/>
  </cols>
  <sheetData>
    <row r="1" spans="1:16" ht="13">
      <c r="A1" s="26" t="s">
        <v>604</v>
      </c>
    </row>
    <row r="3" spans="1:16">
      <c r="B3" s="1" t="s">
        <v>15</v>
      </c>
      <c r="C3" s="1" t="s">
        <v>14</v>
      </c>
      <c r="D3" s="1" t="s">
        <v>13</v>
      </c>
      <c r="E3" s="1" t="s">
        <v>12</v>
      </c>
      <c r="F3" s="1" t="s">
        <v>11</v>
      </c>
      <c r="G3" s="1" t="s">
        <v>10</v>
      </c>
      <c r="H3" s="1" t="s">
        <v>9</v>
      </c>
      <c r="I3" s="1" t="s">
        <v>8</v>
      </c>
      <c r="J3" s="1" t="s">
        <v>7</v>
      </c>
      <c r="K3" s="1" t="s">
        <v>6</v>
      </c>
      <c r="L3" s="1" t="s">
        <v>5</v>
      </c>
      <c r="M3" s="1" t="s">
        <v>4</v>
      </c>
      <c r="N3" s="1" t="s">
        <v>3</v>
      </c>
      <c r="O3" s="1" t="s">
        <v>2</v>
      </c>
      <c r="P3" s="1" t="s">
        <v>1</v>
      </c>
    </row>
    <row r="4" spans="1:16">
      <c r="A4" s="1" t="s">
        <v>406</v>
      </c>
      <c r="B4" s="24">
        <v>580.9</v>
      </c>
      <c r="C4" s="24">
        <v>691</v>
      </c>
      <c r="D4" s="24">
        <v>741.1</v>
      </c>
      <c r="E4" s="24">
        <v>781.8</v>
      </c>
      <c r="F4" s="24">
        <v>883.7</v>
      </c>
      <c r="G4" s="24">
        <v>939.3</v>
      </c>
      <c r="H4" s="24">
        <v>986.4</v>
      </c>
      <c r="I4" s="24">
        <v>1013.5</v>
      </c>
      <c r="J4" s="24">
        <v>1071.8</v>
      </c>
      <c r="K4" s="24">
        <v>1100</v>
      </c>
      <c r="L4" s="24">
        <v>1100.7</v>
      </c>
      <c r="M4" s="24">
        <v>1246.3</v>
      </c>
      <c r="N4" s="24">
        <v>1235.7</v>
      </c>
      <c r="O4" s="24">
        <v>1382.1</v>
      </c>
      <c r="P4" s="24">
        <v>1613</v>
      </c>
    </row>
    <row r="5" spans="1:16">
      <c r="A5" s="1" t="s">
        <v>407</v>
      </c>
      <c r="B5" s="24">
        <v>39.1</v>
      </c>
      <c r="C5" s="24">
        <v>54.7</v>
      </c>
      <c r="D5" s="24">
        <v>47.2</v>
      </c>
      <c r="E5" s="24">
        <v>51.8</v>
      </c>
      <c r="F5" s="24">
        <v>49.7</v>
      </c>
      <c r="G5" s="24">
        <v>45.9</v>
      </c>
      <c r="H5" s="24">
        <v>60.8</v>
      </c>
      <c r="I5" s="24">
        <v>59</v>
      </c>
      <c r="J5" s="24">
        <v>50.2</v>
      </c>
      <c r="K5" s="24">
        <v>59.9</v>
      </c>
      <c r="L5" s="24">
        <v>81.8</v>
      </c>
      <c r="M5" s="24">
        <v>18.5</v>
      </c>
      <c r="N5" s="24">
        <v>96.3</v>
      </c>
      <c r="O5" s="24">
        <v>90.8</v>
      </c>
      <c r="P5" s="24">
        <v>90.4</v>
      </c>
    </row>
    <row r="6" spans="1:16">
      <c r="A6" s="1" t="s">
        <v>408</v>
      </c>
      <c r="B6" s="24">
        <v>98.8</v>
      </c>
      <c r="C6" s="24">
        <v>98.7</v>
      </c>
      <c r="D6" s="24">
        <v>102.7</v>
      </c>
      <c r="E6" s="24">
        <v>102</v>
      </c>
      <c r="F6" s="24">
        <v>105.7</v>
      </c>
      <c r="G6" s="24">
        <v>123.9</v>
      </c>
      <c r="H6" s="24">
        <v>135.1</v>
      </c>
      <c r="I6" s="24">
        <v>146.9</v>
      </c>
      <c r="J6" s="24">
        <v>156.69999999999999</v>
      </c>
      <c r="K6" s="24">
        <v>167.6</v>
      </c>
      <c r="L6" s="24">
        <v>179.2</v>
      </c>
      <c r="M6" s="24">
        <v>202.9</v>
      </c>
      <c r="N6" s="24">
        <v>207.6</v>
      </c>
      <c r="O6" s="24">
        <v>218</v>
      </c>
      <c r="P6" s="24">
        <v>230.5</v>
      </c>
    </row>
    <row r="7" spans="1:16">
      <c r="A7" s="1" t="s">
        <v>218</v>
      </c>
      <c r="B7" s="24">
        <v>63</v>
      </c>
      <c r="C7" s="24">
        <v>63.6</v>
      </c>
      <c r="D7" s="24">
        <v>74.3</v>
      </c>
      <c r="E7" s="24">
        <v>60.5</v>
      </c>
      <c r="F7" s="24">
        <v>57</v>
      </c>
      <c r="G7" s="24">
        <v>65.400000000000006</v>
      </c>
      <c r="H7" s="24">
        <v>78.3</v>
      </c>
      <c r="I7" s="24">
        <v>69.599999999999994</v>
      </c>
      <c r="J7" s="24">
        <v>68.7</v>
      </c>
      <c r="K7" s="24">
        <v>79.7</v>
      </c>
      <c r="L7" s="24">
        <v>83.7</v>
      </c>
      <c r="M7" s="24">
        <v>52.6</v>
      </c>
      <c r="N7" s="24">
        <v>36.1</v>
      </c>
      <c r="O7" s="24">
        <v>63.1</v>
      </c>
      <c r="P7" s="24">
        <v>86.1</v>
      </c>
    </row>
    <row r="8" spans="1:16">
      <c r="A8" s="1" t="s">
        <v>409</v>
      </c>
      <c r="B8" s="24">
        <v>30.7</v>
      </c>
      <c r="C8" s="24">
        <v>35.700000000000003</v>
      </c>
      <c r="D8" s="24">
        <v>36.799999999999997</v>
      </c>
      <c r="E8" s="24">
        <v>31</v>
      </c>
      <c r="F8" s="24">
        <v>31.7</v>
      </c>
      <c r="G8" s="24">
        <v>27.6</v>
      </c>
      <c r="H8" s="24">
        <v>28.3</v>
      </c>
      <c r="I8" s="24">
        <v>31.8</v>
      </c>
      <c r="J8" s="24">
        <v>36.799999999999997</v>
      </c>
      <c r="K8" s="24">
        <v>31.6</v>
      </c>
      <c r="L8" s="24">
        <v>31.8</v>
      </c>
      <c r="M8" s="24">
        <v>21.2</v>
      </c>
      <c r="N8" s="24">
        <v>47.1</v>
      </c>
      <c r="O8" s="24">
        <v>85.1</v>
      </c>
      <c r="P8" s="24">
        <v>63.4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/>
  <dimension ref="A1:P46"/>
  <sheetViews>
    <sheetView workbookViewId="0">
      <selection activeCell="L12" sqref="L12"/>
    </sheetView>
  </sheetViews>
  <sheetFormatPr defaultColWidth="9" defaultRowHeight="12.5"/>
  <cols>
    <col min="1" max="1" width="44.5" style="1" customWidth="1"/>
    <col min="2" max="16384" width="9" style="1"/>
  </cols>
  <sheetData>
    <row r="1" spans="1:1" ht="13">
      <c r="A1" s="200" t="s">
        <v>605</v>
      </c>
    </row>
    <row r="36" spans="1:16">
      <c r="A36" s="1" t="str">
        <f>'Data for charts 09-24'!A297</f>
        <v>Public sector pensions (Note 25)</v>
      </c>
    </row>
    <row r="37" spans="1:16">
      <c r="B37" s="1" t="str">
        <f>'Data for charts 09-24'!B298</f>
        <v>2009-10</v>
      </c>
      <c r="C37" s="1" t="str">
        <f>'Data for charts 09-24'!C298</f>
        <v>2010-11</v>
      </c>
      <c r="D37" s="1" t="str">
        <f>'Data for charts 09-24'!D298</f>
        <v>2011-12</v>
      </c>
      <c r="E37" s="1" t="str">
        <f>'Data for charts 09-24'!E298</f>
        <v>2012-13</v>
      </c>
      <c r="F37" s="1" t="str">
        <f>'Data for charts 09-24'!F298</f>
        <v>2013-14</v>
      </c>
      <c r="G37" s="1" t="str">
        <f>'Data for charts 09-24'!G298</f>
        <v>2014-15</v>
      </c>
      <c r="H37" s="1" t="str">
        <f>'Data for charts 09-24'!H298</f>
        <v>2015-16</v>
      </c>
      <c r="I37" s="1" t="str">
        <f>'Data for charts 09-24'!I298</f>
        <v>2016-17</v>
      </c>
      <c r="J37" s="1" t="str">
        <f>'Data for charts 09-24'!J298</f>
        <v>2017-18</v>
      </c>
      <c r="K37" s="1" t="str">
        <f>'Data for charts 09-24'!K298</f>
        <v>2018-19</v>
      </c>
      <c r="L37" s="1" t="str">
        <f>'Data for charts 09-24'!L298</f>
        <v>2019-20</v>
      </c>
      <c r="M37" s="1" t="str">
        <f>'Data for charts 09-24'!M298</f>
        <v>2020-21</v>
      </c>
      <c r="N37" s="1" t="str">
        <f>'Data for charts 09-24'!N298</f>
        <v>2021-22</v>
      </c>
      <c r="O37" s="1" t="str">
        <f>'Data for charts 09-24'!O298</f>
        <v>2022-23</v>
      </c>
      <c r="P37" s="1" t="str">
        <f>'Data for charts 09-24'!P298</f>
        <v>2023-24</v>
      </c>
    </row>
    <row r="38" spans="1:16">
      <c r="A38" s="190" t="s">
        <v>416</v>
      </c>
      <c r="B38" s="24">
        <f>'Data for charts 09-24'!B301</f>
        <v>328.7</v>
      </c>
      <c r="C38" s="24">
        <f>'Data for charts 09-24'!C301</f>
        <v>292.3</v>
      </c>
      <c r="D38" s="24">
        <f>'Data for charts 09-24'!D301</f>
        <v>282.60000000000002</v>
      </c>
      <c r="E38" s="24">
        <f>'Data for charts 09-24'!E301</f>
        <v>325.10000000000002</v>
      </c>
      <c r="F38" s="24">
        <f>'Data for charts 09-24'!F301</f>
        <v>391.6</v>
      </c>
      <c r="G38" s="24">
        <f>'Data for charts 09-24'!G301</f>
        <v>452.2</v>
      </c>
      <c r="H38" s="24">
        <f>'Data for charts 09-24'!H301</f>
        <v>443.8</v>
      </c>
      <c r="I38" s="24">
        <f>'Data for charts 09-24'!I301</f>
        <v>591.79999999999995</v>
      </c>
      <c r="J38" s="24">
        <f>'Data for charts 09-24'!J301</f>
        <v>612.6</v>
      </c>
      <c r="K38" s="24">
        <f>'Data for charts 09-24'!K301</f>
        <v>620.1</v>
      </c>
      <c r="L38" s="24">
        <f>'Data for charts 09-24'!L301</f>
        <v>760.1</v>
      </c>
      <c r="M38" s="24">
        <f>'Data for charts 09-24'!M301</f>
        <v>791.9</v>
      </c>
      <c r="N38" s="24">
        <f>'Data for charts 09-24'!N301</f>
        <v>1004.9</v>
      </c>
      <c r="O38" s="24">
        <f>'Data for charts 09-24'!O301</f>
        <v>535</v>
      </c>
      <c r="P38" s="24">
        <f>'Data for charts 09-24'!P301</f>
        <v>500.8</v>
      </c>
    </row>
    <row r="39" spans="1:16">
      <c r="A39" s="190" t="s">
        <v>417</v>
      </c>
      <c r="B39" s="24">
        <f>'Data for charts 09-24'!B302</f>
        <v>258.2</v>
      </c>
      <c r="C39" s="24">
        <f>'Data for charts 09-24'!C302</f>
        <v>222.8</v>
      </c>
      <c r="D39" s="24">
        <f>'Data for charts 09-24'!D302</f>
        <v>233.3</v>
      </c>
      <c r="E39" s="24">
        <f>'Data for charts 09-24'!E302</f>
        <v>258.5</v>
      </c>
      <c r="F39" s="24">
        <f>'Data for charts 09-24'!F302</f>
        <v>288.10000000000002</v>
      </c>
      <c r="G39" s="24">
        <f>'Data for charts 09-24'!G302</f>
        <v>316.89999999999998</v>
      </c>
      <c r="H39" s="24">
        <f>'Data for charts 09-24'!H302</f>
        <v>311.89999999999998</v>
      </c>
      <c r="I39" s="24">
        <f>'Data for charts 09-24'!I302</f>
        <v>398.3</v>
      </c>
      <c r="J39" s="24">
        <f>'Data for charts 09-24'!J302</f>
        <v>412.9</v>
      </c>
      <c r="K39" s="24">
        <f>'Data for charts 09-24'!K302</f>
        <v>411</v>
      </c>
      <c r="L39" s="24">
        <f>'Data for charts 09-24'!L302</f>
        <v>490.4</v>
      </c>
      <c r="M39" s="24">
        <f>'Data for charts 09-24'!M302</f>
        <v>501</v>
      </c>
      <c r="N39" s="24">
        <f>'Data for charts 09-24'!N302</f>
        <v>608</v>
      </c>
      <c r="O39" s="24">
        <f>'Data for charts 09-24'!O302</f>
        <v>334.7</v>
      </c>
      <c r="P39" s="24">
        <f>'Data for charts 09-24'!P302</f>
        <v>307.8</v>
      </c>
    </row>
    <row r="40" spans="1:16">
      <c r="A40" s="190" t="s">
        <v>418</v>
      </c>
      <c r="B40" s="24">
        <f>'Data for charts 09-24'!B303</f>
        <v>163.5</v>
      </c>
      <c r="C40" s="24">
        <f>'Data for charts 09-24'!C303</f>
        <v>145</v>
      </c>
      <c r="D40" s="24">
        <f>'Data for charts 09-24'!D303</f>
        <v>155.1</v>
      </c>
      <c r="E40" s="24">
        <f>'Data for charts 09-24'!E303</f>
        <v>176.5</v>
      </c>
      <c r="F40" s="24">
        <f>'Data for charts 09-24'!F303</f>
        <v>193.2</v>
      </c>
      <c r="G40" s="24">
        <f>'Data for charts 09-24'!G303</f>
        <v>214.8</v>
      </c>
      <c r="H40" s="24">
        <f>'Data for charts 09-24'!H303</f>
        <v>205.8</v>
      </c>
      <c r="I40" s="24">
        <f>'Data for charts 09-24'!I303</f>
        <v>257</v>
      </c>
      <c r="J40" s="24">
        <f>'Data for charts 09-24'!J303</f>
        <v>260.89999999999998</v>
      </c>
      <c r="K40" s="24">
        <f>'Data for charts 09-24'!K303</f>
        <v>261.10000000000002</v>
      </c>
      <c r="L40" s="24">
        <f>'Data for charts 09-24'!L303</f>
        <v>308.60000000000002</v>
      </c>
      <c r="M40" s="24">
        <f>'Data for charts 09-24'!M303</f>
        <v>339.4</v>
      </c>
      <c r="N40" s="24">
        <f>'Data for charts 09-24'!N303</f>
        <v>377.1</v>
      </c>
      <c r="O40" s="24">
        <f>'Data for charts 09-24'!O303</f>
        <v>221.5</v>
      </c>
      <c r="P40" s="24">
        <f>'Data for charts 09-24'!P303</f>
        <v>208.1</v>
      </c>
    </row>
    <row r="41" spans="1:16">
      <c r="A41" s="190" t="s">
        <v>419</v>
      </c>
      <c r="B41" s="24">
        <f>'Data for charts 09-24'!B304</f>
        <v>120.7</v>
      </c>
      <c r="C41" s="24">
        <f>'Data for charts 09-24'!C304</f>
        <v>100.6</v>
      </c>
      <c r="D41" s="24">
        <f>'Data for charts 09-24'!D304</f>
        <v>105.6</v>
      </c>
      <c r="E41" s="24">
        <f>'Data for charts 09-24'!E304</f>
        <v>118.1</v>
      </c>
      <c r="F41" s="24">
        <f>'Data for charts 09-24'!F304</f>
        <v>129.6</v>
      </c>
      <c r="G41" s="24">
        <f>'Data for charts 09-24'!G304</f>
        <v>154.6</v>
      </c>
      <c r="H41" s="24">
        <f>'Data for charts 09-24'!H304</f>
        <v>145.19999999999999</v>
      </c>
      <c r="I41" s="24">
        <f>'Data for charts 09-24'!I304</f>
        <v>191.8</v>
      </c>
      <c r="J41" s="24">
        <f>'Data for charts 09-24'!J304</f>
        <v>195.5</v>
      </c>
      <c r="K41" s="24">
        <f>'Data for charts 09-24'!K304</f>
        <v>195.3</v>
      </c>
      <c r="L41" s="24">
        <f>'Data for charts 09-24'!L304</f>
        <v>233.1</v>
      </c>
      <c r="M41" s="24">
        <f>'Data for charts 09-24'!M304</f>
        <v>254</v>
      </c>
      <c r="N41" s="24">
        <f>'Data for charts 09-24'!N304</f>
        <v>279.10000000000002</v>
      </c>
      <c r="O41" s="24">
        <f>'Data for charts 09-24'!O304</f>
        <v>156.5</v>
      </c>
      <c r="P41" s="24">
        <f>'Data for charts 09-24'!P304</f>
        <v>144.6</v>
      </c>
    </row>
    <row r="42" spans="1:16">
      <c r="A42" s="190" t="s">
        <v>420</v>
      </c>
      <c r="B42" s="24">
        <f>'Data for charts 09-24'!B305</f>
        <v>101.6</v>
      </c>
      <c r="C42" s="24">
        <f>'Data for charts 09-24'!C305</f>
        <v>93.8</v>
      </c>
      <c r="D42" s="24">
        <f>'Data for charts 09-24'!D305</f>
        <v>101.6</v>
      </c>
      <c r="E42" s="24">
        <f>'Data for charts 09-24'!E305</f>
        <v>118</v>
      </c>
      <c r="F42" s="24">
        <f>'Data for charts 09-24'!F305</f>
        <v>123</v>
      </c>
      <c r="G42" s="24">
        <f>'Data for charts 09-24'!G305</f>
        <v>145.19999999999999</v>
      </c>
      <c r="H42" s="24">
        <f>'Data for charts 09-24'!H305</f>
        <v>130.30000000000001</v>
      </c>
      <c r="I42" s="24">
        <f>'Data for charts 09-24'!I305</f>
        <v>157.5</v>
      </c>
      <c r="J42" s="24">
        <f>'Data for charts 09-24'!J305</f>
        <v>161.69999999999999</v>
      </c>
      <c r="K42" s="24">
        <f>'Data for charts 09-24'!K305</f>
        <v>171.6</v>
      </c>
      <c r="L42" s="24">
        <f>'Data for charts 09-24'!L305</f>
        <v>165.7</v>
      </c>
      <c r="M42" s="24">
        <f>'Data for charts 09-24'!M305</f>
        <v>176.4</v>
      </c>
      <c r="N42" s="24">
        <f>'Data for charts 09-24'!N305</f>
        <v>163.4</v>
      </c>
      <c r="O42" s="24">
        <f>'Data for charts 09-24'!O305</f>
        <v>104.1</v>
      </c>
      <c r="P42" s="24">
        <f>'Data for charts 09-24'!P305</f>
        <v>93.9</v>
      </c>
    </row>
    <row r="43" spans="1:16">
      <c r="A43" s="190" t="s">
        <v>58</v>
      </c>
      <c r="B43" s="24">
        <f>'Data for charts 09-24'!B306+'Data for charts 09-24'!B308+'Data for charts 09-24'!B313+'Data for charts 09-24'!B315+'Data for charts 09-24'!B307</f>
        <v>59.2</v>
      </c>
      <c r="C43" s="24">
        <f>'Data for charts 09-24'!C306+'Data for charts 09-24'!C308+'Data for charts 09-24'!C313+'Data for charts 09-24'!C315+'Data for charts 09-24'!C307</f>
        <v>48.8</v>
      </c>
      <c r="D43" s="24">
        <f>'Data for charts 09-24'!D306+'Data for charts 09-24'!D308+'Data for charts 09-24'!D313+'Data for charts 09-24'!D315+'Data for charts 09-24'!D307</f>
        <v>49.2</v>
      </c>
      <c r="E43" s="24">
        <f>'Data for charts 09-24'!E306+'Data for charts 09-24'!E308+'Data for charts 09-24'!E313+'Data for charts 09-24'!E315+'Data for charts 09-24'!E307</f>
        <v>85.199999999999989</v>
      </c>
      <c r="F43" s="24">
        <f>'Data for charts 09-24'!F306+'Data for charts 09-24'!F308+'Data for charts 09-24'!F313+'Data for charts 09-24'!F315+'Data for charts 09-24'!F307</f>
        <v>92</v>
      </c>
      <c r="G43" s="24">
        <f>'Data for charts 09-24'!G306+'Data for charts 09-24'!G308+'Data for charts 09-24'!G313+'Data for charts 09-24'!G315+'Data for charts 09-24'!G307</f>
        <v>103.1</v>
      </c>
      <c r="H43" s="24">
        <f>'Data for charts 09-24'!H306+'Data for charts 09-24'!H308+'Data for charts 09-24'!H313+'Data for charts 09-24'!H315+'Data for charts 09-24'!H307</f>
        <v>95.7</v>
      </c>
      <c r="I43" s="24">
        <f>'Data for charts 09-24'!I306+'Data for charts 09-24'!I308+'Data for charts 09-24'!I313+'Data for charts 09-24'!I315+'Data for charts 09-24'!I307</f>
        <v>120.6</v>
      </c>
      <c r="J43" s="24">
        <f>'Data for charts 09-24'!J306+'Data for charts 09-24'!J308+'Data for charts 09-24'!J313+'Data for charts 09-24'!J315+'Data for charts 09-24'!J307</f>
        <v>115.7</v>
      </c>
      <c r="K43" s="24">
        <f>'Data for charts 09-24'!K306+'Data for charts 09-24'!K308+'Data for charts 09-24'!K313+'Data for charts 09-24'!K315+'Data for charts 09-24'!K307</f>
        <v>115.29999999999998</v>
      </c>
      <c r="L43" s="24">
        <f>'Data for charts 09-24'!L306+'Data for charts 09-24'!L308+'Data for charts 09-24'!L313+'Data for charts 09-24'!L315+'Data for charts 09-24'!L307</f>
        <v>125.89999999999999</v>
      </c>
      <c r="M43" s="24">
        <f>'Data for charts 09-24'!M306+'Data for charts 09-24'!M308+'Data for charts 09-24'!M313+'Data for charts 09-24'!M315+'Data for charts 09-24'!M307</f>
        <v>131.80000000000001</v>
      </c>
      <c r="N43" s="24">
        <f>'Data for charts 09-24'!N306+'Data for charts 09-24'!N308+'Data for charts 09-24'!N313+'Data for charts 09-24'!N315+'Data for charts 09-24'!N307</f>
        <v>130</v>
      </c>
      <c r="O43" s="24">
        <f>'Data for charts 09-24'!O306+'Data for charts 09-24'!O308+'Data for charts 09-24'!O313+'Data for charts 09-24'!O315+'Data for charts 09-24'!O307</f>
        <v>66.5</v>
      </c>
      <c r="P43" s="24">
        <f>'Data for charts 09-24'!P306+'Data for charts 09-24'!P308+'Data for charts 09-24'!P313+'Data for charts 09-24'!P315+'Data for charts 09-24'!P307</f>
        <v>59.5</v>
      </c>
    </row>
    <row r="44" spans="1:16">
      <c r="A44" s="190" t="s">
        <v>421</v>
      </c>
      <c r="B44" s="24">
        <f>'Data for charts 09-24'!B312</f>
        <v>100.4</v>
      </c>
      <c r="C44" s="24">
        <f>'Data for charts 09-24'!C312</f>
        <v>57.7</v>
      </c>
      <c r="D44" s="24">
        <f>'Data for charts 09-24'!D312</f>
        <v>78.400000000000006</v>
      </c>
      <c r="E44" s="24">
        <f>'Data for charts 09-24'!E312</f>
        <v>90.5</v>
      </c>
      <c r="F44" s="24">
        <f>'Data for charts 09-24'!F312</f>
        <v>85.6</v>
      </c>
      <c r="G44" s="24">
        <f>'Data for charts 09-24'!G312</f>
        <v>106.5</v>
      </c>
      <c r="H44" s="24">
        <f>'Data for charts 09-24'!H312</f>
        <v>92</v>
      </c>
      <c r="I44" s="24">
        <f>'Data for charts 09-24'!I312</f>
        <v>117.7</v>
      </c>
      <c r="J44" s="24">
        <f>'Data for charts 09-24'!J312</f>
        <v>106</v>
      </c>
      <c r="K44" s="24">
        <f>'Data for charts 09-24'!K312</f>
        <v>119.5</v>
      </c>
      <c r="L44" s="24">
        <f>'Data for charts 09-24'!L312</f>
        <v>105.7</v>
      </c>
      <c r="M44" s="24">
        <f>'Data for charts 09-24'!M312</f>
        <v>111.7</v>
      </c>
      <c r="N44" s="24">
        <f>'Data for charts 09-24'!N312</f>
        <v>76.599999999999994</v>
      </c>
      <c r="O44" s="24">
        <f>'Data for charts 09-24'!O312</f>
        <v>-3.3</v>
      </c>
      <c r="P44" s="24">
        <f>'Data for charts 09-24'!P312</f>
        <v>-2.8</v>
      </c>
    </row>
    <row r="45" spans="1:16">
      <c r="A45" s="1" t="s">
        <v>422</v>
      </c>
      <c r="B45" s="217">
        <v>1.7999999999999999E-2</v>
      </c>
      <c r="C45" s="217">
        <v>2.9000000000000001E-2</v>
      </c>
      <c r="D45" s="217">
        <v>2.8000000000000001E-2</v>
      </c>
      <c r="E45" s="217">
        <v>2.4E-2</v>
      </c>
      <c r="F45" s="217">
        <v>1.7999999999999999E-2</v>
      </c>
      <c r="G45" s="217">
        <v>1.7999999999999999E-2</v>
      </c>
      <c r="H45" s="217">
        <v>1.37E-2</v>
      </c>
      <c r="I45" s="217">
        <v>2.3999999999999998E-3</v>
      </c>
      <c r="J45" s="205">
        <v>2.5499999999999998E-2</v>
      </c>
      <c r="K45" s="205">
        <v>2.9000000000000001E-2</v>
      </c>
      <c r="L45" s="205">
        <v>1.7999999999999999E-2</v>
      </c>
      <c r="M45" s="205">
        <v>1.2500000000000001E-2</v>
      </c>
      <c r="N45" s="205">
        <v>1.55E-2</v>
      </c>
      <c r="O45" s="205">
        <v>4.1500000000000002E-2</v>
      </c>
      <c r="P45" s="205">
        <v>5.0999999999999997E-2</v>
      </c>
    </row>
    <row r="46" spans="1:16">
      <c r="J46" s="205"/>
      <c r="K46" s="205"/>
      <c r="L46" s="205"/>
      <c r="M46" s="205"/>
      <c r="N46" s="205"/>
      <c r="O46" s="205"/>
      <c r="P46" s="205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P80"/>
  <sheetViews>
    <sheetView zoomScale="110" zoomScaleNormal="110" workbookViewId="0">
      <selection activeCell="L17" sqref="L17"/>
    </sheetView>
  </sheetViews>
  <sheetFormatPr defaultColWidth="9" defaultRowHeight="12.5"/>
  <cols>
    <col min="1" max="1" width="9" style="2" customWidth="1"/>
    <col min="2" max="16384" width="9" style="2"/>
  </cols>
  <sheetData>
    <row r="1" spans="1:12" ht="13">
      <c r="A1" s="244" t="s">
        <v>606</v>
      </c>
    </row>
    <row r="3" spans="1:12">
      <c r="K3" s="180"/>
      <c r="L3" s="181"/>
    </row>
    <row r="4" spans="1:12">
      <c r="K4" s="180"/>
      <c r="L4" s="181"/>
    </row>
    <row r="5" spans="1:12">
      <c r="K5" s="180"/>
      <c r="L5" s="181"/>
    </row>
    <row r="6" spans="1:12">
      <c r="K6" s="180"/>
      <c r="L6" s="181"/>
    </row>
    <row r="7" spans="1:12">
      <c r="K7" s="180"/>
      <c r="L7" s="181"/>
    </row>
    <row r="8" spans="1:12">
      <c r="K8" s="180"/>
    </row>
    <row r="26" spans="1:16" ht="13">
      <c r="A26" s="148" t="s">
        <v>343</v>
      </c>
    </row>
    <row r="27" spans="1:16" ht="13">
      <c r="A27" s="148"/>
      <c r="B27" s="149" t="s">
        <v>15</v>
      </c>
      <c r="C27" s="149" t="s">
        <v>14</v>
      </c>
      <c r="D27" s="149" t="s">
        <v>13</v>
      </c>
      <c r="E27" s="149" t="str">
        <f>'Data for charts 09-24'!B13</f>
        <v>2012-13</v>
      </c>
      <c r="F27" s="149" t="str">
        <f>'Data for charts 09-24'!B12</f>
        <v>2013-14</v>
      </c>
      <c r="G27" s="149" t="str">
        <f>'Data for charts 09-24'!B11</f>
        <v>2014-15</v>
      </c>
      <c r="H27" s="149" t="str">
        <f>'Data for charts 09-24'!B10</f>
        <v>2015-16</v>
      </c>
      <c r="I27" s="149" t="str">
        <f>'Data for charts 09-24'!B9</f>
        <v>2016-17</v>
      </c>
      <c r="J27" s="149" t="str">
        <f>'Data for charts 09-24'!B8</f>
        <v>2017-18</v>
      </c>
      <c r="K27" s="149" t="str">
        <f>'Data for charts 09-24'!B7</f>
        <v>2018-19</v>
      </c>
      <c r="L27" s="149" t="s">
        <v>5</v>
      </c>
      <c r="M27" s="149" t="s">
        <v>4</v>
      </c>
      <c r="N27" s="149" t="s">
        <v>3</v>
      </c>
      <c r="O27" s="149" t="s">
        <v>2</v>
      </c>
      <c r="P27" s="149" t="s">
        <v>1</v>
      </c>
    </row>
    <row r="28" spans="1:16">
      <c r="A28" s="149" t="s">
        <v>424</v>
      </c>
      <c r="B28" s="182">
        <v>1132.3</v>
      </c>
      <c r="C28" s="182">
        <v>960</v>
      </c>
      <c r="D28" s="182">
        <v>1008</v>
      </c>
      <c r="E28" s="182">
        <f>-'Data for charts 09-24'!E53</f>
        <v>1171.9000000000001</v>
      </c>
      <c r="F28" s="182">
        <f>-'Data for charts 09-24'!F53</f>
        <v>1303.0999999999999</v>
      </c>
      <c r="G28" s="182">
        <f>-'Data for charts 09-24'!G53</f>
        <v>1493.3</v>
      </c>
      <c r="H28" s="182">
        <f>-'Data for charts 09-24'!H53</f>
        <v>1424.7</v>
      </c>
      <c r="I28" s="182">
        <f>-'Data for charts 09-24'!I53</f>
        <v>1834.7</v>
      </c>
      <c r="J28" s="182">
        <f>-'Data for charts 09-24'!J53</f>
        <v>1865.3</v>
      </c>
      <c r="K28" s="182">
        <f>-'Data for charts 09-24'!K53</f>
        <v>1893.8504840000001</v>
      </c>
      <c r="L28" s="183">
        <v>2190</v>
      </c>
      <c r="M28" s="183">
        <v>2306</v>
      </c>
      <c r="N28" s="183">
        <v>2639</v>
      </c>
      <c r="O28" s="183">
        <v>1415</v>
      </c>
      <c r="P28" s="183">
        <v>1312.1</v>
      </c>
    </row>
    <row r="29" spans="1:16">
      <c r="A29" s="149" t="s">
        <v>425</v>
      </c>
      <c r="B29" s="184">
        <v>1.7999999999999999E-2</v>
      </c>
      <c r="C29" s="184">
        <v>2.9000000000000001E-2</v>
      </c>
      <c r="D29" s="184">
        <v>2.8000000000000001E-2</v>
      </c>
      <c r="E29" s="184">
        <v>2.4E-2</v>
      </c>
      <c r="F29" s="184">
        <v>1.7999999999999999E-2</v>
      </c>
      <c r="G29" s="184">
        <v>1.2999999999999999E-2</v>
      </c>
      <c r="H29" s="184">
        <v>1.37E-2</v>
      </c>
      <c r="I29" s="184">
        <v>2.3999999999999998E-3</v>
      </c>
      <c r="J29" s="184">
        <v>1E-3</v>
      </c>
      <c r="K29" s="184">
        <v>2.8999999999999998E-3</v>
      </c>
      <c r="L29" s="185">
        <v>-5.0000000000000001E-3</v>
      </c>
      <c r="M29" s="185">
        <v>-0.01</v>
      </c>
      <c r="N29" s="185">
        <v>-1.2999999999999999E-2</v>
      </c>
      <c r="O29" s="185">
        <v>1.7000000000000001E-2</v>
      </c>
      <c r="P29" s="184">
        <v>1.7000000000000001E-2</v>
      </c>
    </row>
    <row r="31" spans="1:16" s="187" customFormat="1" ht="13">
      <c r="A31" s="186" t="s">
        <v>15</v>
      </c>
    </row>
    <row r="40" spans="1:1" s="187" customFormat="1" ht="13">
      <c r="A40" s="186" t="s">
        <v>14</v>
      </c>
    </row>
    <row r="41" spans="1:1">
      <c r="A41" s="2" t="s">
        <v>426</v>
      </c>
    </row>
    <row r="42" spans="1:1" ht="13">
      <c r="A42" s="165"/>
    </row>
    <row r="43" spans="1:1" ht="13">
      <c r="A43" s="165"/>
    </row>
    <row r="61" spans="9:9" ht="13">
      <c r="I61" s="188" t="s">
        <v>427</v>
      </c>
    </row>
    <row r="70" spans="1:1" s="187" customFormat="1" ht="13">
      <c r="A70" s="186" t="s">
        <v>13</v>
      </c>
    </row>
    <row r="80" spans="1:1" s="187" customFormat="1" ht="13">
      <c r="A80" s="186" t="s">
        <v>12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6E09A-4D63-4D22-A7F1-451304AC4B99}">
  <dimension ref="A1:P34"/>
  <sheetViews>
    <sheetView workbookViewId="0">
      <selection activeCell="N21" sqref="N21"/>
    </sheetView>
  </sheetViews>
  <sheetFormatPr defaultRowHeight="14"/>
  <sheetData>
    <row r="1" spans="1:1">
      <c r="A1" s="4" t="s">
        <v>607</v>
      </c>
    </row>
    <row r="2" spans="1:1" s="1" customFormat="1" ht="12.5"/>
    <row r="3" spans="1:1" s="1" customFormat="1" ht="12.5"/>
    <row r="4" spans="1:1" s="1" customFormat="1" ht="12.5"/>
    <row r="5" spans="1:1" s="1" customFormat="1" ht="12.5"/>
    <row r="6" spans="1:1" s="1" customFormat="1" ht="12.5"/>
    <row r="7" spans="1:1" s="1" customFormat="1" ht="12.5"/>
    <row r="8" spans="1:1" s="1" customFormat="1" ht="12.5"/>
    <row r="9" spans="1:1" s="1" customFormat="1" ht="12.5"/>
    <row r="10" spans="1:1" s="1" customFormat="1" ht="12.5"/>
    <row r="11" spans="1:1" s="1" customFormat="1" ht="12.5"/>
    <row r="12" spans="1:1" s="1" customFormat="1" ht="12.5"/>
    <row r="13" spans="1:1" s="1" customFormat="1" ht="12.5"/>
    <row r="14" spans="1:1" s="1" customFormat="1" ht="12.5"/>
    <row r="15" spans="1:1" s="1" customFormat="1" ht="12.5"/>
    <row r="16" spans="1:1" s="1" customFormat="1" ht="12.5"/>
    <row r="17" spans="1:16" s="1" customFormat="1" ht="12.5"/>
    <row r="18" spans="1:16" s="1" customFormat="1" ht="12.5"/>
    <row r="19" spans="1:16" s="1" customFormat="1" ht="12.5"/>
    <row r="20" spans="1:16" s="1" customFormat="1" ht="12.5"/>
    <row r="21" spans="1:16" s="1" customFormat="1" ht="12.5"/>
    <row r="22" spans="1:16" s="1" customFormat="1" ht="12.5"/>
    <row r="23" spans="1:16" s="1" customFormat="1" ht="12.5"/>
    <row r="24" spans="1:16" s="1" customFormat="1" ht="12.5"/>
    <row r="25" spans="1:16" s="1" customFormat="1" ht="12.5"/>
    <row r="26" spans="1:16" s="1" customFormat="1" ht="12.5"/>
    <row r="27" spans="1:16" s="1" customFormat="1" ht="12.5"/>
    <row r="28" spans="1:16" s="1" customFormat="1" ht="12.5">
      <c r="B28" s="220" t="s">
        <v>15</v>
      </c>
      <c r="C28" s="220" t="s">
        <v>14</v>
      </c>
      <c r="D28" s="220" t="s">
        <v>13</v>
      </c>
      <c r="E28" s="220" t="s">
        <v>12</v>
      </c>
      <c r="F28" s="220" t="s">
        <v>11</v>
      </c>
      <c r="G28" s="220" t="s">
        <v>10</v>
      </c>
      <c r="H28" s="220" t="s">
        <v>9</v>
      </c>
      <c r="I28" s="220" t="s">
        <v>8</v>
      </c>
      <c r="J28" s="220" t="s">
        <v>7</v>
      </c>
      <c r="K28" s="220" t="s">
        <v>6</v>
      </c>
      <c r="L28" s="220" t="s">
        <v>5</v>
      </c>
      <c r="M28" s="220" t="s">
        <v>4</v>
      </c>
      <c r="N28" s="220" t="s">
        <v>3</v>
      </c>
      <c r="O28" s="220" t="s">
        <v>2</v>
      </c>
      <c r="P28" s="220" t="s">
        <v>1</v>
      </c>
    </row>
    <row r="29" spans="1:16" s="1" customFormat="1" ht="12.5">
      <c r="A29" s="1" t="s">
        <v>337</v>
      </c>
      <c r="B29" s="24">
        <f>SUM('A.31 Prov b''dn'!B29:B33)</f>
        <v>102.2</v>
      </c>
      <c r="C29" s="24">
        <f>SUM('A.31 Prov b''dn'!C29:C33)</f>
        <v>107</v>
      </c>
      <c r="D29" s="24">
        <f>SUM('A.31 Prov b''dn'!D29:D33)</f>
        <v>113</v>
      </c>
      <c r="E29" s="24">
        <f>SUM('A.31 Prov b''dn'!E29:E33)</f>
        <v>130.69999999999999</v>
      </c>
      <c r="F29" s="24">
        <f>SUM('A.31 Prov b''dn'!F29:F33)</f>
        <v>154.6</v>
      </c>
      <c r="G29" s="24">
        <f>SUM('A.31 Prov b''dn'!G29:G33)</f>
        <v>175.3</v>
      </c>
      <c r="H29" s="24">
        <f>SUM('A.31 Prov b''dn'!H29:H33)</f>
        <v>305.5</v>
      </c>
      <c r="I29" s="24">
        <f>SUM('A.31 Prov b''dn'!I29:I33)</f>
        <v>322.20000000000005</v>
      </c>
      <c r="J29" s="24">
        <f>SUM('A.31 Prov b''dn'!J29:J33)</f>
        <v>422.5</v>
      </c>
      <c r="K29" s="24">
        <f>SUM('A.31 Prov b''dn'!K29:K33)</f>
        <v>311.39999999999998</v>
      </c>
      <c r="L29" s="24">
        <f>SUM('A.31 Prov b''dn'!L29:L33)</f>
        <v>374.79999999999995</v>
      </c>
      <c r="M29" s="24">
        <f>SUM('A.31 Prov b''dn'!M29:M33)</f>
        <v>366.4</v>
      </c>
      <c r="N29" s="24">
        <f>SUM('A.31 Prov b''dn'!N29:N33)</f>
        <v>527.80000000000007</v>
      </c>
      <c r="O29" s="24">
        <f>SUM('A.31 Prov b''dn'!O29:O33)</f>
        <v>306.90000000000003</v>
      </c>
      <c r="P29" s="24">
        <f>SUM('A.31 Prov b''dn'!P29:P33)</f>
        <v>262.2</v>
      </c>
    </row>
    <row r="30" spans="1:16" s="1" customFormat="1" ht="12.5">
      <c r="A30" s="1" t="s">
        <v>627</v>
      </c>
      <c r="B30" s="24">
        <f>'A.31 Prov b''dn'!B49</f>
        <v>41.4</v>
      </c>
      <c r="C30" s="24">
        <f>'A.31 Prov b''dn'!C49</f>
        <v>49.5</v>
      </c>
      <c r="D30" s="24">
        <f>'A.31 Prov b''dn'!D49</f>
        <v>100.80000000000001</v>
      </c>
      <c r="E30" s="24">
        <f>'A.31 Prov b''dn'!E49</f>
        <v>87.9</v>
      </c>
      <c r="F30" s="24">
        <f>'A.31 Prov b''dn'!F49</f>
        <v>63.8</v>
      </c>
      <c r="G30" s="24">
        <f>'A.31 Prov b''dn'!G49</f>
        <v>76.400000000000006</v>
      </c>
      <c r="H30" s="24">
        <f>'A.31 Prov b''dn'!H49</f>
        <v>104.3</v>
      </c>
      <c r="I30" s="24">
        <f>'A.31 Prov b''dn'!I49</f>
        <v>84</v>
      </c>
      <c r="J30" s="24">
        <f>'A.31 Prov b''dn'!J49</f>
        <v>83.699999999999989</v>
      </c>
      <c r="K30" s="24">
        <f>'A.31 Prov b''dn'!K49</f>
        <v>80</v>
      </c>
      <c r="L30" s="24">
        <f>'A.31 Prov b''dn'!L49</f>
        <v>68</v>
      </c>
      <c r="M30" s="24">
        <f>'A.31 Prov b''dn'!M49</f>
        <v>66.099999999999994</v>
      </c>
      <c r="N30" s="24">
        <f>'A.31 Prov b''dn'!N49</f>
        <v>107.00000000000001</v>
      </c>
      <c r="O30" s="24">
        <f>'A.31 Prov b''dn'!O49</f>
        <v>67.399999999999991</v>
      </c>
      <c r="P30" s="24">
        <f>'A.31 Prov b''dn'!P49</f>
        <v>52</v>
      </c>
    </row>
    <row r="31" spans="1:16" s="1" customFormat="1" ht="12.5">
      <c r="A31" s="1" t="s">
        <v>384</v>
      </c>
      <c r="B31" s="24">
        <f>'A.31 Prov b''dn'!B58</f>
        <v>434</v>
      </c>
      <c r="C31" s="24">
        <f>'A.31 Prov b''dn'!C58</f>
        <v>377.6</v>
      </c>
      <c r="D31" s="24">
        <f>'A.31 Prov b''dn'!D58</f>
        <v>162.4</v>
      </c>
      <c r="E31" s="24">
        <f>'A.31 Prov b''dn'!E58</f>
        <v>85.1</v>
      </c>
      <c r="F31" s="24">
        <f>'A.31 Prov b''dn'!F58</f>
        <v>69.399999999999991</v>
      </c>
      <c r="G31" s="24">
        <f>'A.31 Prov b''dn'!G58</f>
        <v>65.5</v>
      </c>
      <c r="H31" s="24">
        <f>'A.31 Prov b''dn'!H58</f>
        <v>85.3</v>
      </c>
      <c r="I31" s="24">
        <f>'A.31 Prov b''dn'!I58</f>
        <v>99.800000000000011</v>
      </c>
      <c r="J31" s="24">
        <f>'A.31 Prov b''dn'!J58</f>
        <v>318.89999999999998</v>
      </c>
      <c r="K31" s="24">
        <f>'A.31 Prov b''dn'!K58</f>
        <v>297.39999999999998</v>
      </c>
      <c r="L31" s="24">
        <f>'A.31 Prov b''dn'!L58</f>
        <v>379.5</v>
      </c>
      <c r="M31" s="24">
        <f>'A.31 Prov b''dn'!M58</f>
        <v>263.8</v>
      </c>
      <c r="N31" s="24">
        <f>'A.31 Prov b''dn'!N58</f>
        <v>179</v>
      </c>
      <c r="O31" s="24">
        <f>'A.31 Prov b''dn'!O58</f>
        <v>157.30000000000001</v>
      </c>
      <c r="P31" s="24">
        <f>'A.31 Prov b''dn'!P58</f>
        <v>131.5</v>
      </c>
    </row>
    <row r="32" spans="1:16" s="1" customFormat="1" ht="12.5">
      <c r="A32" s="1" t="s">
        <v>628</v>
      </c>
      <c r="B32" s="266">
        <f>SUM(B29:B31)</f>
        <v>577.6</v>
      </c>
      <c r="C32" s="266">
        <f t="shared" ref="C32:P32" si="0">SUM(C29:C31)</f>
        <v>534.1</v>
      </c>
      <c r="D32" s="266">
        <f t="shared" si="0"/>
        <v>376.20000000000005</v>
      </c>
      <c r="E32" s="266">
        <f t="shared" si="0"/>
        <v>303.7</v>
      </c>
      <c r="F32" s="266">
        <f t="shared" si="0"/>
        <v>287.79999999999995</v>
      </c>
      <c r="G32" s="266">
        <f t="shared" si="0"/>
        <v>317.20000000000005</v>
      </c>
      <c r="H32" s="266">
        <f t="shared" si="0"/>
        <v>495.1</v>
      </c>
      <c r="I32" s="266">
        <f t="shared" si="0"/>
        <v>506.00000000000006</v>
      </c>
      <c r="J32" s="266">
        <f t="shared" si="0"/>
        <v>825.09999999999991</v>
      </c>
      <c r="K32" s="266">
        <f t="shared" si="0"/>
        <v>688.8</v>
      </c>
      <c r="L32" s="266">
        <f t="shared" si="0"/>
        <v>822.3</v>
      </c>
      <c r="M32" s="266">
        <f t="shared" si="0"/>
        <v>696.3</v>
      </c>
      <c r="N32" s="266">
        <f t="shared" si="0"/>
        <v>813.80000000000007</v>
      </c>
      <c r="O32" s="266">
        <f t="shared" si="0"/>
        <v>531.6</v>
      </c>
      <c r="P32" s="266">
        <f t="shared" si="0"/>
        <v>445.7</v>
      </c>
    </row>
    <row r="33" s="1" customFormat="1" ht="12.5"/>
    <row r="34" s="1" customFormat="1" ht="12.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E3B06-4101-45A0-9BAA-B38F3A347F4B}">
  <dimension ref="A1:P58"/>
  <sheetViews>
    <sheetView topLeftCell="A24" zoomScale="95" workbookViewId="0">
      <selection activeCell="A49" sqref="A49"/>
    </sheetView>
  </sheetViews>
  <sheetFormatPr defaultRowHeight="12.5"/>
  <cols>
    <col min="1" max="1" width="32.33203125" style="1" bestFit="1" customWidth="1"/>
    <col min="2" max="16384" width="8.6640625" style="1"/>
  </cols>
  <sheetData>
    <row r="1" spans="1:1" ht="13">
      <c r="A1" s="244" t="s">
        <v>608</v>
      </c>
    </row>
    <row r="28" spans="1:16" ht="13">
      <c r="A28" s="26" t="s">
        <v>337</v>
      </c>
      <c r="B28" s="220" t="s">
        <v>15</v>
      </c>
      <c r="C28" s="220" t="s">
        <v>14</v>
      </c>
      <c r="D28" s="220" t="s">
        <v>13</v>
      </c>
      <c r="E28" s="220" t="s">
        <v>12</v>
      </c>
      <c r="F28" s="220" t="s">
        <v>11</v>
      </c>
      <c r="G28" s="220" t="s">
        <v>10</v>
      </c>
      <c r="H28" s="220" t="s">
        <v>9</v>
      </c>
      <c r="I28" s="220" t="s">
        <v>8</v>
      </c>
      <c r="J28" s="220" t="s">
        <v>7</v>
      </c>
      <c r="K28" s="220" t="s">
        <v>6</v>
      </c>
      <c r="L28" s="220" t="s">
        <v>5</v>
      </c>
      <c r="M28" s="220" t="s">
        <v>4</v>
      </c>
      <c r="N28" s="220" t="s">
        <v>3</v>
      </c>
      <c r="O28" s="220" t="s">
        <v>2</v>
      </c>
      <c r="P28" s="220" t="s">
        <v>1</v>
      </c>
    </row>
    <row r="29" spans="1:16">
      <c r="A29" s="1" t="s">
        <v>378</v>
      </c>
      <c r="B29" s="21">
        <v>56.7</v>
      </c>
      <c r="C29" s="21">
        <v>60.9</v>
      </c>
      <c r="D29" s="21">
        <v>63.8</v>
      </c>
      <c r="E29" s="21">
        <v>69.8</v>
      </c>
      <c r="F29" s="21">
        <v>77.400000000000006</v>
      </c>
      <c r="G29" s="21">
        <v>82.9</v>
      </c>
      <c r="H29" s="21">
        <v>181.7</v>
      </c>
      <c r="I29" s="21">
        <v>184.9</v>
      </c>
      <c r="J29" s="21">
        <v>263.39999999999998</v>
      </c>
      <c r="K29" s="21">
        <v>152.19999999999999</v>
      </c>
      <c r="L29" s="21">
        <v>157</v>
      </c>
      <c r="M29" s="21">
        <v>159.1</v>
      </c>
      <c r="N29" s="21">
        <v>273.10000000000002</v>
      </c>
      <c r="O29" s="21">
        <v>146.9</v>
      </c>
      <c r="P29" s="21">
        <v>125.5</v>
      </c>
    </row>
    <row r="30" spans="1:16">
      <c r="A30" s="1" t="s">
        <v>379</v>
      </c>
      <c r="B30" s="21">
        <v>15.7</v>
      </c>
      <c r="C30" s="21">
        <v>17.5</v>
      </c>
      <c r="D30" s="21">
        <v>19.399999999999999</v>
      </c>
      <c r="E30" s="21">
        <v>24</v>
      </c>
      <c r="F30" s="21">
        <v>26.6</v>
      </c>
      <c r="G30" s="21">
        <v>29.3</v>
      </c>
      <c r="H30" s="21">
        <v>57.6</v>
      </c>
      <c r="I30" s="21">
        <v>66.599999999999994</v>
      </c>
      <c r="J30" s="21">
        <v>78.400000000000006</v>
      </c>
      <c r="K30" s="21">
        <v>85.3</v>
      </c>
      <c r="L30" s="21">
        <v>86.1</v>
      </c>
      <c r="M30" s="21">
        <v>87.3</v>
      </c>
      <c r="N30" s="21">
        <v>131.30000000000001</v>
      </c>
      <c r="O30" s="21">
        <v>72.400000000000006</v>
      </c>
      <c r="P30" s="21">
        <v>61.7</v>
      </c>
    </row>
    <row r="31" spans="1:16">
      <c r="A31" s="1" t="s">
        <v>380</v>
      </c>
      <c r="B31" s="21">
        <v>0</v>
      </c>
      <c r="C31" s="21">
        <v>0</v>
      </c>
      <c r="D31" s="21">
        <v>0</v>
      </c>
      <c r="E31" s="21">
        <v>0</v>
      </c>
      <c r="F31" s="21">
        <v>14</v>
      </c>
      <c r="G31" s="21">
        <v>19.100000000000001</v>
      </c>
      <c r="H31" s="21">
        <v>19.5</v>
      </c>
      <c r="I31" s="21">
        <v>22.7</v>
      </c>
      <c r="J31" s="21">
        <v>23.2</v>
      </c>
      <c r="K31" s="21">
        <v>26.1</v>
      </c>
      <c r="L31" s="21">
        <v>31.3</v>
      </c>
      <c r="M31" s="21">
        <v>28.9</v>
      </c>
      <c r="N31" s="21">
        <v>27.7</v>
      </c>
      <c r="O31" s="21">
        <v>20.5</v>
      </c>
      <c r="P31" s="21">
        <v>19.100000000000001</v>
      </c>
    </row>
    <row r="32" spans="1:16">
      <c r="A32" s="1" t="s">
        <v>381</v>
      </c>
      <c r="B32" s="21">
        <v>0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38.700000000000003</v>
      </c>
      <c r="M32" s="21">
        <v>36.299999999999997</v>
      </c>
      <c r="N32" s="21">
        <v>31.7</v>
      </c>
      <c r="O32" s="21">
        <v>19.2</v>
      </c>
      <c r="P32" s="21">
        <v>10.6</v>
      </c>
    </row>
    <row r="33" spans="1:16">
      <c r="A33" s="1" t="s">
        <v>58</v>
      </c>
      <c r="B33" s="21">
        <v>29.799999999999997</v>
      </c>
      <c r="C33" s="21">
        <v>28.599999999999994</v>
      </c>
      <c r="D33" s="21">
        <v>29.800000000000011</v>
      </c>
      <c r="E33" s="21">
        <v>36.899999999999991</v>
      </c>
      <c r="F33" s="21">
        <v>36.599999999999994</v>
      </c>
      <c r="G33" s="21">
        <v>44</v>
      </c>
      <c r="H33" s="21">
        <v>46.700000000000045</v>
      </c>
      <c r="I33" s="21">
        <v>48.000000000000057</v>
      </c>
      <c r="J33" s="21">
        <v>57.500000000000057</v>
      </c>
      <c r="K33" s="21">
        <v>47.799999999999955</v>
      </c>
      <c r="L33" s="21">
        <v>61.699999999999989</v>
      </c>
      <c r="M33" s="21">
        <v>54.800000000000011</v>
      </c>
      <c r="N33" s="21">
        <v>64.000000000000057</v>
      </c>
      <c r="O33" s="21">
        <v>47.900000000000034</v>
      </c>
      <c r="P33" s="21">
        <v>45.300000000000011</v>
      </c>
    </row>
    <row r="34" spans="1:16">
      <c r="A34" s="1" t="s">
        <v>382</v>
      </c>
      <c r="B34" s="217">
        <v>2.1999999999999999E-2</v>
      </c>
      <c r="C34" s="217">
        <v>2.1999999999999999E-2</v>
      </c>
      <c r="D34" s="217">
        <v>2.1999999999999999E-2</v>
      </c>
      <c r="E34" s="217">
        <v>2.1999999999999999E-2</v>
      </c>
      <c r="F34" s="217">
        <v>2.1999999999999999E-2</v>
      </c>
      <c r="G34" s="217">
        <v>2.1999999999999999E-2</v>
      </c>
      <c r="H34" s="217">
        <v>-8.0000000000000002E-3</v>
      </c>
      <c r="I34" s="217">
        <v>-8.0000000000000002E-3</v>
      </c>
      <c r="J34" s="205">
        <v>1.9900000000000001E-2</v>
      </c>
      <c r="K34" s="205">
        <v>1.9900000000000001E-2</v>
      </c>
      <c r="L34" s="205">
        <v>1.9900000000000001E-2</v>
      </c>
      <c r="M34" s="205">
        <v>1.9900000000000001E-2</v>
      </c>
      <c r="N34" s="205">
        <v>6.6E-3</v>
      </c>
      <c r="O34" s="205">
        <v>0.03</v>
      </c>
      <c r="P34" s="205">
        <v>4.3999999999999997E-2</v>
      </c>
    </row>
    <row r="36" spans="1:16" ht="13">
      <c r="A36" s="26" t="s">
        <v>383</v>
      </c>
      <c r="B36" s="220" t="s">
        <v>15</v>
      </c>
      <c r="C36" s="220" t="s">
        <v>14</v>
      </c>
      <c r="D36" s="220" t="s">
        <v>13</v>
      </c>
      <c r="E36" s="220" t="s">
        <v>12</v>
      </c>
      <c r="F36" s="220" t="s">
        <v>11</v>
      </c>
      <c r="G36" s="220" t="s">
        <v>10</v>
      </c>
      <c r="H36" s="220" t="s">
        <v>9</v>
      </c>
      <c r="I36" s="220" t="s">
        <v>8</v>
      </c>
      <c r="J36" s="220" t="s">
        <v>7</v>
      </c>
      <c r="K36" s="220" t="s">
        <v>6</v>
      </c>
      <c r="L36" s="220" t="s">
        <v>5</v>
      </c>
      <c r="M36" s="220" t="s">
        <v>4</v>
      </c>
      <c r="N36" s="220" t="s">
        <v>3</v>
      </c>
      <c r="O36" s="220" t="s">
        <v>2</v>
      </c>
      <c r="P36" s="220" t="s">
        <v>1</v>
      </c>
    </row>
    <row r="37" spans="1:16">
      <c r="A37" s="1" t="s">
        <v>68</v>
      </c>
      <c r="N37" s="1">
        <v>16.7</v>
      </c>
      <c r="O37" s="1">
        <v>18.5</v>
      </c>
      <c r="P37" s="1">
        <v>17.8</v>
      </c>
    </row>
    <row r="38" spans="1:16">
      <c r="A38" s="1" t="s">
        <v>379</v>
      </c>
      <c r="B38" s="1">
        <v>7.5</v>
      </c>
      <c r="C38" s="1">
        <v>7.9</v>
      </c>
      <c r="D38" s="1">
        <v>8.4</v>
      </c>
      <c r="E38" s="1">
        <v>10.5</v>
      </c>
      <c r="F38" s="1">
        <v>11.9</v>
      </c>
      <c r="G38" s="1">
        <v>14</v>
      </c>
      <c r="H38" s="1">
        <v>26.7</v>
      </c>
      <c r="I38" s="1">
        <v>36.5</v>
      </c>
      <c r="J38" s="1">
        <v>47.3</v>
      </c>
      <c r="K38" s="1">
        <v>50.8</v>
      </c>
      <c r="L38" s="1">
        <v>49.7</v>
      </c>
      <c r="M38" s="1">
        <v>48.9</v>
      </c>
      <c r="N38" s="1">
        <v>75.2</v>
      </c>
      <c r="O38" s="1">
        <v>33.4</v>
      </c>
      <c r="P38" s="1">
        <v>25.7</v>
      </c>
    </row>
    <row r="39" spans="1:16">
      <c r="A39" s="1" t="s">
        <v>58</v>
      </c>
      <c r="B39" s="18">
        <f>B40-B38-B37</f>
        <v>33.9</v>
      </c>
      <c r="C39" s="18">
        <f t="shared" ref="C39:P39" si="0">C40-C38-C37</f>
        <v>41.6</v>
      </c>
      <c r="D39" s="18">
        <f t="shared" si="0"/>
        <v>92.4</v>
      </c>
      <c r="E39" s="18">
        <f t="shared" si="0"/>
        <v>77.400000000000006</v>
      </c>
      <c r="F39" s="18">
        <f t="shared" si="0"/>
        <v>51.9</v>
      </c>
      <c r="G39" s="18">
        <f t="shared" si="0"/>
        <v>62.400000000000006</v>
      </c>
      <c r="H39" s="18">
        <f t="shared" si="0"/>
        <v>77.599999999999994</v>
      </c>
      <c r="I39" s="18">
        <f t="shared" si="0"/>
        <v>47.5</v>
      </c>
      <c r="J39" s="18">
        <f t="shared" si="0"/>
        <v>36.399999999999991</v>
      </c>
      <c r="K39" s="18">
        <f t="shared" si="0"/>
        <v>29.200000000000003</v>
      </c>
      <c r="L39" s="18">
        <f t="shared" si="0"/>
        <v>18.299999999999997</v>
      </c>
      <c r="M39" s="18">
        <f t="shared" si="0"/>
        <v>17.199999999999996</v>
      </c>
      <c r="N39" s="18">
        <f t="shared" si="0"/>
        <v>15.100000000000012</v>
      </c>
      <c r="O39" s="18">
        <f t="shared" si="0"/>
        <v>15.499999999999993</v>
      </c>
      <c r="P39" s="18">
        <f t="shared" si="0"/>
        <v>8.5</v>
      </c>
    </row>
    <row r="40" spans="1:16" ht="13">
      <c r="A40" s="26" t="s">
        <v>72</v>
      </c>
      <c r="B40" s="221">
        <v>41.4</v>
      </c>
      <c r="C40" s="221">
        <v>49.5</v>
      </c>
      <c r="D40" s="221">
        <v>100.80000000000001</v>
      </c>
      <c r="E40" s="221">
        <v>87.9</v>
      </c>
      <c r="F40" s="221">
        <v>63.8</v>
      </c>
      <c r="G40" s="221">
        <v>76.400000000000006</v>
      </c>
      <c r="H40" s="221">
        <v>104.3</v>
      </c>
      <c r="I40" s="221">
        <v>84</v>
      </c>
      <c r="J40" s="221">
        <v>83.699999999999989</v>
      </c>
      <c r="K40" s="221">
        <v>80</v>
      </c>
      <c r="L40" s="221">
        <v>68</v>
      </c>
      <c r="M40" s="221">
        <v>66.099999999999994</v>
      </c>
      <c r="N40" s="221">
        <v>107.00000000000001</v>
      </c>
      <c r="O40" s="221">
        <v>67.399999999999991</v>
      </c>
      <c r="P40" s="221">
        <v>52</v>
      </c>
    </row>
    <row r="42" spans="1:16" ht="13">
      <c r="A42" s="26" t="s">
        <v>383</v>
      </c>
    </row>
    <row r="43" spans="1:16">
      <c r="B43" s="220" t="s">
        <v>15</v>
      </c>
      <c r="C43" s="220" t="s">
        <v>14</v>
      </c>
      <c r="D43" s="220" t="s">
        <v>13</v>
      </c>
      <c r="E43" s="220" t="s">
        <v>12</v>
      </c>
      <c r="F43" s="220" t="s">
        <v>11</v>
      </c>
      <c r="G43" s="220" t="s">
        <v>10</v>
      </c>
      <c r="H43" s="220" t="s">
        <v>9</v>
      </c>
      <c r="I43" s="220" t="s">
        <v>8</v>
      </c>
      <c r="J43" s="220" t="s">
        <v>7</v>
      </c>
      <c r="K43" s="220" t="s">
        <v>6</v>
      </c>
      <c r="L43" s="220" t="s">
        <v>5</v>
      </c>
      <c r="M43" s="220" t="s">
        <v>4</v>
      </c>
      <c r="N43" s="220" t="s">
        <v>3</v>
      </c>
      <c r="O43" s="220" t="s">
        <v>2</v>
      </c>
      <c r="P43" s="220" t="s">
        <v>1</v>
      </c>
    </row>
    <row r="44" spans="1:16">
      <c r="A44" s="1" t="s">
        <v>67</v>
      </c>
      <c r="B44" s="1">
        <v>7.5</v>
      </c>
      <c r="C44" s="1">
        <v>7.9</v>
      </c>
      <c r="D44" s="1">
        <v>8.4</v>
      </c>
      <c r="E44" s="1">
        <v>10.5</v>
      </c>
      <c r="F44" s="1">
        <v>11.9</v>
      </c>
      <c r="G44" s="1">
        <v>14</v>
      </c>
      <c r="H44" s="1">
        <v>26.7</v>
      </c>
      <c r="I44" s="1">
        <v>36.5</v>
      </c>
      <c r="J44" s="1">
        <v>47.3</v>
      </c>
      <c r="K44" s="1">
        <v>50.8</v>
      </c>
      <c r="L44" s="1">
        <v>49.7</v>
      </c>
      <c r="M44" s="1">
        <v>48.9</v>
      </c>
      <c r="N44" s="1">
        <v>75.2</v>
      </c>
      <c r="O44" s="1">
        <v>33.4</v>
      </c>
      <c r="P44" s="1">
        <v>25.7</v>
      </c>
    </row>
    <row r="45" spans="1:16">
      <c r="A45" s="1" t="s">
        <v>68</v>
      </c>
      <c r="N45" s="1">
        <v>16.7</v>
      </c>
      <c r="O45" s="1">
        <v>18.5</v>
      </c>
      <c r="P45" s="1">
        <v>1.8</v>
      </c>
    </row>
    <row r="46" spans="1:16">
      <c r="A46" s="1" t="s">
        <v>69</v>
      </c>
      <c r="B46" s="1">
        <v>5.5</v>
      </c>
      <c r="C46" s="1">
        <v>9.6999999999999993</v>
      </c>
      <c r="D46" s="1">
        <v>14.5</v>
      </c>
      <c r="E46" s="1">
        <v>14.5</v>
      </c>
      <c r="F46" s="1">
        <v>29.2</v>
      </c>
      <c r="G46" s="1">
        <v>35.6</v>
      </c>
      <c r="H46" s="1">
        <v>49.1</v>
      </c>
      <c r="I46" s="1">
        <v>18.7</v>
      </c>
      <c r="J46" s="1">
        <v>6</v>
      </c>
      <c r="K46" s="1">
        <v>2.2999999999999998</v>
      </c>
      <c r="L46" s="1">
        <v>2.2000000000000002</v>
      </c>
      <c r="M46" s="1">
        <v>3.1</v>
      </c>
      <c r="N46" s="1">
        <v>3.2</v>
      </c>
      <c r="O46" s="1">
        <v>4.0999999999999996</v>
      </c>
      <c r="P46" s="1">
        <v>0</v>
      </c>
    </row>
    <row r="47" spans="1:16">
      <c r="A47" s="1" t="s">
        <v>70</v>
      </c>
      <c r="L47" s="1">
        <v>0.6</v>
      </c>
      <c r="M47" s="1">
        <v>3</v>
      </c>
      <c r="N47" s="1">
        <v>2.5</v>
      </c>
      <c r="O47" s="1">
        <v>3.3</v>
      </c>
      <c r="P47" s="1">
        <v>0</v>
      </c>
    </row>
    <row r="48" spans="1:16">
      <c r="A48" s="1" t="s">
        <v>71</v>
      </c>
      <c r="B48" s="1">
        <v>28.4</v>
      </c>
      <c r="C48" s="1">
        <v>31.9</v>
      </c>
      <c r="D48" s="1">
        <v>77.900000000000006</v>
      </c>
      <c r="E48" s="1">
        <v>62.9</v>
      </c>
      <c r="F48" s="1">
        <v>22.7</v>
      </c>
      <c r="G48" s="1">
        <v>26.8</v>
      </c>
      <c r="H48" s="1">
        <v>28.5</v>
      </c>
      <c r="I48" s="1">
        <v>28.8</v>
      </c>
      <c r="J48" s="1">
        <v>30.4</v>
      </c>
      <c r="K48" s="1">
        <v>26.9</v>
      </c>
      <c r="L48" s="1">
        <v>15.5</v>
      </c>
      <c r="M48" s="1">
        <v>11.1</v>
      </c>
      <c r="N48" s="1">
        <v>9.4</v>
      </c>
      <c r="O48" s="1">
        <v>8.1</v>
      </c>
      <c r="P48" s="1">
        <f>P49-SUM(P44:P47)</f>
        <v>24.5</v>
      </c>
    </row>
    <row r="49" spans="1:16" ht="13">
      <c r="A49" s="26" t="s">
        <v>72</v>
      </c>
      <c r="B49" s="221">
        <v>41.4</v>
      </c>
      <c r="C49" s="221">
        <v>49.5</v>
      </c>
      <c r="D49" s="221">
        <v>100.80000000000001</v>
      </c>
      <c r="E49" s="221">
        <v>87.9</v>
      </c>
      <c r="F49" s="221">
        <v>63.8</v>
      </c>
      <c r="G49" s="221">
        <v>76.400000000000006</v>
      </c>
      <c r="H49" s="221">
        <v>104.3</v>
      </c>
      <c r="I49" s="221">
        <v>84</v>
      </c>
      <c r="J49" s="221">
        <v>83.699999999999989</v>
      </c>
      <c r="K49" s="221">
        <v>80</v>
      </c>
      <c r="L49" s="221">
        <v>68</v>
      </c>
      <c r="M49" s="221">
        <v>66.099999999999994</v>
      </c>
      <c r="N49" s="221">
        <v>107.00000000000001</v>
      </c>
      <c r="O49" s="221">
        <v>67.399999999999991</v>
      </c>
      <c r="P49" s="221">
        <v>52</v>
      </c>
    </row>
    <row r="51" spans="1:16" ht="13">
      <c r="A51" s="26" t="s">
        <v>384</v>
      </c>
    </row>
    <row r="52" spans="1:16">
      <c r="B52" s="220" t="s">
        <v>15</v>
      </c>
      <c r="C52" s="220" t="s">
        <v>14</v>
      </c>
      <c r="D52" s="220" t="s">
        <v>13</v>
      </c>
      <c r="E52" s="220" t="s">
        <v>12</v>
      </c>
      <c r="F52" s="220" t="s">
        <v>11</v>
      </c>
      <c r="G52" s="220" t="s">
        <v>10</v>
      </c>
      <c r="H52" s="220" t="s">
        <v>9</v>
      </c>
      <c r="I52" s="220" t="s">
        <v>8</v>
      </c>
      <c r="J52" s="220" t="s">
        <v>7</v>
      </c>
      <c r="K52" s="220" t="s">
        <v>6</v>
      </c>
      <c r="L52" s="220" t="s">
        <v>5</v>
      </c>
      <c r="M52" s="220" t="s">
        <v>4</v>
      </c>
      <c r="N52" s="220" t="s">
        <v>3</v>
      </c>
      <c r="O52" s="220" t="s">
        <v>2</v>
      </c>
      <c r="P52" s="220" t="s">
        <v>1</v>
      </c>
    </row>
    <row r="53" spans="1:16">
      <c r="A53" s="1" t="s">
        <v>82</v>
      </c>
      <c r="B53" s="24">
        <v>245.9</v>
      </c>
      <c r="C53" s="24">
        <v>232.1</v>
      </c>
      <c r="D53" s="24">
        <v>66</v>
      </c>
      <c r="E53" s="24">
        <v>40.1</v>
      </c>
      <c r="F53" s="24">
        <v>57.8</v>
      </c>
      <c r="G53" s="24">
        <v>56.9</v>
      </c>
      <c r="H53" s="24">
        <v>68.8</v>
      </c>
      <c r="I53" s="24">
        <v>74</v>
      </c>
      <c r="J53" s="24">
        <v>69.400000000000006</v>
      </c>
      <c r="K53" s="24">
        <v>69.900000000000006</v>
      </c>
      <c r="L53" s="24">
        <v>40.6</v>
      </c>
      <c r="M53" s="24">
        <v>26</v>
      </c>
      <c r="N53" s="24">
        <v>27.5</v>
      </c>
      <c r="O53" s="24">
        <v>43.4</v>
      </c>
      <c r="P53" s="24">
        <v>29</v>
      </c>
    </row>
    <row r="54" spans="1:16">
      <c r="A54" s="1" t="s">
        <v>386</v>
      </c>
      <c r="B54" s="24">
        <v>184</v>
      </c>
      <c r="C54" s="24">
        <v>141.5</v>
      </c>
      <c r="D54" s="24">
        <v>92.4</v>
      </c>
      <c r="E54" s="24">
        <v>41</v>
      </c>
      <c r="F54" s="24">
        <v>7.6</v>
      </c>
      <c r="G54" s="24">
        <v>8.3000000000000007</v>
      </c>
      <c r="H54" s="24">
        <v>16.5</v>
      </c>
      <c r="I54" s="24">
        <v>14.4</v>
      </c>
      <c r="J54" s="24">
        <v>28.1</v>
      </c>
      <c r="K54" s="24">
        <v>23.7</v>
      </c>
      <c r="L54" s="24">
        <v>32.5</v>
      </c>
      <c r="M54" s="24">
        <v>33.5</v>
      </c>
      <c r="N54" s="24">
        <v>37.4</v>
      </c>
      <c r="O54" s="24">
        <v>48</v>
      </c>
      <c r="P54" s="24">
        <v>31.1</v>
      </c>
    </row>
    <row r="55" spans="1:16">
      <c r="A55" s="1" t="s">
        <v>84</v>
      </c>
      <c r="B55" s="24">
        <v>4.0999999999999996</v>
      </c>
      <c r="C55" s="24">
        <v>4</v>
      </c>
      <c r="D55" s="24">
        <v>4</v>
      </c>
      <c r="E55" s="24">
        <v>4</v>
      </c>
      <c r="F55" s="24">
        <v>4</v>
      </c>
      <c r="G55" s="24">
        <v>0.3</v>
      </c>
      <c r="H55" s="24">
        <v>0</v>
      </c>
      <c r="I55" s="24">
        <v>11.4</v>
      </c>
      <c r="J55" s="24">
        <v>11.4</v>
      </c>
      <c r="K55" s="24">
        <v>23.8</v>
      </c>
      <c r="L55" s="24">
        <v>24.8</v>
      </c>
      <c r="M55" s="24">
        <v>33.6</v>
      </c>
      <c r="N55" s="24">
        <v>23.4</v>
      </c>
      <c r="O55" s="24">
        <v>27.7</v>
      </c>
      <c r="P55" s="24">
        <v>34.799999999999997</v>
      </c>
    </row>
    <row r="56" spans="1:16">
      <c r="A56" s="1" t="s">
        <v>388</v>
      </c>
      <c r="B56" s="24"/>
      <c r="C56" s="24"/>
      <c r="D56" s="24"/>
      <c r="E56" s="24"/>
      <c r="F56" s="24"/>
      <c r="G56" s="24"/>
      <c r="H56" s="24"/>
      <c r="I56" s="24"/>
      <c r="J56" s="24">
        <v>210</v>
      </c>
      <c r="K56" s="24">
        <v>180</v>
      </c>
      <c r="L56" s="24">
        <v>250</v>
      </c>
      <c r="M56" s="24">
        <v>140</v>
      </c>
      <c r="N56" s="24">
        <v>60</v>
      </c>
      <c r="O56" s="24">
        <v>6</v>
      </c>
      <c r="P56" s="24">
        <v>5</v>
      </c>
    </row>
    <row r="57" spans="1:16">
      <c r="A57" s="1" t="s">
        <v>389</v>
      </c>
      <c r="B57" s="24">
        <v>0</v>
      </c>
      <c r="C57" s="24"/>
      <c r="D57" s="24"/>
      <c r="E57" s="24"/>
      <c r="F57" s="24"/>
      <c r="G57" s="24"/>
      <c r="H57" s="24"/>
      <c r="I57" s="24"/>
      <c r="J57" s="24"/>
      <c r="K57" s="24"/>
      <c r="L57" s="24">
        <v>31.6</v>
      </c>
      <c r="M57" s="24">
        <v>30.7</v>
      </c>
      <c r="N57" s="24">
        <v>30.7</v>
      </c>
      <c r="O57" s="24">
        <v>32.200000000000003</v>
      </c>
      <c r="P57" s="24">
        <v>31.6</v>
      </c>
    </row>
    <row r="58" spans="1:16">
      <c r="A58" s="221" t="s">
        <v>80</v>
      </c>
      <c r="B58" s="267">
        <f t="shared" ref="B58:P58" si="1">SUM(B53:B57)</f>
        <v>434</v>
      </c>
      <c r="C58" s="267">
        <f t="shared" si="1"/>
        <v>377.6</v>
      </c>
      <c r="D58" s="267">
        <f t="shared" si="1"/>
        <v>162.4</v>
      </c>
      <c r="E58" s="267">
        <f t="shared" si="1"/>
        <v>85.1</v>
      </c>
      <c r="F58" s="267">
        <f t="shared" si="1"/>
        <v>69.399999999999991</v>
      </c>
      <c r="G58" s="267">
        <f t="shared" si="1"/>
        <v>65.5</v>
      </c>
      <c r="H58" s="267">
        <f t="shared" si="1"/>
        <v>85.3</v>
      </c>
      <c r="I58" s="267">
        <f t="shared" si="1"/>
        <v>99.800000000000011</v>
      </c>
      <c r="J58" s="267">
        <f t="shared" si="1"/>
        <v>318.89999999999998</v>
      </c>
      <c r="K58" s="267">
        <f t="shared" si="1"/>
        <v>297.39999999999998</v>
      </c>
      <c r="L58" s="267">
        <f t="shared" si="1"/>
        <v>379.5</v>
      </c>
      <c r="M58" s="267">
        <f t="shared" si="1"/>
        <v>263.8</v>
      </c>
      <c r="N58" s="267">
        <f t="shared" si="1"/>
        <v>179</v>
      </c>
      <c r="O58" s="267">
        <f t="shared" si="1"/>
        <v>157.30000000000001</v>
      </c>
      <c r="P58" s="267">
        <f t="shared" si="1"/>
        <v>131.5</v>
      </c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9232F-71F4-4A61-9CB7-4ED389B721A5}">
  <dimension ref="A1:P43"/>
  <sheetViews>
    <sheetView showGridLines="0" workbookViewId="0">
      <selection activeCell="J25" sqref="J25"/>
    </sheetView>
  </sheetViews>
  <sheetFormatPr defaultRowHeight="12.5"/>
  <cols>
    <col min="1" max="1" width="25.83203125" style="1" customWidth="1"/>
    <col min="2" max="15" width="8.6640625" style="1"/>
    <col min="16" max="16" width="9.58203125" style="1" customWidth="1"/>
    <col min="17" max="16384" width="8.6640625" style="1"/>
  </cols>
  <sheetData>
    <row r="1" spans="1:1" ht="13">
      <c r="A1" s="26" t="s">
        <v>609</v>
      </c>
    </row>
    <row r="27" spans="1:16" ht="13">
      <c r="A27" s="26" t="s">
        <v>383</v>
      </c>
    </row>
    <row r="28" spans="1:16">
      <c r="B28" s="220" t="s">
        <v>15</v>
      </c>
      <c r="C28" s="220" t="s">
        <v>14</v>
      </c>
      <c r="D28" s="220" t="s">
        <v>13</v>
      </c>
      <c r="E28" s="220" t="s">
        <v>12</v>
      </c>
      <c r="F28" s="220" t="s">
        <v>11</v>
      </c>
      <c r="G28" s="220" t="s">
        <v>10</v>
      </c>
      <c r="H28" s="220" t="s">
        <v>9</v>
      </c>
      <c r="I28" s="220" t="s">
        <v>8</v>
      </c>
      <c r="J28" s="220" t="s">
        <v>7</v>
      </c>
      <c r="K28" s="220" t="s">
        <v>6</v>
      </c>
      <c r="L28" s="220" t="s">
        <v>5</v>
      </c>
      <c r="M28" s="220" t="s">
        <v>4</v>
      </c>
      <c r="N28" s="220" t="s">
        <v>3</v>
      </c>
      <c r="O28" s="220" t="s">
        <v>2</v>
      </c>
      <c r="P28" s="220" t="s">
        <v>1</v>
      </c>
    </row>
    <row r="29" spans="1:16">
      <c r="A29" s="1" t="s">
        <v>67</v>
      </c>
      <c r="B29" s="18">
        <v>7.5</v>
      </c>
      <c r="C29" s="18">
        <v>7.9</v>
      </c>
      <c r="D29" s="18">
        <v>8.4</v>
      </c>
      <c r="E29" s="18">
        <v>10.5</v>
      </c>
      <c r="F29" s="18">
        <v>11.9</v>
      </c>
      <c r="G29" s="18">
        <v>14</v>
      </c>
      <c r="H29" s="18">
        <v>26.7</v>
      </c>
      <c r="I29" s="18">
        <v>36.5</v>
      </c>
      <c r="J29" s="18">
        <v>47.3</v>
      </c>
      <c r="K29" s="18">
        <v>50.8</v>
      </c>
      <c r="L29" s="18">
        <v>49.7</v>
      </c>
      <c r="M29" s="18">
        <v>48.9</v>
      </c>
      <c r="N29" s="18">
        <v>75.2</v>
      </c>
      <c r="O29" s="18">
        <v>33.4</v>
      </c>
      <c r="P29" s="18">
        <v>25.7</v>
      </c>
    </row>
    <row r="30" spans="1:16">
      <c r="A30" s="1" t="s">
        <v>68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>
        <v>16.7</v>
      </c>
      <c r="O30" s="18">
        <v>18.5</v>
      </c>
      <c r="P30" s="18">
        <v>17.8</v>
      </c>
    </row>
    <row r="31" spans="1:16">
      <c r="A31" s="1" t="s">
        <v>69</v>
      </c>
      <c r="B31" s="18">
        <v>5.5</v>
      </c>
      <c r="C31" s="18">
        <v>9.6999999999999993</v>
      </c>
      <c r="D31" s="18">
        <v>14.5</v>
      </c>
      <c r="E31" s="18">
        <v>14.5</v>
      </c>
      <c r="F31" s="18">
        <v>29.2</v>
      </c>
      <c r="G31" s="18">
        <v>35.6</v>
      </c>
      <c r="H31" s="18">
        <v>49.1</v>
      </c>
      <c r="I31" s="18">
        <v>18.7</v>
      </c>
      <c r="J31" s="18">
        <v>6</v>
      </c>
      <c r="K31" s="18">
        <v>2.2999999999999998</v>
      </c>
      <c r="L31" s="18">
        <v>2.2000000000000002</v>
      </c>
      <c r="M31" s="18">
        <v>3.1</v>
      </c>
      <c r="N31" s="18">
        <v>3.2</v>
      </c>
      <c r="O31" s="18">
        <v>4.0999999999999996</v>
      </c>
      <c r="P31" s="18">
        <v>0</v>
      </c>
    </row>
    <row r="32" spans="1:16">
      <c r="A32" s="1" t="s">
        <v>385</v>
      </c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>
        <v>0.6</v>
      </c>
      <c r="M32" s="18">
        <v>3</v>
      </c>
      <c r="N32" s="18">
        <v>2.5</v>
      </c>
      <c r="O32" s="18">
        <v>3.3</v>
      </c>
      <c r="P32" s="18">
        <v>0</v>
      </c>
    </row>
    <row r="33" spans="1:16">
      <c r="A33" s="1" t="s">
        <v>58</v>
      </c>
      <c r="B33" s="18">
        <v>28.4</v>
      </c>
      <c r="C33" s="18">
        <v>31.9</v>
      </c>
      <c r="D33" s="18">
        <v>77.900000000000006</v>
      </c>
      <c r="E33" s="18">
        <v>62.9</v>
      </c>
      <c r="F33" s="18">
        <v>22.7</v>
      </c>
      <c r="G33" s="18">
        <v>26.8</v>
      </c>
      <c r="H33" s="18">
        <v>28.5</v>
      </c>
      <c r="I33" s="18">
        <v>28.8</v>
      </c>
      <c r="J33" s="18">
        <v>30.4</v>
      </c>
      <c r="K33" s="18">
        <v>26.9</v>
      </c>
      <c r="L33" s="18">
        <v>15.5</v>
      </c>
      <c r="M33" s="18">
        <v>11.1</v>
      </c>
      <c r="N33" s="18">
        <v>9.4</v>
      </c>
      <c r="O33" s="18">
        <v>8.1</v>
      </c>
      <c r="P33" s="18">
        <f>52-P29-P30</f>
        <v>8.5</v>
      </c>
    </row>
    <row r="34" spans="1:16">
      <c r="A34" s="1" t="s">
        <v>382</v>
      </c>
      <c r="B34" s="217">
        <v>2.1999999999999999E-2</v>
      </c>
      <c r="C34" s="217">
        <v>2.1999999999999999E-2</v>
      </c>
      <c r="D34" s="217">
        <v>2.1999999999999999E-2</v>
      </c>
      <c r="E34" s="217">
        <v>2.1999999999999999E-2</v>
      </c>
      <c r="F34" s="217">
        <v>2.1999999999999999E-2</v>
      </c>
      <c r="G34" s="217">
        <v>2.1999999999999999E-2</v>
      </c>
      <c r="H34" s="217">
        <v>-8.0000000000000002E-3</v>
      </c>
      <c r="I34" s="217">
        <v>-8.0000000000000002E-3</v>
      </c>
      <c r="J34" s="205">
        <v>1.9900000000000001E-2</v>
      </c>
      <c r="K34" s="205">
        <v>1.9900000000000001E-2</v>
      </c>
      <c r="L34" s="205">
        <v>1.9900000000000001E-2</v>
      </c>
      <c r="M34" s="205">
        <v>1.9900000000000001E-2</v>
      </c>
      <c r="N34" s="205">
        <v>6.6E-3</v>
      </c>
      <c r="O34" s="205">
        <v>0.03</v>
      </c>
      <c r="P34" s="205">
        <v>4.3999999999999997E-2</v>
      </c>
    </row>
    <row r="36" spans="1:16" ht="13">
      <c r="A36" s="26" t="s">
        <v>384</v>
      </c>
    </row>
    <row r="37" spans="1:16">
      <c r="B37" s="220" t="s">
        <v>15</v>
      </c>
      <c r="C37" s="220" t="s">
        <v>14</v>
      </c>
      <c r="D37" s="220" t="s">
        <v>13</v>
      </c>
      <c r="E37" s="220" t="s">
        <v>12</v>
      </c>
      <c r="F37" s="220" t="s">
        <v>11</v>
      </c>
      <c r="G37" s="220" t="s">
        <v>10</v>
      </c>
      <c r="H37" s="220" t="s">
        <v>9</v>
      </c>
      <c r="I37" s="220" t="s">
        <v>8</v>
      </c>
      <c r="J37" s="220" t="s">
        <v>7</v>
      </c>
      <c r="K37" s="220" t="s">
        <v>6</v>
      </c>
      <c r="L37" s="220" t="s">
        <v>5</v>
      </c>
      <c r="M37" s="220" t="s">
        <v>4</v>
      </c>
      <c r="N37" s="220" t="s">
        <v>3</v>
      </c>
      <c r="O37" s="220" t="s">
        <v>2</v>
      </c>
      <c r="P37" s="220" t="s">
        <v>1</v>
      </c>
    </row>
    <row r="38" spans="1:16">
      <c r="A38" s="1" t="s">
        <v>82</v>
      </c>
      <c r="B38" s="18">
        <v>245.9</v>
      </c>
      <c r="C38" s="18">
        <v>232.1</v>
      </c>
      <c r="D38" s="18">
        <v>66</v>
      </c>
      <c r="E38" s="18">
        <v>40.1</v>
      </c>
      <c r="F38" s="18">
        <v>57.8</v>
      </c>
      <c r="G38" s="18">
        <v>56.9</v>
      </c>
      <c r="H38" s="18">
        <v>68.8</v>
      </c>
      <c r="I38" s="18">
        <v>74</v>
      </c>
      <c r="J38" s="18">
        <v>69.400000000000006</v>
      </c>
      <c r="K38" s="18">
        <v>69.900000000000006</v>
      </c>
      <c r="L38" s="18">
        <v>40.6</v>
      </c>
      <c r="M38" s="18">
        <v>26</v>
      </c>
      <c r="N38" s="18">
        <v>27.5</v>
      </c>
      <c r="O38" s="18">
        <v>43.4</v>
      </c>
      <c r="P38" s="18">
        <v>29</v>
      </c>
    </row>
    <row r="39" spans="1:16">
      <c r="A39" s="1" t="s">
        <v>386</v>
      </c>
      <c r="B39" s="18">
        <v>184</v>
      </c>
      <c r="C39" s="18">
        <v>141.5</v>
      </c>
      <c r="D39" s="18">
        <v>92.4</v>
      </c>
      <c r="E39" s="18">
        <v>41</v>
      </c>
      <c r="F39" s="18">
        <v>7.6</v>
      </c>
      <c r="G39" s="18">
        <v>8.3000000000000007</v>
      </c>
      <c r="H39" s="18">
        <v>16.5</v>
      </c>
      <c r="I39" s="18">
        <v>14.4</v>
      </c>
      <c r="J39" s="18">
        <v>28.1</v>
      </c>
      <c r="K39" s="18">
        <v>23.7</v>
      </c>
      <c r="L39" s="18">
        <v>32.5</v>
      </c>
      <c r="M39" s="18">
        <v>33.5</v>
      </c>
      <c r="N39" s="18">
        <v>37.4</v>
      </c>
      <c r="O39" s="18">
        <v>48</v>
      </c>
      <c r="P39" s="18">
        <v>31.1</v>
      </c>
    </row>
    <row r="40" spans="1:16">
      <c r="A40" s="1" t="s">
        <v>387</v>
      </c>
      <c r="B40" s="18">
        <v>4.0999999999999996</v>
      </c>
      <c r="C40" s="18">
        <v>4</v>
      </c>
      <c r="D40" s="18">
        <v>4</v>
      </c>
      <c r="E40" s="18">
        <v>4</v>
      </c>
      <c r="F40" s="18">
        <v>4</v>
      </c>
      <c r="G40" s="18">
        <v>0.3</v>
      </c>
      <c r="H40" s="18">
        <v>0</v>
      </c>
      <c r="I40" s="18">
        <v>11.4</v>
      </c>
      <c r="J40" s="18">
        <v>11.4</v>
      </c>
      <c r="K40" s="18">
        <v>23.8</v>
      </c>
      <c r="L40" s="18">
        <v>24.8</v>
      </c>
      <c r="M40" s="18">
        <v>33.6</v>
      </c>
      <c r="N40" s="18">
        <v>23.4</v>
      </c>
      <c r="O40" s="18">
        <v>27.7</v>
      </c>
      <c r="P40" s="18">
        <v>34.799999999999997</v>
      </c>
    </row>
    <row r="41" spans="1:16">
      <c r="A41" s="1" t="s">
        <v>388</v>
      </c>
      <c r="B41" s="18"/>
      <c r="C41" s="18"/>
      <c r="D41" s="18"/>
      <c r="E41" s="18"/>
      <c r="F41" s="18"/>
      <c r="G41" s="18"/>
      <c r="H41" s="18"/>
      <c r="I41" s="18"/>
      <c r="J41" s="18">
        <v>210</v>
      </c>
      <c r="K41" s="18">
        <v>180</v>
      </c>
      <c r="L41" s="18">
        <v>250</v>
      </c>
      <c r="M41" s="18">
        <v>140</v>
      </c>
      <c r="N41" s="18">
        <v>60</v>
      </c>
      <c r="O41" s="18">
        <v>6</v>
      </c>
      <c r="P41" s="18">
        <v>5</v>
      </c>
    </row>
    <row r="42" spans="1:16">
      <c r="A42" s="1" t="s">
        <v>389</v>
      </c>
      <c r="B42" s="18">
        <v>0</v>
      </c>
      <c r="C42" s="18"/>
      <c r="D42" s="18"/>
      <c r="E42" s="18"/>
      <c r="F42" s="18"/>
      <c r="G42" s="18"/>
      <c r="H42" s="18"/>
      <c r="I42" s="18"/>
      <c r="J42" s="18"/>
      <c r="K42" s="18"/>
      <c r="L42" s="18">
        <v>31.6</v>
      </c>
      <c r="M42" s="18">
        <v>30.7</v>
      </c>
      <c r="N42" s="18">
        <v>30.7</v>
      </c>
      <c r="O42" s="18">
        <v>32.200000000000003</v>
      </c>
      <c r="P42" s="18">
        <v>31.6</v>
      </c>
    </row>
    <row r="43" spans="1:16">
      <c r="A43" s="1" t="s">
        <v>382</v>
      </c>
      <c r="B43" s="217">
        <v>2.1999999999999999E-2</v>
      </c>
      <c r="C43" s="217">
        <v>2.1999999999999999E-2</v>
      </c>
      <c r="D43" s="217">
        <v>2.1999999999999999E-2</v>
      </c>
      <c r="E43" s="217">
        <v>2.1999999999999999E-2</v>
      </c>
      <c r="F43" s="217">
        <v>2.1999999999999999E-2</v>
      </c>
      <c r="G43" s="217">
        <v>2.1999999999999999E-2</v>
      </c>
      <c r="H43" s="217">
        <v>-8.0000000000000002E-3</v>
      </c>
      <c r="I43" s="217">
        <v>-8.0000000000000002E-3</v>
      </c>
      <c r="J43" s="205">
        <v>1.9900000000000001E-2</v>
      </c>
      <c r="K43" s="205">
        <v>1.9900000000000001E-2</v>
      </c>
      <c r="L43" s="205">
        <v>1.9900000000000001E-2</v>
      </c>
      <c r="M43" s="205">
        <v>1.9900000000000001E-2</v>
      </c>
      <c r="N43" s="205">
        <v>6.6E-3</v>
      </c>
      <c r="O43" s="205">
        <v>0.03</v>
      </c>
      <c r="P43" s="205">
        <v>4.3999999999999997E-2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6A838-FE4A-441A-89F8-1C8FAD0C90DE}">
  <dimension ref="A1:P20"/>
  <sheetViews>
    <sheetView workbookViewId="0">
      <selection activeCell="H26" sqref="H26"/>
    </sheetView>
  </sheetViews>
  <sheetFormatPr defaultRowHeight="14"/>
  <sheetData>
    <row r="1" spans="1:1">
      <c r="A1" s="4" t="s">
        <v>610</v>
      </c>
    </row>
    <row r="18" spans="1:16">
      <c r="A18" t="s">
        <v>337</v>
      </c>
      <c r="B18" t="s">
        <v>15</v>
      </c>
      <c r="C18" t="s">
        <v>14</v>
      </c>
      <c r="D18" t="s">
        <v>13</v>
      </c>
      <c r="E18" t="s">
        <v>12</v>
      </c>
      <c r="F18" t="s">
        <v>11</v>
      </c>
      <c r="G18" t="s">
        <v>10</v>
      </c>
      <c r="H18" t="s">
        <v>9</v>
      </c>
      <c r="I18" t="s">
        <v>8</v>
      </c>
      <c r="J18" t="s">
        <v>7</v>
      </c>
      <c r="K18" t="s">
        <v>6</v>
      </c>
      <c r="L18" t="s">
        <v>5</v>
      </c>
      <c r="M18" t="s">
        <v>4</v>
      </c>
      <c r="N18" t="s">
        <v>3</v>
      </c>
      <c r="O18" t="s">
        <v>2</v>
      </c>
      <c r="P18" t="s">
        <v>1</v>
      </c>
    </row>
    <row r="19" spans="1:16">
      <c r="A19" t="s">
        <v>390</v>
      </c>
      <c r="B19">
        <v>56.7</v>
      </c>
      <c r="C19">
        <v>60.9</v>
      </c>
      <c r="D19">
        <v>63.8</v>
      </c>
      <c r="E19">
        <v>69.8</v>
      </c>
      <c r="F19">
        <v>77.400000000000006</v>
      </c>
      <c r="G19">
        <v>82.9</v>
      </c>
      <c r="H19">
        <v>181.7</v>
      </c>
      <c r="I19">
        <v>184.9</v>
      </c>
      <c r="J19">
        <v>263.39999999999998</v>
      </c>
      <c r="K19">
        <v>152.19999999999999</v>
      </c>
      <c r="L19">
        <v>157</v>
      </c>
      <c r="M19">
        <v>159.1</v>
      </c>
      <c r="N19">
        <v>273.10000000000002</v>
      </c>
      <c r="O19">
        <v>146.9</v>
      </c>
      <c r="P19">
        <v>125.5</v>
      </c>
    </row>
    <row r="20" spans="1:16">
      <c r="A20" t="s">
        <v>391</v>
      </c>
      <c r="N20">
        <v>16.7</v>
      </c>
      <c r="O20">
        <v>18.5</v>
      </c>
      <c r="P20">
        <v>17.8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D755E-D6EF-4799-8898-98C044EFC6DC}">
  <dimension ref="A1:E14"/>
  <sheetViews>
    <sheetView workbookViewId="0">
      <selection activeCell="A21" sqref="A21"/>
    </sheetView>
  </sheetViews>
  <sheetFormatPr defaultRowHeight="12.5"/>
  <cols>
    <col min="1" max="1" width="28.08203125" style="1" customWidth="1"/>
    <col min="2" max="16384" width="8.6640625" style="1"/>
  </cols>
  <sheetData>
    <row r="1" spans="1:5" ht="13">
      <c r="A1" s="26" t="s">
        <v>584</v>
      </c>
    </row>
    <row r="3" spans="1:5">
      <c r="A3" s="1" t="s">
        <v>328</v>
      </c>
      <c r="B3" s="1" t="s">
        <v>15</v>
      </c>
      <c r="C3" s="1" t="s">
        <v>329</v>
      </c>
      <c r="D3" s="1" t="s">
        <v>330</v>
      </c>
      <c r="E3" s="1" t="s">
        <v>1</v>
      </c>
    </row>
    <row r="4" spans="1:5">
      <c r="A4" s="1" t="s">
        <v>331</v>
      </c>
      <c r="B4" s="24"/>
      <c r="C4" s="24">
        <f>B8</f>
        <v>1133</v>
      </c>
      <c r="D4" s="24">
        <f>C4+C5-D6-D7</f>
        <v>1281</v>
      </c>
      <c r="E4" s="24"/>
    </row>
    <row r="5" spans="1:5">
      <c r="A5" s="1" t="s">
        <v>332</v>
      </c>
      <c r="B5" s="24">
        <v>553</v>
      </c>
      <c r="C5" s="24">
        <f>E5-B5</f>
        <v>381</v>
      </c>
      <c r="D5" s="24"/>
      <c r="E5" s="204">
        <v>934</v>
      </c>
    </row>
    <row r="6" spans="1:5">
      <c r="A6" s="1" t="s">
        <v>333</v>
      </c>
      <c r="B6" s="24">
        <v>531</v>
      </c>
      <c r="C6" s="24"/>
      <c r="D6" s="24">
        <f>B6-E6</f>
        <v>230</v>
      </c>
      <c r="E6" s="204">
        <v>301</v>
      </c>
    </row>
    <row r="7" spans="1:5">
      <c r="A7" s="1" t="s">
        <v>334</v>
      </c>
      <c r="B7" s="24">
        <v>49</v>
      </c>
      <c r="C7" s="24"/>
      <c r="D7" s="24">
        <v>3</v>
      </c>
      <c r="E7" s="204">
        <v>46</v>
      </c>
    </row>
    <row r="8" spans="1:5" ht="13.5" thickBot="1">
      <c r="B8" s="242">
        <f>SUM(B5:B7)</f>
        <v>1133</v>
      </c>
      <c r="C8" s="242"/>
      <c r="D8" s="242"/>
      <c r="E8" s="243">
        <f>SUM(E5:E7)</f>
        <v>1281</v>
      </c>
    </row>
    <row r="9" spans="1:5" ht="13" thickTop="1">
      <c r="C9" s="94"/>
      <c r="D9" s="94"/>
    </row>
    <row r="11" spans="1:5">
      <c r="C11" s="22"/>
    </row>
    <row r="14" spans="1:5">
      <c r="D14" s="22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DT37"/>
  <sheetViews>
    <sheetView showGridLines="0" zoomScale="70" zoomScaleNormal="70" workbookViewId="0">
      <selection activeCell="J37" sqref="J37"/>
    </sheetView>
  </sheetViews>
  <sheetFormatPr defaultColWidth="9" defaultRowHeight="12.5"/>
  <cols>
    <col min="1" max="1" width="9" style="2" customWidth="1"/>
    <col min="2" max="39" width="8.6640625" style="2" bestFit="1" customWidth="1"/>
    <col min="40" max="102" width="7.25" style="2" bestFit="1" customWidth="1"/>
    <col min="103" max="120" width="6.25" style="2" bestFit="1" customWidth="1"/>
    <col min="121" max="122" width="7" style="2" bestFit="1" customWidth="1"/>
    <col min="123" max="123" width="14.75" style="2" customWidth="1"/>
    <col min="124" max="128" width="12.5" style="2" bestFit="1" customWidth="1"/>
    <col min="129" max="132" width="9.5" style="2" bestFit="1" customWidth="1"/>
    <col min="133" max="135" width="9.33203125" style="2" bestFit="1" customWidth="1"/>
    <col min="136" max="16384" width="9" style="2"/>
  </cols>
  <sheetData>
    <row r="1" spans="1:124" ht="13">
      <c r="A1" s="147" t="s">
        <v>68</v>
      </c>
    </row>
    <row r="13" spans="1:124" ht="14.15" customHeight="1">
      <c r="DQ13" s="273" t="s">
        <v>428</v>
      </c>
      <c r="DR13" s="273"/>
    </row>
    <row r="14" spans="1:124">
      <c r="DQ14" s="273"/>
      <c r="DR14" s="273"/>
    </row>
    <row r="15" spans="1:124" ht="14.15" customHeight="1">
      <c r="DQ15" s="273"/>
      <c r="DR15" s="273"/>
      <c r="DS15" s="167"/>
      <c r="DT15" s="167"/>
    </row>
    <row r="16" spans="1:124" ht="13" customHeight="1">
      <c r="DQ16" s="273"/>
      <c r="DR16" s="273"/>
      <c r="DS16" s="167"/>
      <c r="DT16" s="167"/>
    </row>
    <row r="17" spans="1:124">
      <c r="DQ17" s="167"/>
      <c r="DR17" s="167"/>
      <c r="DS17" s="167"/>
      <c r="DT17" s="167"/>
    </row>
    <row r="18" spans="1:124">
      <c r="DQ18" s="167"/>
      <c r="DR18" s="167"/>
      <c r="DS18" s="167"/>
      <c r="DT18" s="167"/>
    </row>
    <row r="19" spans="1:124" ht="13">
      <c r="A19" s="148" t="s">
        <v>342</v>
      </c>
      <c r="DQ19" s="1"/>
      <c r="DR19" s="1"/>
    </row>
    <row r="20" spans="1:124" ht="13">
      <c r="A20" s="149" t="s">
        <v>423</v>
      </c>
      <c r="B20" s="5" t="s">
        <v>429</v>
      </c>
      <c r="C20" s="5" t="s">
        <v>430</v>
      </c>
      <c r="D20" s="5" t="s">
        <v>403</v>
      </c>
      <c r="E20" s="5" t="s">
        <v>404</v>
      </c>
      <c r="F20" s="5" t="s">
        <v>405</v>
      </c>
      <c r="G20" s="5" t="s">
        <v>431</v>
      </c>
      <c r="H20" s="5" t="s">
        <v>432</v>
      </c>
      <c r="I20" s="5" t="s">
        <v>433</v>
      </c>
      <c r="J20" s="5" t="s">
        <v>434</v>
      </c>
      <c r="K20" s="5" t="s">
        <v>435</v>
      </c>
      <c r="L20" s="5" t="s">
        <v>436</v>
      </c>
      <c r="M20" s="5" t="s">
        <v>437</v>
      </c>
      <c r="N20" s="5" t="s">
        <v>438</v>
      </c>
      <c r="O20" s="5" t="s">
        <v>439</v>
      </c>
      <c r="P20" s="5" t="s">
        <v>440</v>
      </c>
      <c r="Q20" s="5" t="s">
        <v>441</v>
      </c>
      <c r="R20" s="5" t="s">
        <v>442</v>
      </c>
      <c r="S20" s="5" t="s">
        <v>443</v>
      </c>
      <c r="T20" s="5" t="s">
        <v>444</v>
      </c>
      <c r="U20" s="5" t="s">
        <v>445</v>
      </c>
      <c r="V20" s="5" t="s">
        <v>446</v>
      </c>
      <c r="W20" s="5" t="s">
        <v>447</v>
      </c>
      <c r="X20" s="5" t="s">
        <v>448</v>
      </c>
      <c r="Y20" s="5" t="s">
        <v>449</v>
      </c>
      <c r="Z20" s="5" t="s">
        <v>450</v>
      </c>
      <c r="AA20" s="5" t="s">
        <v>451</v>
      </c>
      <c r="AB20" s="5" t="s">
        <v>452</v>
      </c>
      <c r="AC20" s="5" t="s">
        <v>453</v>
      </c>
      <c r="AD20" s="5" t="s">
        <v>454</v>
      </c>
      <c r="AE20" s="5" t="s">
        <v>455</v>
      </c>
      <c r="AF20" s="5" t="s">
        <v>456</v>
      </c>
      <c r="AG20" s="5" t="s">
        <v>457</v>
      </c>
      <c r="AH20" s="5" t="s">
        <v>458</v>
      </c>
      <c r="AI20" s="5" t="s">
        <v>459</v>
      </c>
      <c r="AJ20" s="5" t="s">
        <v>460</v>
      </c>
      <c r="AK20" s="5" t="s">
        <v>461</v>
      </c>
      <c r="AL20" s="5" t="s">
        <v>462</v>
      </c>
      <c r="AM20" s="5" t="s">
        <v>463</v>
      </c>
      <c r="AN20" s="5" t="s">
        <v>464</v>
      </c>
      <c r="AO20" s="5" t="s">
        <v>465</v>
      </c>
      <c r="AP20" s="5" t="s">
        <v>466</v>
      </c>
      <c r="AQ20" s="5" t="s">
        <v>467</v>
      </c>
      <c r="AR20" s="5" t="s">
        <v>468</v>
      </c>
      <c r="AS20" s="5" t="s">
        <v>469</v>
      </c>
      <c r="AT20" s="5" t="s">
        <v>470</v>
      </c>
      <c r="AU20" s="5" t="s">
        <v>471</v>
      </c>
      <c r="AV20" s="5" t="s">
        <v>472</v>
      </c>
      <c r="AW20" s="5" t="s">
        <v>473</v>
      </c>
      <c r="AX20" s="5" t="s">
        <v>474</v>
      </c>
      <c r="AY20" s="5" t="s">
        <v>475</v>
      </c>
      <c r="AZ20" s="5" t="s">
        <v>476</v>
      </c>
      <c r="BA20" s="5" t="s">
        <v>477</v>
      </c>
      <c r="BB20" s="5" t="s">
        <v>478</v>
      </c>
      <c r="BC20" s="5" t="s">
        <v>479</v>
      </c>
      <c r="BD20" s="5" t="s">
        <v>480</v>
      </c>
      <c r="BE20" s="5" t="s">
        <v>481</v>
      </c>
      <c r="BF20" s="5" t="s">
        <v>482</v>
      </c>
      <c r="BG20" s="5" t="s">
        <v>483</v>
      </c>
      <c r="BH20" s="5" t="s">
        <v>484</v>
      </c>
      <c r="BI20" s="5" t="s">
        <v>485</v>
      </c>
      <c r="BJ20" s="5" t="s">
        <v>486</v>
      </c>
      <c r="BK20" s="5" t="s">
        <v>487</v>
      </c>
      <c r="BL20" s="5" t="s">
        <v>488</v>
      </c>
      <c r="BM20" s="5" t="s">
        <v>489</v>
      </c>
      <c r="BN20" s="5" t="s">
        <v>490</v>
      </c>
      <c r="BO20" s="5" t="s">
        <v>491</v>
      </c>
      <c r="BP20" s="5" t="s">
        <v>492</v>
      </c>
      <c r="BQ20" s="5" t="s">
        <v>493</v>
      </c>
      <c r="BR20" s="5" t="s">
        <v>494</v>
      </c>
      <c r="BS20" s="5" t="s">
        <v>495</v>
      </c>
      <c r="BT20" s="5" t="s">
        <v>496</v>
      </c>
      <c r="BU20" s="5" t="s">
        <v>497</v>
      </c>
      <c r="BV20" s="5" t="s">
        <v>498</v>
      </c>
      <c r="BW20" s="5" t="s">
        <v>499</v>
      </c>
      <c r="BX20" s="5" t="s">
        <v>500</v>
      </c>
      <c r="BY20" s="5" t="s">
        <v>501</v>
      </c>
      <c r="BZ20" s="5" t="s">
        <v>502</v>
      </c>
      <c r="CA20" s="5" t="s">
        <v>503</v>
      </c>
      <c r="CB20" s="5" t="s">
        <v>504</v>
      </c>
      <c r="CC20" s="5" t="s">
        <v>505</v>
      </c>
      <c r="CD20" s="5" t="s">
        <v>506</v>
      </c>
      <c r="CE20" s="5" t="s">
        <v>507</v>
      </c>
      <c r="CF20" s="5" t="s">
        <v>508</v>
      </c>
      <c r="CG20" s="6" t="s">
        <v>509</v>
      </c>
      <c r="CH20" s="6" t="s">
        <v>510</v>
      </c>
      <c r="CI20" s="6" t="s">
        <v>511</v>
      </c>
      <c r="CJ20" s="6" t="s">
        <v>512</v>
      </c>
      <c r="CK20" s="6" t="s">
        <v>513</v>
      </c>
      <c r="CL20" s="6" t="s">
        <v>514</v>
      </c>
      <c r="CM20" s="6" t="s">
        <v>515</v>
      </c>
      <c r="CN20" s="6" t="s">
        <v>516</v>
      </c>
      <c r="CO20" s="6" t="s">
        <v>517</v>
      </c>
      <c r="CP20" s="6" t="s">
        <v>518</v>
      </c>
      <c r="CQ20" s="6" t="s">
        <v>519</v>
      </c>
      <c r="CR20" s="6" t="s">
        <v>520</v>
      </c>
      <c r="CS20" s="6" t="s">
        <v>521</v>
      </c>
      <c r="CT20" s="6" t="s">
        <v>522</v>
      </c>
      <c r="CU20" s="6" t="s">
        <v>523</v>
      </c>
      <c r="CV20" s="6" t="s">
        <v>524</v>
      </c>
      <c r="CW20" s="6" t="s">
        <v>525</v>
      </c>
      <c r="CX20" s="6" t="s">
        <v>526</v>
      </c>
      <c r="CY20" s="6" t="s">
        <v>430</v>
      </c>
      <c r="CZ20" s="6" t="s">
        <v>403</v>
      </c>
      <c r="DA20" s="6" t="s">
        <v>404</v>
      </c>
      <c r="DB20" s="6" t="s">
        <v>405</v>
      </c>
      <c r="DC20" s="6" t="s">
        <v>431</v>
      </c>
      <c r="DD20" s="6" t="s">
        <v>432</v>
      </c>
      <c r="DE20" s="6" t="s">
        <v>433</v>
      </c>
      <c r="DF20" s="6" t="s">
        <v>434</v>
      </c>
      <c r="DG20" s="6" t="s">
        <v>435</v>
      </c>
      <c r="DH20" s="6" t="s">
        <v>527</v>
      </c>
      <c r="DI20" s="6" t="s">
        <v>437</v>
      </c>
      <c r="DJ20" s="6" t="s">
        <v>438</v>
      </c>
      <c r="DK20" s="6" t="s">
        <v>439</v>
      </c>
      <c r="DL20" s="6" t="s">
        <v>440</v>
      </c>
      <c r="DM20" s="6" t="s">
        <v>441</v>
      </c>
      <c r="DN20" s="6" t="s">
        <v>442</v>
      </c>
      <c r="DO20" s="6" t="s">
        <v>443</v>
      </c>
      <c r="DP20" s="6" t="s">
        <v>444</v>
      </c>
      <c r="DQ20" s="7" t="s">
        <v>528</v>
      </c>
      <c r="DR20" s="7" t="s">
        <v>529</v>
      </c>
    </row>
    <row r="21" spans="1:124">
      <c r="A21" s="149" t="s">
        <v>530</v>
      </c>
      <c r="B21" s="8">
        <v>1899.0886502534058</v>
      </c>
      <c r="C21" s="8">
        <v>1933.7384376224359</v>
      </c>
      <c r="D21" s="8">
        <v>1937.1042782760119</v>
      </c>
      <c r="E21" s="8">
        <v>1963.167153941685</v>
      </c>
      <c r="F21" s="8">
        <v>1971.5341387542478</v>
      </c>
      <c r="G21" s="8">
        <v>2074.7296114506594</v>
      </c>
      <c r="H21" s="8">
        <v>2131.1941157126025</v>
      </c>
      <c r="I21" s="8">
        <v>2212.5048921404277</v>
      </c>
      <c r="J21" s="8">
        <v>2409.0102674426371</v>
      </c>
      <c r="K21" s="8">
        <v>2296.0726597047055</v>
      </c>
      <c r="L21" s="8">
        <v>2144.7759694408846</v>
      </c>
      <c r="M21" s="8">
        <v>1973.658940751516</v>
      </c>
      <c r="N21" s="8">
        <v>2047.6589340198539</v>
      </c>
      <c r="O21" s="8">
        <v>2255.5575818758794</v>
      </c>
      <c r="P21" s="8">
        <v>1854.5882816219168</v>
      </c>
      <c r="Q21" s="8">
        <v>1833.8401645424931</v>
      </c>
      <c r="R21" s="8">
        <v>1525.0997352464974</v>
      </c>
      <c r="S21" s="8">
        <v>1518.8182636334514</v>
      </c>
      <c r="T21" s="8">
        <v>1480.3797606463734</v>
      </c>
      <c r="U21" s="8">
        <v>1509.8482127385485</v>
      </c>
      <c r="V21" s="8">
        <v>1485.5496280072637</v>
      </c>
      <c r="W21" s="8">
        <v>1481.7162817019916</v>
      </c>
      <c r="X21" s="8">
        <v>1481.0302274884043</v>
      </c>
      <c r="Y21" s="8">
        <v>1460.3518418072219</v>
      </c>
      <c r="Z21" s="8">
        <v>1404.6801840631315</v>
      </c>
      <c r="AA21" s="8">
        <v>1282.1572154724076</v>
      </c>
      <c r="AB21" s="8">
        <v>1287.6981564819548</v>
      </c>
      <c r="AC21" s="8">
        <v>1247.3283060919616</v>
      </c>
      <c r="AD21" s="8">
        <v>1210.447730260913</v>
      </c>
      <c r="AE21" s="8">
        <v>1161.8407714690843</v>
      </c>
      <c r="AF21" s="8">
        <v>1113.0697730729432</v>
      </c>
      <c r="AG21" s="8">
        <v>1133.4938727883546</v>
      </c>
      <c r="AH21" s="8">
        <v>1075.0264307774967</v>
      </c>
      <c r="AI21" s="8">
        <v>1026.0410439971788</v>
      </c>
      <c r="AJ21" s="8">
        <v>1013.3292413963891</v>
      </c>
      <c r="AK21" s="8">
        <v>1104.5156931829315</v>
      </c>
      <c r="AL21" s="8">
        <v>1043.707636853843</v>
      </c>
      <c r="AM21" s="8">
        <v>1002.2455053807653</v>
      </c>
      <c r="AN21" s="8">
        <v>943.43795913755537</v>
      </c>
      <c r="AO21" s="8">
        <v>960.61128745808628</v>
      </c>
      <c r="AP21" s="8">
        <v>865.41078031523818</v>
      </c>
      <c r="AQ21" s="8">
        <v>826.26072078123036</v>
      </c>
      <c r="AR21" s="8">
        <v>830.55954698436403</v>
      </c>
      <c r="AS21" s="8">
        <v>813.62095580782818</v>
      </c>
      <c r="AT21" s="8">
        <v>863.02994531151842</v>
      </c>
      <c r="AU21" s="8">
        <v>863.0675322301347</v>
      </c>
      <c r="AV21" s="8">
        <v>792.37469083608642</v>
      </c>
      <c r="AW21" s="8">
        <v>808.94331440009728</v>
      </c>
      <c r="AX21" s="8">
        <v>784.23658906345167</v>
      </c>
      <c r="AY21" s="8">
        <v>779.285500258654</v>
      </c>
      <c r="AZ21" s="8">
        <v>841.96062518581516</v>
      </c>
      <c r="BA21" s="8">
        <v>739.95305068269147</v>
      </c>
      <c r="BB21" s="8">
        <v>690.29725242493964</v>
      </c>
      <c r="BC21" s="8">
        <v>683.61965255073221</v>
      </c>
      <c r="BD21" s="8">
        <v>655.317149704023</v>
      </c>
      <c r="BE21" s="8">
        <v>524.82777641442408</v>
      </c>
      <c r="BF21" s="8">
        <v>570.64268792076507</v>
      </c>
      <c r="BG21" s="8">
        <v>532.219072935138</v>
      </c>
      <c r="BH21" s="8">
        <v>558.25123220523074</v>
      </c>
      <c r="BI21" s="8">
        <v>525.4285920241939</v>
      </c>
      <c r="BJ21" s="8">
        <v>559.10314166047931</v>
      </c>
      <c r="BK21" s="8">
        <v>554.67468076538432</v>
      </c>
      <c r="BL21" s="8">
        <v>554.44761688144831</v>
      </c>
      <c r="BM21" s="8">
        <v>546.59358953050264</v>
      </c>
      <c r="BN21" s="8">
        <v>558.09566329215488</v>
      </c>
      <c r="BO21" s="8">
        <v>553.31504601690096</v>
      </c>
      <c r="BP21" s="8">
        <v>529.77792698246424</v>
      </c>
      <c r="BQ21" s="8">
        <v>515.77925547626307</v>
      </c>
      <c r="BR21" s="8">
        <v>512.13359726680585</v>
      </c>
      <c r="BS21" s="8">
        <v>511.33246838289671</v>
      </c>
      <c r="BT21" s="8">
        <v>501.95043497052029</v>
      </c>
      <c r="BU21" s="8">
        <v>444.3114222666668</v>
      </c>
      <c r="BV21" s="8">
        <v>429.35708710382562</v>
      </c>
      <c r="BW21" s="8">
        <v>434.02550825032654</v>
      </c>
      <c r="BX21" s="8">
        <v>419.79584741733993</v>
      </c>
      <c r="BY21" s="8">
        <v>395.15573141332942</v>
      </c>
      <c r="BZ21" s="8">
        <v>384.76352041204041</v>
      </c>
      <c r="CA21" s="8">
        <v>373.84388488134738</v>
      </c>
      <c r="CB21" s="8">
        <v>372.06459730503792</v>
      </c>
      <c r="CC21" s="8">
        <v>377.76663022509422</v>
      </c>
      <c r="CD21" s="8">
        <v>380.30282804423302</v>
      </c>
      <c r="CE21" s="8">
        <v>361.69787763574999</v>
      </c>
      <c r="CF21" s="8">
        <v>364.1387064592322</v>
      </c>
      <c r="CG21" s="8">
        <v>360.3063388038002</v>
      </c>
      <c r="CH21" s="8">
        <v>356.11002437496086</v>
      </c>
      <c r="CI21" s="8">
        <v>328.2357952201823</v>
      </c>
      <c r="CJ21" s="8">
        <v>423.57053544744508</v>
      </c>
      <c r="CK21" s="8">
        <v>455.49997324888301</v>
      </c>
      <c r="CL21" s="8">
        <v>445.79122252248658</v>
      </c>
      <c r="CM21" s="8">
        <v>386.58187859615828</v>
      </c>
      <c r="CN21" s="8">
        <v>383.27375080733481</v>
      </c>
      <c r="CO21" s="8">
        <v>363.59078609732421</v>
      </c>
      <c r="CP21" s="8">
        <v>348.13880695962234</v>
      </c>
      <c r="CQ21" s="8">
        <v>301.25610244004048</v>
      </c>
      <c r="CR21" s="8">
        <v>249.76011934417693</v>
      </c>
      <c r="CS21" s="8">
        <v>222.67644304004503</v>
      </c>
      <c r="CT21" s="8">
        <v>202.84328294643919</v>
      </c>
      <c r="CU21" s="8">
        <v>190.33937327126554</v>
      </c>
      <c r="CV21" s="8">
        <v>179.96947495931553</v>
      </c>
      <c r="CW21" s="8">
        <v>170.64938035162356</v>
      </c>
      <c r="CX21" s="8">
        <v>542.53678563449864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v>0</v>
      </c>
      <c r="DI21" s="8">
        <v>0</v>
      </c>
      <c r="DJ21" s="8">
        <v>0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9">
        <v>0</v>
      </c>
      <c r="DR21" s="9">
        <v>0</v>
      </c>
    </row>
    <row r="22" spans="1:124">
      <c r="A22" s="149" t="s">
        <v>531</v>
      </c>
      <c r="B22" s="8">
        <v>818.00255527495551</v>
      </c>
      <c r="C22" s="8">
        <v>805.53903037717839</v>
      </c>
      <c r="D22" s="8">
        <v>726.74730558816623</v>
      </c>
      <c r="E22" s="8">
        <v>699.7663246642087</v>
      </c>
      <c r="F22" s="8">
        <v>670.87060594165541</v>
      </c>
      <c r="G22" s="8">
        <v>660.7979397238629</v>
      </c>
      <c r="H22" s="8">
        <v>587.32674556061534</v>
      </c>
      <c r="I22" s="8">
        <v>555.92743949892235</v>
      </c>
      <c r="J22" s="8">
        <v>545.06201581061509</v>
      </c>
      <c r="K22" s="8">
        <v>513.48729931892058</v>
      </c>
      <c r="L22" s="8">
        <v>434.25140253449632</v>
      </c>
      <c r="M22" s="8">
        <v>399.13005762835741</v>
      </c>
      <c r="N22" s="8">
        <v>358.46406952156997</v>
      </c>
      <c r="O22" s="8">
        <v>336.52276122546959</v>
      </c>
      <c r="P22" s="8">
        <v>153.19934627078413</v>
      </c>
      <c r="Q22" s="8">
        <v>135.30638052206135</v>
      </c>
      <c r="R22" s="8">
        <v>164.24714657574367</v>
      </c>
      <c r="S22" s="8">
        <v>318.4524451500838</v>
      </c>
      <c r="T22" s="8">
        <v>238.25119347694348</v>
      </c>
      <c r="U22" s="8">
        <v>338.84879038349249</v>
      </c>
      <c r="V22" s="8">
        <v>330.63985837282445</v>
      </c>
      <c r="W22" s="8">
        <v>403.0314540282364</v>
      </c>
      <c r="X22" s="8">
        <v>350.41097897289899</v>
      </c>
      <c r="Y22" s="8">
        <v>518.80650999970101</v>
      </c>
      <c r="Z22" s="8">
        <v>579.05864956967446</v>
      </c>
      <c r="AA22" s="8">
        <v>299.38035486042094</v>
      </c>
      <c r="AB22" s="8">
        <v>147.62739075952791</v>
      </c>
      <c r="AC22" s="8">
        <v>155.22733426415871</v>
      </c>
      <c r="AD22" s="8">
        <v>201.09072598141955</v>
      </c>
      <c r="AE22" s="8">
        <v>132.78970855641771</v>
      </c>
      <c r="AF22" s="8">
        <v>132.64696725964976</v>
      </c>
      <c r="AG22" s="8">
        <v>141.42811774296592</v>
      </c>
      <c r="AH22" s="8">
        <v>135.14472513384246</v>
      </c>
      <c r="AI22" s="8">
        <v>102.18734812099576</v>
      </c>
      <c r="AJ22" s="8">
        <v>93.777288772240524</v>
      </c>
      <c r="AK22" s="8">
        <v>91.806854674585111</v>
      </c>
      <c r="AL22" s="8">
        <v>105.11251786302984</v>
      </c>
      <c r="AM22" s="8">
        <v>95.438229328931925</v>
      </c>
      <c r="AN22" s="8">
        <v>132.06593113530135</v>
      </c>
      <c r="AO22" s="8">
        <v>98.490489644983768</v>
      </c>
      <c r="AP22" s="8">
        <v>98.125397781031253</v>
      </c>
      <c r="AQ22" s="8">
        <v>75.966249706285836</v>
      </c>
      <c r="AR22" s="8">
        <v>93.180031385517594</v>
      </c>
      <c r="AS22" s="8">
        <v>114.60201491203738</v>
      </c>
      <c r="AT22" s="8">
        <v>97.241197804577226</v>
      </c>
      <c r="AU22" s="8">
        <v>97.291757135849949</v>
      </c>
      <c r="AV22" s="8">
        <v>104.66792356256629</v>
      </c>
      <c r="AW22" s="8">
        <v>89.292241877896188</v>
      </c>
      <c r="AX22" s="8">
        <v>134.77558306593133</v>
      </c>
      <c r="AY22" s="8">
        <v>80.533124741364958</v>
      </c>
      <c r="AZ22" s="8">
        <v>71.18828603769434</v>
      </c>
      <c r="BA22" s="8">
        <v>131.91654473410523</v>
      </c>
      <c r="BB22" s="8">
        <v>201.54130377909016</v>
      </c>
      <c r="BC22" s="8">
        <v>305.69627405910978</v>
      </c>
      <c r="BD22" s="8">
        <v>453.13270167614257</v>
      </c>
      <c r="BE22" s="8">
        <v>458.3488372824736</v>
      </c>
      <c r="BF22" s="8">
        <v>452.13625523996114</v>
      </c>
      <c r="BG22" s="8">
        <v>486.90775501940351</v>
      </c>
      <c r="BH22" s="8">
        <v>530.20083745563966</v>
      </c>
      <c r="BI22" s="8">
        <v>386.82628144885683</v>
      </c>
      <c r="BJ22" s="8">
        <v>295.27239315855337</v>
      </c>
      <c r="BK22" s="8">
        <v>278.89143732094107</v>
      </c>
      <c r="BL22" s="8">
        <v>290.50877989842201</v>
      </c>
      <c r="BM22" s="8">
        <v>228.02259391099858</v>
      </c>
      <c r="BN22" s="8">
        <v>295.84659354599717</v>
      </c>
      <c r="BO22" s="8">
        <v>316.84342929741086</v>
      </c>
      <c r="BP22" s="8">
        <v>422.76874607950168</v>
      </c>
      <c r="BQ22" s="8">
        <v>466.29306622410155</v>
      </c>
      <c r="BR22" s="8">
        <v>617.18691366605856</v>
      </c>
      <c r="BS22" s="8">
        <v>601.68327766124037</v>
      </c>
      <c r="BT22" s="8">
        <v>542.63341293312908</v>
      </c>
      <c r="BU22" s="8">
        <v>644.73608141608292</v>
      </c>
      <c r="BV22" s="8">
        <v>576.82065750222068</v>
      </c>
      <c r="BW22" s="8">
        <v>482.47246671720313</v>
      </c>
      <c r="BX22" s="8">
        <v>534.3773047800837</v>
      </c>
      <c r="BY22" s="8">
        <v>492.39248448153643</v>
      </c>
      <c r="BZ22" s="8">
        <v>470.35748682863277</v>
      </c>
      <c r="CA22" s="8">
        <v>301.03299332181092</v>
      </c>
      <c r="CB22" s="8">
        <v>391.96190326919822</v>
      </c>
      <c r="CC22" s="8">
        <v>321.0189293352264</v>
      </c>
      <c r="CD22" s="8">
        <v>421.39949678737275</v>
      </c>
      <c r="CE22" s="8">
        <v>377.63677082671825</v>
      </c>
      <c r="CF22" s="8">
        <v>304.8796489220743</v>
      </c>
      <c r="CG22" s="8">
        <v>266.32995536307084</v>
      </c>
      <c r="CH22" s="8">
        <v>266.40727072834295</v>
      </c>
      <c r="CI22" s="8">
        <v>239.16164040276647</v>
      </c>
      <c r="CJ22" s="8">
        <v>140.09824585256081</v>
      </c>
      <c r="CK22" s="8">
        <v>128.18146636584711</v>
      </c>
      <c r="CL22" s="8">
        <v>79.38316796899629</v>
      </c>
      <c r="CM22" s="8">
        <v>78.162926780742168</v>
      </c>
      <c r="CN22" s="8">
        <v>25.776282865439953</v>
      </c>
      <c r="CO22" s="8">
        <v>25.3755229840312</v>
      </c>
      <c r="CP22" s="8">
        <v>26.46601928795284</v>
      </c>
      <c r="CQ22" s="8">
        <v>27.970005290750979</v>
      </c>
      <c r="CR22" s="8">
        <v>25.707485329212815</v>
      </c>
      <c r="CS22" s="8">
        <v>25.3755229840312</v>
      </c>
      <c r="CT22" s="8">
        <v>26.866779169361649</v>
      </c>
      <c r="CU22" s="8">
        <v>27.081726447678506</v>
      </c>
      <c r="CV22" s="8">
        <v>25.3755229840312</v>
      </c>
      <c r="CW22" s="8">
        <v>25.793117821908861</v>
      </c>
      <c r="CX22" s="8">
        <v>24.904838978836299</v>
      </c>
      <c r="CY22" s="8">
        <v>22.51737231859698</v>
      </c>
      <c r="CZ22" s="8">
        <v>22.312935405272778</v>
      </c>
      <c r="DA22" s="8">
        <v>21.057866343231296</v>
      </c>
      <c r="DB22" s="8">
        <v>21.946145186303809</v>
      </c>
      <c r="DC22" s="8">
        <v>21.057866343231296</v>
      </c>
      <c r="DD22" s="8">
        <v>31.564190441232167</v>
      </c>
      <c r="DE22" s="8">
        <v>31.564190441232167</v>
      </c>
      <c r="DF22" s="8">
        <v>46.908329300369168</v>
      </c>
      <c r="DG22" s="8">
        <v>65.592212505043207</v>
      </c>
      <c r="DH22" s="8">
        <v>76.613589872627244</v>
      </c>
      <c r="DI22" s="8">
        <v>89.524339132469606</v>
      </c>
      <c r="DJ22" s="8">
        <v>69.952022812469622</v>
      </c>
      <c r="DK22" s="8">
        <v>67.389433832469607</v>
      </c>
      <c r="DL22" s="8">
        <v>69.477480287268122</v>
      </c>
      <c r="DM22" s="8">
        <v>73.940206906742773</v>
      </c>
      <c r="DN22" s="8">
        <v>78.210968570758098</v>
      </c>
      <c r="DO22" s="8">
        <v>71.564520742181656</v>
      </c>
      <c r="DP22" s="8">
        <v>64.206820718830514</v>
      </c>
      <c r="DQ22" s="9">
        <v>0</v>
      </c>
      <c r="DR22" s="9">
        <v>0</v>
      </c>
    </row>
    <row r="23" spans="1:124">
      <c r="A23" s="149" t="s">
        <v>80</v>
      </c>
      <c r="B23" s="16">
        <f>+B21+B22</f>
        <v>2717.0912055283616</v>
      </c>
      <c r="C23" s="16">
        <f t="shared" ref="C23:BN23" si="0">+C21+C22</f>
        <v>2739.2774679996141</v>
      </c>
      <c r="D23" s="16">
        <f t="shared" si="0"/>
        <v>2663.8515838641779</v>
      </c>
      <c r="E23" s="16">
        <f t="shared" si="0"/>
        <v>2662.9334786058935</v>
      </c>
      <c r="F23" s="16">
        <f t="shared" si="0"/>
        <v>2642.404744695903</v>
      </c>
      <c r="G23" s="16">
        <f t="shared" si="0"/>
        <v>2735.5275511745222</v>
      </c>
      <c r="H23" s="16">
        <f t="shared" si="0"/>
        <v>2718.5208612732176</v>
      </c>
      <c r="I23" s="16">
        <f t="shared" si="0"/>
        <v>2768.4323316393502</v>
      </c>
      <c r="J23" s="16">
        <f t="shared" si="0"/>
        <v>2954.072283253252</v>
      </c>
      <c r="K23" s="16">
        <f t="shared" si="0"/>
        <v>2809.5599590236261</v>
      </c>
      <c r="L23" s="16">
        <f t="shared" si="0"/>
        <v>2579.0273719753809</v>
      </c>
      <c r="M23" s="16">
        <f t="shared" si="0"/>
        <v>2372.7889983798732</v>
      </c>
      <c r="N23" s="16">
        <f t="shared" si="0"/>
        <v>2406.1230035414237</v>
      </c>
      <c r="O23" s="16">
        <f t="shared" si="0"/>
        <v>2592.0803431013492</v>
      </c>
      <c r="P23" s="16">
        <f t="shared" si="0"/>
        <v>2007.787627892701</v>
      </c>
      <c r="Q23" s="16">
        <f t="shared" si="0"/>
        <v>1969.1465450645544</v>
      </c>
      <c r="R23" s="16">
        <f t="shared" si="0"/>
        <v>1689.3468818222411</v>
      </c>
      <c r="S23" s="16">
        <f t="shared" si="0"/>
        <v>1837.2707087835352</v>
      </c>
      <c r="T23" s="16">
        <f t="shared" si="0"/>
        <v>1718.6309541233168</v>
      </c>
      <c r="U23" s="16">
        <f t="shared" si="0"/>
        <v>1848.697003122041</v>
      </c>
      <c r="V23" s="16">
        <f t="shared" si="0"/>
        <v>1816.1894863800881</v>
      </c>
      <c r="W23" s="16">
        <f t="shared" si="0"/>
        <v>1884.747735730228</v>
      </c>
      <c r="X23" s="16">
        <f t="shared" si="0"/>
        <v>1831.4412064613034</v>
      </c>
      <c r="Y23" s="16">
        <f t="shared" si="0"/>
        <v>1979.1583518069228</v>
      </c>
      <c r="Z23" s="16">
        <f t="shared" si="0"/>
        <v>1983.7388336328058</v>
      </c>
      <c r="AA23" s="16">
        <f t="shared" si="0"/>
        <v>1581.5375703328286</v>
      </c>
      <c r="AB23" s="16">
        <f t="shared" si="0"/>
        <v>1435.3255472414828</v>
      </c>
      <c r="AC23" s="16">
        <f t="shared" si="0"/>
        <v>1402.5556403561204</v>
      </c>
      <c r="AD23" s="16">
        <f t="shared" si="0"/>
        <v>1411.5384562423326</v>
      </c>
      <c r="AE23" s="16">
        <f t="shared" si="0"/>
        <v>1294.630480025502</v>
      </c>
      <c r="AF23" s="16">
        <f t="shared" si="0"/>
        <v>1245.716740332593</v>
      </c>
      <c r="AG23" s="16">
        <f t="shared" si="0"/>
        <v>1274.9219905313205</v>
      </c>
      <c r="AH23" s="16">
        <f t="shared" si="0"/>
        <v>1210.1711559113392</v>
      </c>
      <c r="AI23" s="16">
        <f t="shared" si="0"/>
        <v>1128.2283921181745</v>
      </c>
      <c r="AJ23" s="16">
        <f t="shared" si="0"/>
        <v>1107.1065301686297</v>
      </c>
      <c r="AK23" s="16">
        <f t="shared" si="0"/>
        <v>1196.3225478575166</v>
      </c>
      <c r="AL23" s="16">
        <f t="shared" si="0"/>
        <v>1148.8201547168728</v>
      </c>
      <c r="AM23" s="16">
        <f t="shared" si="0"/>
        <v>1097.6837347096971</v>
      </c>
      <c r="AN23" s="16">
        <f t="shared" si="0"/>
        <v>1075.5038902728568</v>
      </c>
      <c r="AO23" s="16">
        <f t="shared" si="0"/>
        <v>1059.1017771030702</v>
      </c>
      <c r="AP23" s="16">
        <f t="shared" si="0"/>
        <v>963.5361780962694</v>
      </c>
      <c r="AQ23" s="16">
        <f t="shared" si="0"/>
        <v>902.22697048751616</v>
      </c>
      <c r="AR23" s="16">
        <f t="shared" si="0"/>
        <v>923.73957836988166</v>
      </c>
      <c r="AS23" s="16">
        <f t="shared" si="0"/>
        <v>928.22297071986554</v>
      </c>
      <c r="AT23" s="16">
        <f t="shared" si="0"/>
        <v>960.27114311609569</v>
      </c>
      <c r="AU23" s="16">
        <f t="shared" si="0"/>
        <v>960.35928936598464</v>
      </c>
      <c r="AV23" s="16">
        <f t="shared" si="0"/>
        <v>897.04261439865274</v>
      </c>
      <c r="AW23" s="16">
        <f t="shared" si="0"/>
        <v>898.23555627799351</v>
      </c>
      <c r="AX23" s="16">
        <f t="shared" si="0"/>
        <v>919.01217212938298</v>
      </c>
      <c r="AY23" s="16">
        <f t="shared" si="0"/>
        <v>859.81862500001898</v>
      </c>
      <c r="AZ23" s="16">
        <f t="shared" si="0"/>
        <v>913.14891122350946</v>
      </c>
      <c r="BA23" s="16">
        <f t="shared" si="0"/>
        <v>871.86959541679676</v>
      </c>
      <c r="BB23" s="16">
        <f t="shared" si="0"/>
        <v>891.83855620402983</v>
      </c>
      <c r="BC23" s="16">
        <f t="shared" si="0"/>
        <v>989.31592660984199</v>
      </c>
      <c r="BD23" s="16">
        <f t="shared" si="0"/>
        <v>1108.4498513801655</v>
      </c>
      <c r="BE23" s="16">
        <f t="shared" si="0"/>
        <v>983.17661369689768</v>
      </c>
      <c r="BF23" s="16">
        <f t="shared" si="0"/>
        <v>1022.7789431607262</v>
      </c>
      <c r="BG23" s="16">
        <f t="shared" si="0"/>
        <v>1019.1268279545416</v>
      </c>
      <c r="BH23" s="16">
        <f t="shared" si="0"/>
        <v>1088.4520696608704</v>
      </c>
      <c r="BI23" s="16">
        <f t="shared" si="0"/>
        <v>912.25487347305079</v>
      </c>
      <c r="BJ23" s="16">
        <f t="shared" si="0"/>
        <v>854.37553481903274</v>
      </c>
      <c r="BK23" s="16">
        <f t="shared" si="0"/>
        <v>833.56611808632533</v>
      </c>
      <c r="BL23" s="16">
        <f t="shared" si="0"/>
        <v>844.95639677987037</v>
      </c>
      <c r="BM23" s="16">
        <f t="shared" si="0"/>
        <v>774.61618344150122</v>
      </c>
      <c r="BN23" s="16">
        <f t="shared" si="0"/>
        <v>853.94225683815205</v>
      </c>
      <c r="BO23" s="16">
        <f t="shared" ref="BO23:DP23" si="1">+BO21+BO22</f>
        <v>870.15847531431177</v>
      </c>
      <c r="BP23" s="16">
        <f t="shared" si="1"/>
        <v>952.54667306196598</v>
      </c>
      <c r="BQ23" s="16">
        <f t="shared" si="1"/>
        <v>982.07232170036468</v>
      </c>
      <c r="BR23" s="16">
        <f t="shared" si="1"/>
        <v>1129.3205109328644</v>
      </c>
      <c r="BS23" s="16">
        <f t="shared" si="1"/>
        <v>1113.0157460441371</v>
      </c>
      <c r="BT23" s="16">
        <f t="shared" si="1"/>
        <v>1044.5838479036493</v>
      </c>
      <c r="BU23" s="16">
        <f t="shared" si="1"/>
        <v>1089.0475036827497</v>
      </c>
      <c r="BV23" s="16">
        <f t="shared" si="1"/>
        <v>1006.1777446060463</v>
      </c>
      <c r="BW23" s="16">
        <f t="shared" si="1"/>
        <v>916.49797496752967</v>
      </c>
      <c r="BX23" s="16">
        <f t="shared" si="1"/>
        <v>954.17315219742363</v>
      </c>
      <c r="BY23" s="16">
        <f t="shared" si="1"/>
        <v>887.54821589486585</v>
      </c>
      <c r="BZ23" s="16">
        <f t="shared" si="1"/>
        <v>855.12100724067318</v>
      </c>
      <c r="CA23" s="16">
        <f t="shared" si="1"/>
        <v>674.8768782031583</v>
      </c>
      <c r="CB23" s="16">
        <f t="shared" si="1"/>
        <v>764.02650057423614</v>
      </c>
      <c r="CC23" s="16">
        <f t="shared" si="1"/>
        <v>698.78555956032062</v>
      </c>
      <c r="CD23" s="16">
        <f t="shared" si="1"/>
        <v>801.70232483160578</v>
      </c>
      <c r="CE23" s="16">
        <f t="shared" si="1"/>
        <v>739.33464846246829</v>
      </c>
      <c r="CF23" s="16">
        <f t="shared" si="1"/>
        <v>669.01835538130649</v>
      </c>
      <c r="CG23" s="16">
        <f t="shared" si="1"/>
        <v>626.63629416687104</v>
      </c>
      <c r="CH23" s="16">
        <f t="shared" si="1"/>
        <v>622.51729510330381</v>
      </c>
      <c r="CI23" s="16">
        <f t="shared" si="1"/>
        <v>567.39743562294871</v>
      </c>
      <c r="CJ23" s="16">
        <f t="shared" si="1"/>
        <v>563.66878130000589</v>
      </c>
      <c r="CK23" s="16">
        <f t="shared" si="1"/>
        <v>583.68143961473015</v>
      </c>
      <c r="CL23" s="16">
        <f t="shared" si="1"/>
        <v>525.17439049148288</v>
      </c>
      <c r="CM23" s="16">
        <f t="shared" si="1"/>
        <v>464.74480537690044</v>
      </c>
      <c r="CN23" s="16">
        <f t="shared" si="1"/>
        <v>409.05003367277476</v>
      </c>
      <c r="CO23" s="16">
        <f t="shared" si="1"/>
        <v>388.9663090813554</v>
      </c>
      <c r="CP23" s="16">
        <f t="shared" si="1"/>
        <v>374.6048262475752</v>
      </c>
      <c r="CQ23" s="16">
        <f t="shared" si="1"/>
        <v>329.22610773079145</v>
      </c>
      <c r="CR23" s="16">
        <f t="shared" si="1"/>
        <v>275.46760467338976</v>
      </c>
      <c r="CS23" s="16">
        <f t="shared" si="1"/>
        <v>248.05196602407622</v>
      </c>
      <c r="CT23" s="16">
        <f t="shared" si="1"/>
        <v>229.71006211580084</v>
      </c>
      <c r="CU23" s="16">
        <f t="shared" si="1"/>
        <v>217.42109971894405</v>
      </c>
      <c r="CV23" s="16">
        <f t="shared" si="1"/>
        <v>205.34499794334673</v>
      </c>
      <c r="CW23" s="16">
        <f t="shared" si="1"/>
        <v>196.44249817353241</v>
      </c>
      <c r="CX23" s="16">
        <f t="shared" si="1"/>
        <v>567.44162461333497</v>
      </c>
      <c r="CY23" s="16">
        <f t="shared" si="1"/>
        <v>22.51737231859698</v>
      </c>
      <c r="CZ23" s="16">
        <f t="shared" si="1"/>
        <v>22.312935405272778</v>
      </c>
      <c r="DA23" s="16">
        <f t="shared" si="1"/>
        <v>21.057866343231296</v>
      </c>
      <c r="DB23" s="16">
        <f t="shared" si="1"/>
        <v>21.946145186303809</v>
      </c>
      <c r="DC23" s="16">
        <f t="shared" si="1"/>
        <v>21.057866343231296</v>
      </c>
      <c r="DD23" s="16">
        <f t="shared" si="1"/>
        <v>31.564190441232167</v>
      </c>
      <c r="DE23" s="16">
        <f t="shared" si="1"/>
        <v>31.564190441232167</v>
      </c>
      <c r="DF23" s="16">
        <f t="shared" si="1"/>
        <v>46.908329300369168</v>
      </c>
      <c r="DG23" s="16">
        <f t="shared" si="1"/>
        <v>65.592212505043207</v>
      </c>
      <c r="DH23" s="16">
        <f t="shared" si="1"/>
        <v>76.613589872627244</v>
      </c>
      <c r="DI23" s="16">
        <f t="shared" si="1"/>
        <v>89.524339132469606</v>
      </c>
      <c r="DJ23" s="16">
        <f t="shared" si="1"/>
        <v>69.952022812469622</v>
      </c>
      <c r="DK23" s="16">
        <f t="shared" si="1"/>
        <v>67.389433832469607</v>
      </c>
      <c r="DL23" s="16">
        <f t="shared" si="1"/>
        <v>69.477480287268122</v>
      </c>
      <c r="DM23" s="16">
        <f t="shared" si="1"/>
        <v>73.940206906742773</v>
      </c>
      <c r="DN23" s="16">
        <f t="shared" si="1"/>
        <v>78.210968570758098</v>
      </c>
      <c r="DO23" s="16">
        <f t="shared" si="1"/>
        <v>71.564520742181656</v>
      </c>
      <c r="DP23" s="16">
        <f t="shared" si="1"/>
        <v>64.206820718830514</v>
      </c>
      <c r="DQ23" s="9">
        <v>0</v>
      </c>
      <c r="DR23" s="9">
        <v>0</v>
      </c>
    </row>
    <row r="24" spans="1:124">
      <c r="DQ24" s="1"/>
      <c r="DR24" s="1"/>
    </row>
    <row r="25" spans="1:124" ht="13">
      <c r="A25" s="253" t="s">
        <v>532</v>
      </c>
      <c r="DQ25" s="1"/>
      <c r="DR25" s="1"/>
    </row>
    <row r="28" spans="1:124" ht="13">
      <c r="A28" s="149" t="s">
        <v>423</v>
      </c>
      <c r="B28" s="5" t="s">
        <v>526</v>
      </c>
      <c r="C28" s="5" t="s">
        <v>430</v>
      </c>
      <c r="D28" s="5" t="s">
        <v>403</v>
      </c>
      <c r="E28" s="5" t="s">
        <v>404</v>
      </c>
      <c r="F28" s="5" t="s">
        <v>405</v>
      </c>
      <c r="G28" s="5" t="s">
        <v>431</v>
      </c>
      <c r="H28" s="5" t="s">
        <v>432</v>
      </c>
      <c r="I28" s="5" t="s">
        <v>433</v>
      </c>
      <c r="J28" s="5" t="s">
        <v>434</v>
      </c>
      <c r="K28" s="5" t="s">
        <v>435</v>
      </c>
      <c r="L28" s="5" t="s">
        <v>527</v>
      </c>
      <c r="M28" s="5" t="s">
        <v>437</v>
      </c>
      <c r="N28" s="5" t="s">
        <v>438</v>
      </c>
      <c r="O28" s="5" t="s">
        <v>439</v>
      </c>
      <c r="P28" s="5" t="s">
        <v>440</v>
      </c>
      <c r="Q28" s="5" t="s">
        <v>441</v>
      </c>
      <c r="R28" s="5" t="s">
        <v>442</v>
      </c>
      <c r="S28" s="5" t="s">
        <v>443</v>
      </c>
      <c r="T28" s="5" t="s">
        <v>444</v>
      </c>
      <c r="U28" s="5" t="s">
        <v>445</v>
      </c>
      <c r="V28" s="5" t="s">
        <v>533</v>
      </c>
      <c r="W28" s="5" t="s">
        <v>447</v>
      </c>
      <c r="X28" s="5" t="s">
        <v>448</v>
      </c>
      <c r="Y28" s="5" t="s">
        <v>449</v>
      </c>
      <c r="Z28" s="5" t="s">
        <v>450</v>
      </c>
      <c r="AA28" s="5" t="s">
        <v>451</v>
      </c>
      <c r="AB28" s="5" t="s">
        <v>452</v>
      </c>
      <c r="AC28" s="5" t="s">
        <v>453</v>
      </c>
      <c r="AD28" s="5" t="s">
        <v>454</v>
      </c>
      <c r="AE28" s="5" t="s">
        <v>455</v>
      </c>
      <c r="AF28" s="5" t="s">
        <v>534</v>
      </c>
      <c r="AG28" s="5" t="s">
        <v>457</v>
      </c>
      <c r="AH28" s="5" t="s">
        <v>458</v>
      </c>
      <c r="AI28" s="5" t="s">
        <v>459</v>
      </c>
      <c r="AJ28" s="5" t="s">
        <v>460</v>
      </c>
      <c r="AK28" s="5" t="s">
        <v>461</v>
      </c>
      <c r="AL28" s="5" t="s">
        <v>462</v>
      </c>
      <c r="AM28" s="5" t="s">
        <v>463</v>
      </c>
      <c r="AN28" s="5" t="s">
        <v>464</v>
      </c>
      <c r="AO28" s="5" t="s">
        <v>465</v>
      </c>
      <c r="AP28" s="5" t="s">
        <v>535</v>
      </c>
      <c r="AQ28" s="5" t="s">
        <v>467</v>
      </c>
      <c r="AR28" s="5" t="s">
        <v>468</v>
      </c>
      <c r="AS28" s="5" t="s">
        <v>469</v>
      </c>
      <c r="AT28" s="5" t="s">
        <v>470</v>
      </c>
      <c r="AU28" s="5" t="s">
        <v>471</v>
      </c>
      <c r="AV28" s="5" t="s">
        <v>472</v>
      </c>
      <c r="AW28" s="5" t="s">
        <v>473</v>
      </c>
      <c r="AX28" s="5" t="s">
        <v>474</v>
      </c>
      <c r="AY28" s="5" t="s">
        <v>475</v>
      </c>
      <c r="AZ28" s="5" t="s">
        <v>536</v>
      </c>
      <c r="BA28" s="5" t="s">
        <v>477</v>
      </c>
      <c r="BB28" s="5" t="s">
        <v>478</v>
      </c>
      <c r="BC28" s="5" t="s">
        <v>479</v>
      </c>
      <c r="BD28" s="5" t="s">
        <v>480</v>
      </c>
      <c r="BE28" s="5" t="s">
        <v>481</v>
      </c>
      <c r="BF28" s="5" t="s">
        <v>482</v>
      </c>
      <c r="BG28" s="5" t="s">
        <v>483</v>
      </c>
      <c r="BH28" s="5" t="s">
        <v>484</v>
      </c>
      <c r="BI28" s="5" t="s">
        <v>485</v>
      </c>
      <c r="BJ28" s="5" t="s">
        <v>537</v>
      </c>
      <c r="BK28" s="5" t="s">
        <v>487</v>
      </c>
      <c r="BL28" s="5" t="s">
        <v>488</v>
      </c>
      <c r="BM28" s="5" t="s">
        <v>489</v>
      </c>
      <c r="BN28" s="5" t="s">
        <v>490</v>
      </c>
      <c r="BO28" s="5" t="s">
        <v>491</v>
      </c>
      <c r="BP28" s="5" t="s">
        <v>492</v>
      </c>
      <c r="BQ28" s="5" t="s">
        <v>493</v>
      </c>
      <c r="BR28" s="5" t="s">
        <v>494</v>
      </c>
      <c r="BS28" s="5" t="s">
        <v>495</v>
      </c>
      <c r="BT28" s="5" t="s">
        <v>538</v>
      </c>
      <c r="BU28" s="5" t="s">
        <v>497</v>
      </c>
      <c r="BV28" s="5" t="s">
        <v>498</v>
      </c>
      <c r="BW28" s="5" t="s">
        <v>499</v>
      </c>
      <c r="BX28" s="5" t="s">
        <v>500</v>
      </c>
      <c r="BY28" s="5" t="s">
        <v>501</v>
      </c>
      <c r="BZ28" s="5" t="s">
        <v>502</v>
      </c>
      <c r="CA28" s="5" t="s">
        <v>503</v>
      </c>
      <c r="CB28" s="5" t="s">
        <v>504</v>
      </c>
      <c r="CC28" s="5" t="s">
        <v>505</v>
      </c>
      <c r="CD28" s="5" t="s">
        <v>539</v>
      </c>
      <c r="CE28" s="5" t="s">
        <v>540</v>
      </c>
      <c r="CF28" s="5" t="s">
        <v>508</v>
      </c>
      <c r="CG28" s="6" t="s">
        <v>509</v>
      </c>
      <c r="CH28" s="6" t="s">
        <v>510</v>
      </c>
      <c r="CI28" s="6" t="s">
        <v>511</v>
      </c>
      <c r="CJ28" s="6" t="s">
        <v>512</v>
      </c>
      <c r="CK28" s="6" t="s">
        <v>513</v>
      </c>
      <c r="CL28" s="6" t="s">
        <v>514</v>
      </c>
      <c r="CM28" s="6" t="s">
        <v>515</v>
      </c>
      <c r="CN28" s="6" t="s">
        <v>516</v>
      </c>
      <c r="CO28" s="6" t="s">
        <v>517</v>
      </c>
      <c r="CP28" s="6" t="s">
        <v>518</v>
      </c>
      <c r="CQ28" s="6" t="s">
        <v>519</v>
      </c>
      <c r="CR28" s="6" t="s">
        <v>520</v>
      </c>
      <c r="CS28" s="6" t="s">
        <v>521</v>
      </c>
      <c r="CT28" s="6" t="s">
        <v>522</v>
      </c>
      <c r="CU28" s="6" t="s">
        <v>523</v>
      </c>
      <c r="CV28" s="6" t="s">
        <v>524</v>
      </c>
      <c r="CW28" s="6" t="s">
        <v>525</v>
      </c>
      <c r="CX28" s="6" t="s">
        <v>526</v>
      </c>
      <c r="CY28" s="6" t="s">
        <v>430</v>
      </c>
      <c r="CZ28" s="6" t="s">
        <v>403</v>
      </c>
      <c r="DA28" s="6" t="s">
        <v>404</v>
      </c>
      <c r="DB28" s="6" t="s">
        <v>405</v>
      </c>
      <c r="DC28" s="6" t="s">
        <v>431</v>
      </c>
      <c r="DD28" s="6" t="s">
        <v>432</v>
      </c>
      <c r="DE28" s="6" t="s">
        <v>433</v>
      </c>
      <c r="DF28" s="6" t="s">
        <v>434</v>
      </c>
      <c r="DG28" s="6" t="s">
        <v>435</v>
      </c>
      <c r="DH28" s="6" t="s">
        <v>527</v>
      </c>
      <c r="DI28" s="6" t="s">
        <v>437</v>
      </c>
      <c r="DJ28" s="6" t="s">
        <v>438</v>
      </c>
      <c r="DK28" s="6" t="s">
        <v>439</v>
      </c>
      <c r="DL28" s="6" t="s">
        <v>440</v>
      </c>
      <c r="DM28" s="6" t="s">
        <v>441</v>
      </c>
      <c r="DN28" s="6" t="s">
        <v>442</v>
      </c>
      <c r="DO28" s="6" t="s">
        <v>443</v>
      </c>
      <c r="DP28" s="6" t="s">
        <v>444</v>
      </c>
    </row>
    <row r="29" spans="1:124" s="176" customFormat="1" ht="15" customHeight="1">
      <c r="A29" s="149" t="s">
        <v>530</v>
      </c>
      <c r="B29" s="8">
        <v>1899.0886502534058</v>
      </c>
      <c r="C29" s="8">
        <v>1933.7384376224359</v>
      </c>
      <c r="D29" s="8">
        <v>1937.1042782760119</v>
      </c>
      <c r="E29" s="8">
        <v>1963.167153941685</v>
      </c>
      <c r="F29" s="8">
        <v>1971.5341387542478</v>
      </c>
      <c r="G29" s="8">
        <v>2074.7296114506594</v>
      </c>
      <c r="H29" s="8">
        <v>2131.1941157126025</v>
      </c>
      <c r="I29" s="8">
        <v>2212.5048921404277</v>
      </c>
      <c r="J29" s="8">
        <v>2409.0102674426371</v>
      </c>
      <c r="K29" s="8">
        <v>2296.0726597047055</v>
      </c>
      <c r="L29" s="8">
        <v>2144.7759694408846</v>
      </c>
      <c r="M29" s="8">
        <v>1973.658940751516</v>
      </c>
      <c r="N29" s="8">
        <v>2047.6589340198539</v>
      </c>
      <c r="O29" s="8">
        <v>2255.5575818758794</v>
      </c>
      <c r="P29" s="8">
        <v>1854.5882816219168</v>
      </c>
      <c r="Q29" s="8">
        <v>1833.8401645424931</v>
      </c>
      <c r="R29" s="8">
        <v>1525.0997352464974</v>
      </c>
      <c r="S29" s="8">
        <v>1518.8182636334514</v>
      </c>
      <c r="T29" s="8">
        <v>1480.3797606463734</v>
      </c>
      <c r="U29" s="8">
        <v>1509.8482127385485</v>
      </c>
      <c r="V29" s="8">
        <v>1485.5496280072637</v>
      </c>
      <c r="W29" s="8">
        <v>1481.7162817019916</v>
      </c>
      <c r="X29" s="8">
        <v>1481.0302274884043</v>
      </c>
      <c r="Y29" s="8">
        <v>1460.3518418072219</v>
      </c>
      <c r="Z29" s="8">
        <v>1404.6801840631315</v>
      </c>
      <c r="AA29" s="8">
        <v>1282.1572154724076</v>
      </c>
      <c r="AB29" s="8">
        <v>1287.6981564819548</v>
      </c>
      <c r="AC29" s="8">
        <v>1247.3283060919616</v>
      </c>
      <c r="AD29" s="8">
        <v>1210.447730260913</v>
      </c>
      <c r="AE29" s="8">
        <v>1161.8407714690843</v>
      </c>
      <c r="AF29" s="8">
        <v>1113.0697730729432</v>
      </c>
      <c r="AG29" s="8">
        <v>1133.4938727883546</v>
      </c>
      <c r="AH29" s="8">
        <v>1075.0264307774967</v>
      </c>
      <c r="AI29" s="8">
        <v>1026.0410439971788</v>
      </c>
      <c r="AJ29" s="8">
        <v>1013.3292413963891</v>
      </c>
      <c r="AK29" s="8">
        <v>1104.5156931829315</v>
      </c>
      <c r="AL29" s="8">
        <v>1043.707636853843</v>
      </c>
      <c r="AM29" s="8">
        <v>1002.2455053807653</v>
      </c>
      <c r="AN29" s="8">
        <v>943.43795913755537</v>
      </c>
      <c r="AO29" s="8">
        <v>960.61128745808628</v>
      </c>
      <c r="AP29" s="8">
        <v>865.41078031523818</v>
      </c>
      <c r="AQ29" s="8">
        <v>826.26072078123036</v>
      </c>
      <c r="AR29" s="8">
        <v>830.55954698436403</v>
      </c>
      <c r="AS29" s="8">
        <v>813.62095580782818</v>
      </c>
      <c r="AT29" s="8">
        <v>863.02994531151842</v>
      </c>
      <c r="AU29" s="8">
        <v>863.0675322301347</v>
      </c>
      <c r="AV29" s="8">
        <v>792.37469083608642</v>
      </c>
      <c r="AW29" s="8">
        <v>808.94331440009728</v>
      </c>
      <c r="AX29" s="8">
        <v>784.23658906345167</v>
      </c>
      <c r="AY29" s="8">
        <v>779.285500258654</v>
      </c>
      <c r="AZ29" s="8">
        <v>841.96062518581516</v>
      </c>
      <c r="BA29" s="8">
        <v>739.95305068269147</v>
      </c>
      <c r="BB29" s="8">
        <v>690.29725242493964</v>
      </c>
      <c r="BC29" s="8">
        <v>683.61965255073221</v>
      </c>
      <c r="BD29" s="8">
        <v>655.317149704023</v>
      </c>
      <c r="BE29" s="8">
        <v>524.82777641442408</v>
      </c>
      <c r="BF29" s="8">
        <v>570.64268792076507</v>
      </c>
      <c r="BG29" s="8">
        <v>532.219072935138</v>
      </c>
      <c r="BH29" s="8">
        <v>558.25123220523074</v>
      </c>
      <c r="BI29" s="8">
        <v>525.4285920241939</v>
      </c>
      <c r="BJ29" s="8">
        <v>559.10314166047931</v>
      </c>
      <c r="BK29" s="8">
        <v>554.67468076538432</v>
      </c>
      <c r="BL29" s="8">
        <v>554.44761688144831</v>
      </c>
      <c r="BM29" s="8">
        <v>546.59358953050264</v>
      </c>
      <c r="BN29" s="8">
        <v>558.09566329215488</v>
      </c>
      <c r="BO29" s="8">
        <v>553.31504601690096</v>
      </c>
      <c r="BP29" s="8">
        <v>529.77792698246424</v>
      </c>
      <c r="BQ29" s="8">
        <v>515.77925547626307</v>
      </c>
      <c r="BR29" s="8">
        <v>512.13359726680585</v>
      </c>
      <c r="BS29" s="8">
        <v>511.33246838289671</v>
      </c>
      <c r="BT29" s="8">
        <v>501.95043497052029</v>
      </c>
      <c r="BU29" s="8">
        <v>444.3114222666668</v>
      </c>
      <c r="BV29" s="8">
        <v>429.35708710382562</v>
      </c>
      <c r="BW29" s="8">
        <v>434.02550825032654</v>
      </c>
      <c r="BX29" s="8">
        <v>419.79584741733993</v>
      </c>
      <c r="BY29" s="8">
        <v>395.15573141332942</v>
      </c>
      <c r="BZ29" s="8">
        <v>384.76352041204041</v>
      </c>
      <c r="CA29" s="8">
        <v>373.84388488134738</v>
      </c>
      <c r="CB29" s="8">
        <v>372.06459730503792</v>
      </c>
      <c r="CC29" s="8">
        <v>377.76663022509422</v>
      </c>
      <c r="CD29" s="8">
        <v>380.30282804423302</v>
      </c>
      <c r="CE29" s="8">
        <v>361.69787763574999</v>
      </c>
      <c r="CF29" s="8">
        <v>364.1387064592322</v>
      </c>
      <c r="CG29" s="8">
        <v>360.3063388038002</v>
      </c>
      <c r="CH29" s="8">
        <v>356.11002437496086</v>
      </c>
      <c r="CI29" s="8">
        <v>328.2357952201823</v>
      </c>
      <c r="CJ29" s="8">
        <v>423.57053544744508</v>
      </c>
      <c r="CK29" s="8">
        <v>455.49997324888301</v>
      </c>
      <c r="CL29" s="8">
        <v>445.79122252248658</v>
      </c>
      <c r="CM29" s="8">
        <v>386.58187859615828</v>
      </c>
      <c r="CN29" s="8">
        <v>383.27375080733481</v>
      </c>
      <c r="CO29" s="8">
        <v>363.59078609732421</v>
      </c>
      <c r="CP29" s="8">
        <v>348.13880695962234</v>
      </c>
      <c r="CQ29" s="8">
        <v>301.25610244004048</v>
      </c>
      <c r="CR29" s="8">
        <v>249.76011934417693</v>
      </c>
      <c r="CS29" s="8">
        <v>222.67644304004503</v>
      </c>
      <c r="CT29" s="8">
        <v>202.84328294643919</v>
      </c>
      <c r="CU29" s="8">
        <v>190.33937327126554</v>
      </c>
      <c r="CV29" s="8">
        <v>179.96947495931553</v>
      </c>
      <c r="CW29" s="8">
        <v>170.64938035162356</v>
      </c>
      <c r="CX29" s="8">
        <v>542.53678563449864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</row>
    <row r="30" spans="1:124" s="176" customFormat="1">
      <c r="A30" s="149" t="s">
        <v>531</v>
      </c>
      <c r="B30" s="8">
        <v>818.00255527495551</v>
      </c>
      <c r="C30" s="8">
        <v>805.53903037717839</v>
      </c>
      <c r="D30" s="8">
        <v>726.74730558816623</v>
      </c>
      <c r="E30" s="8">
        <v>699.7663246642087</v>
      </c>
      <c r="F30" s="8">
        <v>670.87060594165541</v>
      </c>
      <c r="G30" s="8">
        <v>660.7979397238629</v>
      </c>
      <c r="H30" s="8">
        <v>587.32674556061534</v>
      </c>
      <c r="I30" s="8">
        <v>555.92743949892235</v>
      </c>
      <c r="J30" s="8">
        <v>545.06201581061509</v>
      </c>
      <c r="K30" s="8">
        <v>513.48729931892058</v>
      </c>
      <c r="L30" s="8">
        <v>434.25140253449632</v>
      </c>
      <c r="M30" s="8">
        <v>399.13005762835741</v>
      </c>
      <c r="N30" s="8">
        <v>358.46406952156997</v>
      </c>
      <c r="O30" s="8">
        <v>336.52276122546959</v>
      </c>
      <c r="P30" s="8">
        <v>153.19934627078413</v>
      </c>
      <c r="Q30" s="8">
        <v>135.30638052206135</v>
      </c>
      <c r="R30" s="8">
        <v>164.24714657574367</v>
      </c>
      <c r="S30" s="8">
        <v>318.4524451500838</v>
      </c>
      <c r="T30" s="8">
        <v>238.25119347694348</v>
      </c>
      <c r="U30" s="8">
        <v>338.84879038349249</v>
      </c>
      <c r="V30" s="8">
        <v>330.63985837282445</v>
      </c>
      <c r="W30" s="8">
        <v>403.0314540282364</v>
      </c>
      <c r="X30" s="8">
        <v>350.41097897289899</v>
      </c>
      <c r="Y30" s="8">
        <v>518.80650999970101</v>
      </c>
      <c r="Z30" s="8">
        <v>579.05864956967446</v>
      </c>
      <c r="AA30" s="8">
        <v>299.38035486042094</v>
      </c>
      <c r="AB30" s="8">
        <v>147.62739075952791</v>
      </c>
      <c r="AC30" s="8">
        <v>155.22733426415871</v>
      </c>
      <c r="AD30" s="8">
        <v>201.09072598141955</v>
      </c>
      <c r="AE30" s="8">
        <v>132.78970855641771</v>
      </c>
      <c r="AF30" s="8">
        <v>132.64696725964976</v>
      </c>
      <c r="AG30" s="8">
        <v>141.42811774296592</v>
      </c>
      <c r="AH30" s="8">
        <v>135.14472513384246</v>
      </c>
      <c r="AI30" s="8">
        <v>102.18734812099576</v>
      </c>
      <c r="AJ30" s="8">
        <v>93.777288772240524</v>
      </c>
      <c r="AK30" s="8">
        <v>91.806854674585111</v>
      </c>
      <c r="AL30" s="8">
        <v>105.11251786302984</v>
      </c>
      <c r="AM30" s="8">
        <v>95.438229328931925</v>
      </c>
      <c r="AN30" s="8">
        <v>132.06593113530135</v>
      </c>
      <c r="AO30" s="8">
        <v>98.490489644983768</v>
      </c>
      <c r="AP30" s="8">
        <v>98.125397781031253</v>
      </c>
      <c r="AQ30" s="8">
        <v>75.966249706285836</v>
      </c>
      <c r="AR30" s="8">
        <v>93.180031385517594</v>
      </c>
      <c r="AS30" s="8">
        <v>114.60201491203738</v>
      </c>
      <c r="AT30" s="8">
        <v>97.241197804577226</v>
      </c>
      <c r="AU30" s="8">
        <v>97.291757135849949</v>
      </c>
      <c r="AV30" s="8">
        <v>104.66792356256629</v>
      </c>
      <c r="AW30" s="8">
        <v>89.292241877896188</v>
      </c>
      <c r="AX30" s="8">
        <v>134.77558306593133</v>
      </c>
      <c r="AY30" s="8">
        <v>80.533124741364958</v>
      </c>
      <c r="AZ30" s="8">
        <v>71.18828603769434</v>
      </c>
      <c r="BA30" s="8">
        <v>131.91654473410523</v>
      </c>
      <c r="BB30" s="8">
        <v>201.54130377909016</v>
      </c>
      <c r="BC30" s="8">
        <v>305.69627405910978</v>
      </c>
      <c r="BD30" s="8">
        <v>453.13270167614257</v>
      </c>
      <c r="BE30" s="8">
        <v>458.3488372824736</v>
      </c>
      <c r="BF30" s="8">
        <v>452.13625523996114</v>
      </c>
      <c r="BG30" s="8">
        <v>486.90775501940351</v>
      </c>
      <c r="BH30" s="8">
        <v>530.20083745563966</v>
      </c>
      <c r="BI30" s="8">
        <v>386.82628144885683</v>
      </c>
      <c r="BJ30" s="8">
        <v>295.27239315855337</v>
      </c>
      <c r="BK30" s="8">
        <v>278.89143732094107</v>
      </c>
      <c r="BL30" s="8">
        <v>290.50877989842201</v>
      </c>
      <c r="BM30" s="8">
        <v>228.02259391099858</v>
      </c>
      <c r="BN30" s="8">
        <v>295.84659354599717</v>
      </c>
      <c r="BO30" s="8">
        <v>316.84342929741086</v>
      </c>
      <c r="BP30" s="8">
        <v>422.76874607950168</v>
      </c>
      <c r="BQ30" s="8">
        <v>466.29306622410155</v>
      </c>
      <c r="BR30" s="8">
        <v>617.18691366605856</v>
      </c>
      <c r="BS30" s="8">
        <v>601.68327766124037</v>
      </c>
      <c r="BT30" s="8">
        <v>542.63341293312908</v>
      </c>
      <c r="BU30" s="8">
        <v>644.73608141608292</v>
      </c>
      <c r="BV30" s="8">
        <v>576.82065750222068</v>
      </c>
      <c r="BW30" s="8">
        <v>482.47246671720313</v>
      </c>
      <c r="BX30" s="8">
        <v>534.3773047800837</v>
      </c>
      <c r="BY30" s="8">
        <v>492.39248448153643</v>
      </c>
      <c r="BZ30" s="8">
        <v>470.35748682863277</v>
      </c>
      <c r="CA30" s="8">
        <v>301.03299332181092</v>
      </c>
      <c r="CB30" s="8">
        <v>391.96190326919822</v>
      </c>
      <c r="CC30" s="8">
        <v>321.0189293352264</v>
      </c>
      <c r="CD30" s="8">
        <v>421.39949678737275</v>
      </c>
      <c r="CE30" s="8">
        <v>377.63677082671825</v>
      </c>
      <c r="CF30" s="8">
        <v>304.8796489220743</v>
      </c>
      <c r="CG30" s="8">
        <v>266.32995536307084</v>
      </c>
      <c r="CH30" s="8">
        <v>266.40727072834295</v>
      </c>
      <c r="CI30" s="8">
        <v>239.16164040276647</v>
      </c>
      <c r="CJ30" s="8">
        <v>140.09824585256081</v>
      </c>
      <c r="CK30" s="8">
        <v>128.18146636584711</v>
      </c>
      <c r="CL30" s="8">
        <v>79.38316796899629</v>
      </c>
      <c r="CM30" s="8">
        <v>78.162926780742168</v>
      </c>
      <c r="CN30" s="8">
        <v>25.776282865439953</v>
      </c>
      <c r="CO30" s="8">
        <v>25.3755229840312</v>
      </c>
      <c r="CP30" s="8">
        <v>26.46601928795284</v>
      </c>
      <c r="CQ30" s="8">
        <v>27.970005290750979</v>
      </c>
      <c r="CR30" s="8">
        <v>25.707485329212815</v>
      </c>
      <c r="CS30" s="8">
        <v>25.3755229840312</v>
      </c>
      <c r="CT30" s="8">
        <v>26.866779169361649</v>
      </c>
      <c r="CU30" s="8">
        <v>27.081726447678506</v>
      </c>
      <c r="CV30" s="8">
        <v>25.3755229840312</v>
      </c>
      <c r="CW30" s="8">
        <v>25.793117821908861</v>
      </c>
      <c r="CX30" s="8">
        <v>24.904838978836299</v>
      </c>
      <c r="CY30" s="8">
        <v>22.51737231859698</v>
      </c>
      <c r="CZ30" s="8">
        <v>22.312935405272778</v>
      </c>
      <c r="DA30" s="8">
        <v>21.057866343231296</v>
      </c>
      <c r="DB30" s="8">
        <v>21.946145186303809</v>
      </c>
      <c r="DC30" s="8">
        <v>21.057866343231296</v>
      </c>
      <c r="DD30" s="8">
        <v>31.564190441232167</v>
      </c>
      <c r="DE30" s="8">
        <v>31.564190441232167</v>
      </c>
      <c r="DF30" s="8">
        <v>46.908329300369168</v>
      </c>
      <c r="DG30" s="8">
        <v>65.592212505043207</v>
      </c>
      <c r="DH30" s="8">
        <v>76.613589872627244</v>
      </c>
      <c r="DI30" s="8">
        <v>89.524339132469606</v>
      </c>
      <c r="DJ30" s="8">
        <v>69.952022812469622</v>
      </c>
      <c r="DK30" s="8">
        <v>67.389433832469607</v>
      </c>
      <c r="DL30" s="8">
        <v>69.477480287268122</v>
      </c>
      <c r="DM30" s="8">
        <v>73.940206906742773</v>
      </c>
      <c r="DN30" s="8">
        <v>78.210968570758098</v>
      </c>
      <c r="DO30" s="8">
        <v>71.564520742181656</v>
      </c>
      <c r="DP30" s="8">
        <v>64.206820718830514</v>
      </c>
    </row>
    <row r="31" spans="1:124" s="176" customFormat="1">
      <c r="A31" s="149" t="s">
        <v>80</v>
      </c>
      <c r="B31" s="16">
        <f>+B29+B30</f>
        <v>2717.0912055283616</v>
      </c>
      <c r="C31" s="16">
        <f t="shared" ref="C31:BN31" si="2">+C29+C30</f>
        <v>2739.2774679996141</v>
      </c>
      <c r="D31" s="16">
        <f t="shared" si="2"/>
        <v>2663.8515838641779</v>
      </c>
      <c r="E31" s="16">
        <f t="shared" si="2"/>
        <v>2662.9334786058935</v>
      </c>
      <c r="F31" s="16">
        <f t="shared" si="2"/>
        <v>2642.404744695903</v>
      </c>
      <c r="G31" s="16">
        <f t="shared" si="2"/>
        <v>2735.5275511745222</v>
      </c>
      <c r="H31" s="16">
        <f t="shared" si="2"/>
        <v>2718.5208612732176</v>
      </c>
      <c r="I31" s="16">
        <f t="shared" si="2"/>
        <v>2768.4323316393502</v>
      </c>
      <c r="J31" s="16">
        <f t="shared" si="2"/>
        <v>2954.072283253252</v>
      </c>
      <c r="K31" s="16">
        <f t="shared" si="2"/>
        <v>2809.5599590236261</v>
      </c>
      <c r="L31" s="16">
        <f t="shared" si="2"/>
        <v>2579.0273719753809</v>
      </c>
      <c r="M31" s="16">
        <f t="shared" si="2"/>
        <v>2372.7889983798732</v>
      </c>
      <c r="N31" s="16">
        <f t="shared" si="2"/>
        <v>2406.1230035414237</v>
      </c>
      <c r="O31" s="16">
        <f t="shared" si="2"/>
        <v>2592.0803431013492</v>
      </c>
      <c r="P31" s="16">
        <f t="shared" si="2"/>
        <v>2007.787627892701</v>
      </c>
      <c r="Q31" s="16">
        <f t="shared" si="2"/>
        <v>1969.1465450645544</v>
      </c>
      <c r="R31" s="16">
        <f t="shared" si="2"/>
        <v>1689.3468818222411</v>
      </c>
      <c r="S31" s="16">
        <f t="shared" si="2"/>
        <v>1837.2707087835352</v>
      </c>
      <c r="T31" s="16">
        <f t="shared" si="2"/>
        <v>1718.6309541233168</v>
      </c>
      <c r="U31" s="16">
        <f t="shared" si="2"/>
        <v>1848.697003122041</v>
      </c>
      <c r="V31" s="16">
        <f t="shared" si="2"/>
        <v>1816.1894863800881</v>
      </c>
      <c r="W31" s="16">
        <f t="shared" si="2"/>
        <v>1884.747735730228</v>
      </c>
      <c r="X31" s="16">
        <f t="shared" si="2"/>
        <v>1831.4412064613034</v>
      </c>
      <c r="Y31" s="16">
        <f t="shared" si="2"/>
        <v>1979.1583518069228</v>
      </c>
      <c r="Z31" s="16">
        <f t="shared" si="2"/>
        <v>1983.7388336328058</v>
      </c>
      <c r="AA31" s="16">
        <f t="shared" si="2"/>
        <v>1581.5375703328286</v>
      </c>
      <c r="AB31" s="16">
        <f t="shared" si="2"/>
        <v>1435.3255472414828</v>
      </c>
      <c r="AC31" s="16">
        <f t="shared" si="2"/>
        <v>1402.5556403561204</v>
      </c>
      <c r="AD31" s="16">
        <f t="shared" si="2"/>
        <v>1411.5384562423326</v>
      </c>
      <c r="AE31" s="16">
        <f t="shared" si="2"/>
        <v>1294.630480025502</v>
      </c>
      <c r="AF31" s="16">
        <f t="shared" si="2"/>
        <v>1245.716740332593</v>
      </c>
      <c r="AG31" s="16">
        <f t="shared" si="2"/>
        <v>1274.9219905313205</v>
      </c>
      <c r="AH31" s="16">
        <f t="shared" si="2"/>
        <v>1210.1711559113392</v>
      </c>
      <c r="AI31" s="16">
        <f t="shared" si="2"/>
        <v>1128.2283921181745</v>
      </c>
      <c r="AJ31" s="16">
        <f t="shared" si="2"/>
        <v>1107.1065301686297</v>
      </c>
      <c r="AK31" s="16">
        <f t="shared" si="2"/>
        <v>1196.3225478575166</v>
      </c>
      <c r="AL31" s="16">
        <f t="shared" si="2"/>
        <v>1148.8201547168728</v>
      </c>
      <c r="AM31" s="16">
        <f t="shared" si="2"/>
        <v>1097.6837347096971</v>
      </c>
      <c r="AN31" s="16">
        <f t="shared" si="2"/>
        <v>1075.5038902728568</v>
      </c>
      <c r="AO31" s="16">
        <f t="shared" si="2"/>
        <v>1059.1017771030702</v>
      </c>
      <c r="AP31" s="16">
        <f t="shared" si="2"/>
        <v>963.5361780962694</v>
      </c>
      <c r="AQ31" s="16">
        <f t="shared" si="2"/>
        <v>902.22697048751616</v>
      </c>
      <c r="AR31" s="16">
        <f t="shared" si="2"/>
        <v>923.73957836988166</v>
      </c>
      <c r="AS31" s="16">
        <f t="shared" si="2"/>
        <v>928.22297071986554</v>
      </c>
      <c r="AT31" s="16">
        <f t="shared" si="2"/>
        <v>960.27114311609569</v>
      </c>
      <c r="AU31" s="16">
        <f t="shared" si="2"/>
        <v>960.35928936598464</v>
      </c>
      <c r="AV31" s="16">
        <f t="shared" si="2"/>
        <v>897.04261439865274</v>
      </c>
      <c r="AW31" s="16">
        <f t="shared" si="2"/>
        <v>898.23555627799351</v>
      </c>
      <c r="AX31" s="16">
        <f t="shared" si="2"/>
        <v>919.01217212938298</v>
      </c>
      <c r="AY31" s="16">
        <f t="shared" si="2"/>
        <v>859.81862500001898</v>
      </c>
      <c r="AZ31" s="16">
        <f t="shared" si="2"/>
        <v>913.14891122350946</v>
      </c>
      <c r="BA31" s="16">
        <f t="shared" si="2"/>
        <v>871.86959541679676</v>
      </c>
      <c r="BB31" s="16">
        <f t="shared" si="2"/>
        <v>891.83855620402983</v>
      </c>
      <c r="BC31" s="16">
        <f t="shared" si="2"/>
        <v>989.31592660984199</v>
      </c>
      <c r="BD31" s="16">
        <f t="shared" si="2"/>
        <v>1108.4498513801655</v>
      </c>
      <c r="BE31" s="16">
        <f t="shared" si="2"/>
        <v>983.17661369689768</v>
      </c>
      <c r="BF31" s="16">
        <f t="shared" si="2"/>
        <v>1022.7789431607262</v>
      </c>
      <c r="BG31" s="16">
        <f t="shared" si="2"/>
        <v>1019.1268279545416</v>
      </c>
      <c r="BH31" s="16">
        <f t="shared" si="2"/>
        <v>1088.4520696608704</v>
      </c>
      <c r="BI31" s="16">
        <f t="shared" si="2"/>
        <v>912.25487347305079</v>
      </c>
      <c r="BJ31" s="16">
        <f t="shared" si="2"/>
        <v>854.37553481903274</v>
      </c>
      <c r="BK31" s="16">
        <f t="shared" si="2"/>
        <v>833.56611808632533</v>
      </c>
      <c r="BL31" s="16">
        <f t="shared" si="2"/>
        <v>844.95639677987037</v>
      </c>
      <c r="BM31" s="16">
        <f t="shared" si="2"/>
        <v>774.61618344150122</v>
      </c>
      <c r="BN31" s="16">
        <f t="shared" si="2"/>
        <v>853.94225683815205</v>
      </c>
      <c r="BO31" s="16">
        <f t="shared" ref="BO31:DP31" si="3">+BO29+BO30</f>
        <v>870.15847531431177</v>
      </c>
      <c r="BP31" s="16">
        <f t="shared" si="3"/>
        <v>952.54667306196598</v>
      </c>
      <c r="BQ31" s="16">
        <f t="shared" si="3"/>
        <v>982.07232170036468</v>
      </c>
      <c r="BR31" s="16">
        <f t="shared" si="3"/>
        <v>1129.3205109328644</v>
      </c>
      <c r="BS31" s="16">
        <f t="shared" si="3"/>
        <v>1113.0157460441371</v>
      </c>
      <c r="BT31" s="16">
        <f t="shared" si="3"/>
        <v>1044.5838479036493</v>
      </c>
      <c r="BU31" s="16">
        <f t="shared" si="3"/>
        <v>1089.0475036827497</v>
      </c>
      <c r="BV31" s="16">
        <f t="shared" si="3"/>
        <v>1006.1777446060463</v>
      </c>
      <c r="BW31" s="16">
        <f t="shared" si="3"/>
        <v>916.49797496752967</v>
      </c>
      <c r="BX31" s="16">
        <f t="shared" si="3"/>
        <v>954.17315219742363</v>
      </c>
      <c r="BY31" s="16">
        <f t="shared" si="3"/>
        <v>887.54821589486585</v>
      </c>
      <c r="BZ31" s="16">
        <f t="shared" si="3"/>
        <v>855.12100724067318</v>
      </c>
      <c r="CA31" s="16">
        <f t="shared" si="3"/>
        <v>674.8768782031583</v>
      </c>
      <c r="CB31" s="16">
        <f t="shared" si="3"/>
        <v>764.02650057423614</v>
      </c>
      <c r="CC31" s="16">
        <f t="shared" si="3"/>
        <v>698.78555956032062</v>
      </c>
      <c r="CD31" s="16">
        <f t="shared" si="3"/>
        <v>801.70232483160578</v>
      </c>
      <c r="CE31" s="16">
        <f t="shared" si="3"/>
        <v>739.33464846246829</v>
      </c>
      <c r="CF31" s="16">
        <f t="shared" si="3"/>
        <v>669.01835538130649</v>
      </c>
      <c r="CG31" s="16">
        <f t="shared" si="3"/>
        <v>626.63629416687104</v>
      </c>
      <c r="CH31" s="16">
        <f t="shared" si="3"/>
        <v>622.51729510330381</v>
      </c>
      <c r="CI31" s="16">
        <f t="shared" si="3"/>
        <v>567.39743562294871</v>
      </c>
      <c r="CJ31" s="16">
        <f t="shared" si="3"/>
        <v>563.66878130000589</v>
      </c>
      <c r="CK31" s="16">
        <f t="shared" si="3"/>
        <v>583.68143961473015</v>
      </c>
      <c r="CL31" s="16">
        <f t="shared" si="3"/>
        <v>525.17439049148288</v>
      </c>
      <c r="CM31" s="16">
        <f t="shared" si="3"/>
        <v>464.74480537690044</v>
      </c>
      <c r="CN31" s="16">
        <f t="shared" si="3"/>
        <v>409.05003367277476</v>
      </c>
      <c r="CO31" s="16">
        <f t="shared" si="3"/>
        <v>388.9663090813554</v>
      </c>
      <c r="CP31" s="16">
        <f t="shared" si="3"/>
        <v>374.6048262475752</v>
      </c>
      <c r="CQ31" s="16">
        <f t="shared" si="3"/>
        <v>329.22610773079145</v>
      </c>
      <c r="CR31" s="16">
        <f t="shared" si="3"/>
        <v>275.46760467338976</v>
      </c>
      <c r="CS31" s="16">
        <f t="shared" si="3"/>
        <v>248.05196602407622</v>
      </c>
      <c r="CT31" s="16">
        <f t="shared" si="3"/>
        <v>229.71006211580084</v>
      </c>
      <c r="CU31" s="16">
        <f t="shared" si="3"/>
        <v>217.42109971894405</v>
      </c>
      <c r="CV31" s="16">
        <f t="shared" si="3"/>
        <v>205.34499794334673</v>
      </c>
      <c r="CW31" s="16">
        <f t="shared" si="3"/>
        <v>196.44249817353241</v>
      </c>
      <c r="CX31" s="16">
        <f t="shared" si="3"/>
        <v>567.44162461333497</v>
      </c>
      <c r="CY31" s="16">
        <f t="shared" si="3"/>
        <v>22.51737231859698</v>
      </c>
      <c r="CZ31" s="16">
        <f t="shared" si="3"/>
        <v>22.312935405272778</v>
      </c>
      <c r="DA31" s="16">
        <f t="shared" si="3"/>
        <v>21.057866343231296</v>
      </c>
      <c r="DB31" s="16">
        <f t="shared" si="3"/>
        <v>21.946145186303809</v>
      </c>
      <c r="DC31" s="16">
        <f t="shared" si="3"/>
        <v>21.057866343231296</v>
      </c>
      <c r="DD31" s="16">
        <f t="shared" si="3"/>
        <v>31.564190441232167</v>
      </c>
      <c r="DE31" s="16">
        <f t="shared" si="3"/>
        <v>31.564190441232167</v>
      </c>
      <c r="DF31" s="16">
        <f t="shared" si="3"/>
        <v>46.908329300369168</v>
      </c>
      <c r="DG31" s="16">
        <f t="shared" si="3"/>
        <v>65.592212505043207</v>
      </c>
      <c r="DH31" s="16">
        <f t="shared" si="3"/>
        <v>76.613589872627244</v>
      </c>
      <c r="DI31" s="16">
        <f t="shared" si="3"/>
        <v>89.524339132469606</v>
      </c>
      <c r="DJ31" s="16">
        <f t="shared" si="3"/>
        <v>69.952022812469622</v>
      </c>
      <c r="DK31" s="16">
        <f t="shared" si="3"/>
        <v>67.389433832469607</v>
      </c>
      <c r="DL31" s="16">
        <f t="shared" si="3"/>
        <v>69.477480287268122</v>
      </c>
      <c r="DM31" s="16">
        <f t="shared" si="3"/>
        <v>73.940206906742773</v>
      </c>
      <c r="DN31" s="16">
        <f t="shared" si="3"/>
        <v>78.210968570758098</v>
      </c>
      <c r="DO31" s="16">
        <f t="shared" si="3"/>
        <v>71.564520742181656</v>
      </c>
      <c r="DP31" s="16">
        <f t="shared" si="3"/>
        <v>64.206820718830514</v>
      </c>
    </row>
    <row r="32" spans="1:124" s="176" customFormat="1">
      <c r="A32" s="215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BI32" s="216"/>
    </row>
    <row r="37" spans="1:1">
      <c r="A37" s="1"/>
    </row>
  </sheetData>
  <mergeCells count="1">
    <mergeCell ref="DQ13:DR16"/>
  </mergeCells>
  <phoneticPr fontId="167" type="noConversion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C42D-F56F-48B0-8DB9-652B54FA0AE5}">
  <dimension ref="A1:P38"/>
  <sheetViews>
    <sheetView zoomScale="95" workbookViewId="0">
      <selection activeCell="M14" sqref="M14"/>
    </sheetView>
  </sheetViews>
  <sheetFormatPr defaultRowHeight="12.5"/>
  <cols>
    <col min="1" max="1" width="46.25" style="1" customWidth="1"/>
    <col min="2" max="16384" width="8.6640625" style="1"/>
  </cols>
  <sheetData>
    <row r="1" spans="1:1" ht="13">
      <c r="A1" s="254" t="s">
        <v>612</v>
      </c>
    </row>
    <row r="28" spans="1:16" ht="13">
      <c r="A28" s="26" t="s">
        <v>337</v>
      </c>
      <c r="B28" s="220" t="s">
        <v>15</v>
      </c>
      <c r="C28" s="220" t="s">
        <v>14</v>
      </c>
      <c r="D28" s="220" t="s">
        <v>13</v>
      </c>
      <c r="E28" s="220" t="s">
        <v>12</v>
      </c>
      <c r="F28" s="220" t="s">
        <v>11</v>
      </c>
      <c r="G28" s="220" t="s">
        <v>10</v>
      </c>
      <c r="H28" s="220" t="s">
        <v>9</v>
      </c>
      <c r="I28" s="220" t="s">
        <v>8</v>
      </c>
      <c r="J28" s="220" t="s">
        <v>7</v>
      </c>
      <c r="K28" s="220" t="s">
        <v>6</v>
      </c>
      <c r="L28" s="220" t="s">
        <v>5</v>
      </c>
      <c r="M28" s="220" t="s">
        <v>4</v>
      </c>
      <c r="N28" s="220" t="s">
        <v>3</v>
      </c>
      <c r="O28" s="220" t="s">
        <v>2</v>
      </c>
      <c r="P28" s="220" t="s">
        <v>1</v>
      </c>
    </row>
    <row r="29" spans="1:16">
      <c r="A29" s="1" t="s">
        <v>390</v>
      </c>
      <c r="B29" s="105">
        <v>56.7</v>
      </c>
      <c r="C29" s="105">
        <v>60.9</v>
      </c>
      <c r="D29" s="105">
        <v>63.8</v>
      </c>
      <c r="E29" s="105">
        <v>69.8</v>
      </c>
      <c r="F29" s="105">
        <v>77.400000000000006</v>
      </c>
      <c r="G29" s="105">
        <v>82.9</v>
      </c>
      <c r="H29" s="105">
        <v>181.7</v>
      </c>
      <c r="I29" s="105">
        <v>184.9</v>
      </c>
      <c r="J29" s="105">
        <v>263.39999999999998</v>
      </c>
      <c r="K29" s="105">
        <v>152.19999999999999</v>
      </c>
      <c r="L29" s="105">
        <v>157</v>
      </c>
      <c r="M29" s="105">
        <v>159.1</v>
      </c>
      <c r="N29" s="105">
        <v>273.10000000000002</v>
      </c>
      <c r="O29" s="105">
        <v>146.9</v>
      </c>
      <c r="P29" s="105">
        <v>125.5</v>
      </c>
    </row>
    <row r="30" spans="1:16">
      <c r="A30" s="1" t="s">
        <v>391</v>
      </c>
      <c r="N30" s="1">
        <v>16.7</v>
      </c>
      <c r="O30" s="1">
        <v>18.5</v>
      </c>
      <c r="P30" s="1">
        <v>17.8</v>
      </c>
    </row>
    <row r="32" spans="1:16" ht="13">
      <c r="A32" s="26" t="s">
        <v>383</v>
      </c>
      <c r="B32" s="220" t="s">
        <v>15</v>
      </c>
      <c r="C32" s="220" t="s">
        <v>14</v>
      </c>
      <c r="D32" s="220" t="s">
        <v>13</v>
      </c>
      <c r="E32" s="220" t="s">
        <v>12</v>
      </c>
      <c r="F32" s="220" t="s">
        <v>11</v>
      </c>
      <c r="G32" s="220" t="s">
        <v>10</v>
      </c>
      <c r="H32" s="220" t="s">
        <v>9</v>
      </c>
      <c r="I32" s="220" t="s">
        <v>8</v>
      </c>
      <c r="J32" s="220" t="s">
        <v>7</v>
      </c>
      <c r="K32" s="220" t="s">
        <v>6</v>
      </c>
      <c r="L32" s="220" t="s">
        <v>5</v>
      </c>
      <c r="M32" s="220" t="s">
        <v>4</v>
      </c>
      <c r="N32" s="220" t="s">
        <v>3</v>
      </c>
      <c r="O32" s="220" t="s">
        <v>2</v>
      </c>
      <c r="P32" s="220" t="s">
        <v>1</v>
      </c>
    </row>
    <row r="33" spans="1:16">
      <c r="A33" s="1" t="s">
        <v>392</v>
      </c>
      <c r="B33" s="105">
        <v>15.7</v>
      </c>
      <c r="C33" s="105">
        <v>17.5</v>
      </c>
      <c r="D33" s="105">
        <v>19.399999999999999</v>
      </c>
      <c r="E33" s="105">
        <v>24</v>
      </c>
      <c r="F33" s="105">
        <v>26.6</v>
      </c>
      <c r="G33" s="105">
        <v>29.3</v>
      </c>
      <c r="H33" s="105">
        <v>57.6</v>
      </c>
      <c r="I33" s="105">
        <v>66.599999999999994</v>
      </c>
      <c r="J33" s="105">
        <v>78.400000000000006</v>
      </c>
      <c r="K33" s="105">
        <v>85.3</v>
      </c>
      <c r="L33" s="105">
        <v>86.1</v>
      </c>
      <c r="M33" s="105">
        <v>87.3</v>
      </c>
      <c r="N33" s="105">
        <v>131.30000000000001</v>
      </c>
      <c r="O33" s="105">
        <v>72.400000000000006</v>
      </c>
      <c r="P33" s="105">
        <v>61.7</v>
      </c>
    </row>
    <row r="34" spans="1:16">
      <c r="A34" s="1" t="s">
        <v>393</v>
      </c>
      <c r="B34" s="1">
        <v>7.5</v>
      </c>
      <c r="C34" s="1">
        <v>7.9</v>
      </c>
      <c r="D34" s="1">
        <v>8.4</v>
      </c>
      <c r="E34" s="1">
        <v>10.5</v>
      </c>
      <c r="F34" s="1">
        <v>11.9</v>
      </c>
      <c r="G34" s="1">
        <v>14</v>
      </c>
      <c r="H34" s="1">
        <v>26.7</v>
      </c>
      <c r="I34" s="1">
        <v>36.5</v>
      </c>
      <c r="J34" s="1">
        <v>47.3</v>
      </c>
      <c r="K34" s="1">
        <v>50.8</v>
      </c>
      <c r="L34" s="1">
        <v>49.7</v>
      </c>
      <c r="M34" s="1">
        <v>48.9</v>
      </c>
      <c r="N34" s="1">
        <v>75.2</v>
      </c>
      <c r="O34" s="1">
        <v>33.4</v>
      </c>
      <c r="P34" s="1">
        <v>25.7</v>
      </c>
    </row>
    <row r="35" spans="1:16">
      <c r="A35" s="1" t="s">
        <v>394</v>
      </c>
      <c r="B35" s="217">
        <v>2.1999999999999999E-2</v>
      </c>
      <c r="C35" s="217">
        <v>2.1999999999999999E-2</v>
      </c>
      <c r="D35" s="217">
        <v>2.1999999999999999E-2</v>
      </c>
      <c r="E35" s="217">
        <v>2.1999999999999999E-2</v>
      </c>
      <c r="F35" s="217">
        <v>2.1999999999999999E-2</v>
      </c>
      <c r="G35" s="217">
        <v>2.1999999999999999E-2</v>
      </c>
      <c r="H35" s="217">
        <v>-8.0000000000000002E-3</v>
      </c>
      <c r="I35" s="217">
        <v>-8.0000000000000002E-3</v>
      </c>
      <c r="J35" s="205">
        <v>1.9900000000000001E-2</v>
      </c>
      <c r="K35" s="205">
        <v>1.9900000000000001E-2</v>
      </c>
      <c r="L35" s="205">
        <v>1.9900000000000001E-2</v>
      </c>
      <c r="M35" s="205">
        <v>1.9900000000000001E-2</v>
      </c>
      <c r="N35" s="205">
        <v>6.6E-3</v>
      </c>
      <c r="O35" s="205">
        <v>0.03</v>
      </c>
      <c r="P35" s="205">
        <v>4.3999999999999997E-2</v>
      </c>
    </row>
    <row r="38" spans="1:16">
      <c r="B38" s="105"/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4ECC3-DBAF-462F-8A53-2A15D95ECAAE}">
  <dimension ref="A1:P41"/>
  <sheetViews>
    <sheetView zoomScale="95" workbookViewId="0">
      <selection activeCell="M22" sqref="M22"/>
    </sheetView>
  </sheetViews>
  <sheetFormatPr defaultRowHeight="12.5"/>
  <cols>
    <col min="1" max="1" width="32.33203125" style="1" bestFit="1" customWidth="1"/>
    <col min="2" max="4" width="8.6640625" style="1"/>
    <col min="5" max="11" width="9.33203125" style="1" bestFit="1" customWidth="1"/>
    <col min="12" max="16384" width="8.6640625" style="1"/>
  </cols>
  <sheetData>
    <row r="1" spans="1:1" ht="13">
      <c r="A1" s="255" t="s">
        <v>611</v>
      </c>
    </row>
    <row r="31" spans="1:16" ht="13">
      <c r="A31" s="26" t="s">
        <v>337</v>
      </c>
      <c r="B31" s="220" t="s">
        <v>15</v>
      </c>
      <c r="C31" s="220" t="s">
        <v>14</v>
      </c>
      <c r="D31" s="220" t="s">
        <v>13</v>
      </c>
      <c r="E31" s="220" t="s">
        <v>12</v>
      </c>
      <c r="F31" s="220" t="s">
        <v>11</v>
      </c>
      <c r="G31" s="220" t="s">
        <v>10</v>
      </c>
      <c r="H31" s="220" t="s">
        <v>9</v>
      </c>
      <c r="I31" s="220" t="s">
        <v>8</v>
      </c>
      <c r="J31" s="220" t="s">
        <v>7</v>
      </c>
      <c r="K31" s="220" t="s">
        <v>6</v>
      </c>
      <c r="L31" s="220" t="s">
        <v>5</v>
      </c>
      <c r="M31" s="220" t="s">
        <v>4</v>
      </c>
      <c r="N31" s="220" t="s">
        <v>3</v>
      </c>
      <c r="O31" s="220" t="s">
        <v>2</v>
      </c>
      <c r="P31" s="220" t="s">
        <v>1</v>
      </c>
    </row>
    <row r="32" spans="1:16">
      <c r="A32" s="1" t="s">
        <v>395</v>
      </c>
      <c r="B32" s="105"/>
      <c r="C32" s="105"/>
      <c r="D32" s="105"/>
      <c r="E32" s="105"/>
      <c r="F32" s="105">
        <v>11945</v>
      </c>
      <c r="G32" s="21">
        <f>11382+115</f>
        <v>11497</v>
      </c>
      <c r="H32" s="21">
        <f>10852+113</f>
        <v>10965</v>
      </c>
      <c r="I32" s="21">
        <f>10560+126</f>
        <v>10686</v>
      </c>
      <c r="J32" s="21">
        <f>10592+80</f>
        <v>10672</v>
      </c>
      <c r="K32" s="21">
        <f>10618+60</f>
        <v>10678</v>
      </c>
      <c r="L32" s="21">
        <f>11145+131</f>
        <v>11276</v>
      </c>
      <c r="M32" s="21">
        <f>10760+973+1562</f>
        <v>13295</v>
      </c>
      <c r="N32" s="21">
        <f>10226+1502+3292</f>
        <v>15020</v>
      </c>
      <c r="O32" s="21">
        <f>10567+2180+709</f>
        <v>13456</v>
      </c>
      <c r="P32" s="21">
        <f>10834+2382+502</f>
        <v>13718</v>
      </c>
    </row>
    <row r="33" spans="1:16">
      <c r="G33" s="21"/>
      <c r="H33" s="21"/>
      <c r="I33" s="21"/>
      <c r="J33" s="21"/>
      <c r="K33" s="21"/>
      <c r="L33" s="21"/>
      <c r="M33" s="21"/>
      <c r="N33" s="21">
        <v>16.7</v>
      </c>
      <c r="O33" s="21">
        <v>18.5</v>
      </c>
      <c r="P33" s="21">
        <v>17.8</v>
      </c>
    </row>
    <row r="35" spans="1:16" ht="13">
      <c r="A35" s="26" t="s">
        <v>383</v>
      </c>
      <c r="B35" s="220" t="s">
        <v>15</v>
      </c>
      <c r="C35" s="220" t="s">
        <v>14</v>
      </c>
      <c r="D35" s="220" t="s">
        <v>13</v>
      </c>
      <c r="E35" s="220" t="s">
        <v>12</v>
      </c>
      <c r="F35" s="220" t="s">
        <v>11</v>
      </c>
      <c r="G35" s="220" t="s">
        <v>10</v>
      </c>
      <c r="H35" s="220" t="s">
        <v>9</v>
      </c>
      <c r="I35" s="220" t="s">
        <v>8</v>
      </c>
      <c r="J35" s="220" t="s">
        <v>7</v>
      </c>
      <c r="K35" s="220" t="s">
        <v>6</v>
      </c>
      <c r="L35" s="220" t="s">
        <v>5</v>
      </c>
      <c r="M35" s="220" t="s">
        <v>4</v>
      </c>
      <c r="N35" s="220" t="s">
        <v>3</v>
      </c>
      <c r="O35" s="220" t="s">
        <v>2</v>
      </c>
      <c r="P35" s="220" t="s">
        <v>1</v>
      </c>
    </row>
    <row r="36" spans="1:16">
      <c r="A36" s="1" t="s">
        <v>392</v>
      </c>
      <c r="B36" s="105">
        <v>15.7</v>
      </c>
      <c r="C36" s="105">
        <v>17.5</v>
      </c>
      <c r="D36" s="105">
        <v>19.399999999999999</v>
      </c>
      <c r="E36" s="105">
        <v>24</v>
      </c>
      <c r="F36" s="105">
        <v>26.6</v>
      </c>
      <c r="G36" s="105">
        <v>29.3</v>
      </c>
      <c r="H36" s="105">
        <v>57.6</v>
      </c>
      <c r="I36" s="105">
        <v>66.599999999999994</v>
      </c>
      <c r="J36" s="105">
        <v>78.400000000000006</v>
      </c>
      <c r="K36" s="105">
        <v>85.3</v>
      </c>
      <c r="L36" s="105">
        <v>86.1</v>
      </c>
      <c r="M36" s="105">
        <v>87.3</v>
      </c>
      <c r="N36" s="105">
        <v>131.30000000000001</v>
      </c>
      <c r="O36" s="105">
        <v>72.400000000000006</v>
      </c>
      <c r="P36" s="105">
        <v>61.7</v>
      </c>
    </row>
    <row r="37" spans="1:16">
      <c r="A37" s="1" t="s">
        <v>393</v>
      </c>
      <c r="B37" s="1">
        <v>7.5</v>
      </c>
      <c r="C37" s="1">
        <v>7.9</v>
      </c>
      <c r="D37" s="1">
        <v>8.4</v>
      </c>
      <c r="E37" s="1">
        <v>10.5</v>
      </c>
      <c r="F37" s="1">
        <v>11.9</v>
      </c>
      <c r="G37" s="1">
        <v>14</v>
      </c>
      <c r="H37" s="1">
        <v>26.7</v>
      </c>
      <c r="I37" s="1">
        <v>36.5</v>
      </c>
      <c r="J37" s="1">
        <v>47.3</v>
      </c>
      <c r="K37" s="1">
        <v>50.8</v>
      </c>
      <c r="L37" s="1">
        <v>49.7</v>
      </c>
      <c r="M37" s="1">
        <v>48.9</v>
      </c>
      <c r="N37" s="1">
        <v>75.2</v>
      </c>
      <c r="O37" s="1">
        <v>33.4</v>
      </c>
      <c r="P37" s="1">
        <v>25.7</v>
      </c>
    </row>
    <row r="41" spans="1:16">
      <c r="B41" s="105"/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C0E6-C26B-4632-AA8C-293730EAAC6A}">
  <dimension ref="A1:Q31"/>
  <sheetViews>
    <sheetView showGridLines="0" workbookViewId="0">
      <selection activeCell="J36" sqref="J36"/>
    </sheetView>
  </sheetViews>
  <sheetFormatPr defaultRowHeight="12.5"/>
  <cols>
    <col min="1" max="1" width="8.6640625" style="1"/>
    <col min="2" max="2" width="23.75" style="1" bestFit="1" customWidth="1"/>
    <col min="3" max="11" width="7.58203125" style="1" bestFit="1" customWidth="1"/>
    <col min="12" max="12" width="9.5" style="1" bestFit="1" customWidth="1"/>
    <col min="13" max="16" width="7.58203125" style="1" bestFit="1" customWidth="1"/>
    <col min="17" max="17" width="8.75" style="1" bestFit="1" customWidth="1"/>
    <col min="18" max="16384" width="8.6640625" style="1"/>
  </cols>
  <sheetData>
    <row r="1" spans="1:1" ht="13">
      <c r="A1" s="256" t="s">
        <v>613</v>
      </c>
    </row>
    <row r="28" spans="2:17" ht="13">
      <c r="B28" s="73"/>
      <c r="C28" s="12" t="s">
        <v>15</v>
      </c>
      <c r="D28" s="12" t="s">
        <v>14</v>
      </c>
      <c r="E28" s="12" t="s">
        <v>13</v>
      </c>
      <c r="F28" s="12" t="s">
        <v>12</v>
      </c>
      <c r="G28" s="12" t="s">
        <v>11</v>
      </c>
      <c r="H28" s="12" t="s">
        <v>10</v>
      </c>
      <c r="I28" s="12" t="s">
        <v>9</v>
      </c>
      <c r="J28" s="12" t="s">
        <v>8</v>
      </c>
      <c r="K28" s="12" t="s">
        <v>7</v>
      </c>
      <c r="L28" s="12" t="s">
        <v>6</v>
      </c>
      <c r="M28" s="12" t="s">
        <v>5</v>
      </c>
      <c r="N28" s="12" t="s">
        <v>4</v>
      </c>
      <c r="O28" s="12" t="s">
        <v>3</v>
      </c>
      <c r="P28" s="12" t="s">
        <v>2</v>
      </c>
      <c r="Q28" s="12" t="s">
        <v>1</v>
      </c>
    </row>
    <row r="29" spans="2:17">
      <c r="B29" s="58" t="s">
        <v>401</v>
      </c>
      <c r="C29" s="257">
        <v>206.3</v>
      </c>
      <c r="D29" s="257">
        <v>189.3</v>
      </c>
      <c r="E29" s="257">
        <v>267.2</v>
      </c>
      <c r="F29" s="257">
        <v>334.2</v>
      </c>
      <c r="G29" s="258">
        <v>353.9</v>
      </c>
      <c r="H29" s="258">
        <v>354.9</v>
      </c>
      <c r="I29" s="258">
        <v>357.3</v>
      </c>
      <c r="J29" s="258">
        <v>481.2</v>
      </c>
      <c r="K29" s="259">
        <v>555.79999999999995</v>
      </c>
      <c r="L29" s="259">
        <v>554.03753699999993</v>
      </c>
      <c r="M29" s="260">
        <v>555.6</v>
      </c>
      <c r="N29" s="260">
        <v>812.6</v>
      </c>
      <c r="O29" s="257">
        <v>885.5</v>
      </c>
      <c r="P29" s="257">
        <v>769.8</v>
      </c>
      <c r="Q29" s="257">
        <v>681.8</v>
      </c>
    </row>
    <row r="30" spans="2:17">
      <c r="B30" s="58" t="s">
        <v>402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2.7</v>
      </c>
      <c r="I30" s="258">
        <v>3.5</v>
      </c>
      <c r="J30" s="258">
        <v>3.8</v>
      </c>
      <c r="K30" s="259">
        <v>2.2999999999999998</v>
      </c>
      <c r="L30" s="259">
        <v>2.8</v>
      </c>
      <c r="M30" s="259">
        <v>4</v>
      </c>
      <c r="N30" s="259">
        <v>2.2999999999999998</v>
      </c>
      <c r="O30" s="259">
        <v>2.4</v>
      </c>
      <c r="P30" s="259">
        <v>1.9</v>
      </c>
      <c r="Q30" s="259">
        <v>0.4</v>
      </c>
    </row>
    <row r="31" spans="2:17" ht="13">
      <c r="C31" s="261">
        <f>SUM(C29:C30)</f>
        <v>206.3</v>
      </c>
      <c r="D31" s="261">
        <f t="shared" ref="D31:Q31" si="0">SUM(D29:D30)</f>
        <v>189.3</v>
      </c>
      <c r="E31" s="261">
        <f t="shared" si="0"/>
        <v>267.2</v>
      </c>
      <c r="F31" s="261">
        <f t="shared" si="0"/>
        <v>334.2</v>
      </c>
      <c r="G31" s="261">
        <f t="shared" si="0"/>
        <v>353.9</v>
      </c>
      <c r="H31" s="261">
        <f t="shared" si="0"/>
        <v>357.59999999999997</v>
      </c>
      <c r="I31" s="262">
        <f t="shared" si="0"/>
        <v>360.8</v>
      </c>
      <c r="J31" s="262">
        <f t="shared" si="0"/>
        <v>485</v>
      </c>
      <c r="K31" s="262">
        <f t="shared" si="0"/>
        <v>558.09999999999991</v>
      </c>
      <c r="L31" s="262">
        <f t="shared" si="0"/>
        <v>556.83753699999988</v>
      </c>
      <c r="M31" s="262">
        <f t="shared" si="0"/>
        <v>559.6</v>
      </c>
      <c r="N31" s="262">
        <f t="shared" si="0"/>
        <v>814.9</v>
      </c>
      <c r="O31" s="262">
        <f t="shared" si="0"/>
        <v>887.9</v>
      </c>
      <c r="P31" s="262">
        <f t="shared" si="0"/>
        <v>771.69999999999993</v>
      </c>
      <c r="Q31" s="262">
        <f t="shared" si="0"/>
        <v>682.19999999999993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A1607-E90A-4E58-92A9-40F1519D5F82}">
  <dimension ref="A1"/>
  <sheetViews>
    <sheetView workbookViewId="0">
      <selection activeCell="F32" sqref="F32"/>
    </sheetView>
  </sheetViews>
  <sheetFormatPr defaultRowHeight="12.5"/>
  <cols>
    <col min="1" max="16384" width="8.6640625" style="1"/>
  </cols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U47"/>
  <sheetViews>
    <sheetView workbookViewId="0">
      <selection activeCell="M21" sqref="M21"/>
    </sheetView>
  </sheetViews>
  <sheetFormatPr defaultColWidth="9" defaultRowHeight="12.5"/>
  <cols>
    <col min="1" max="1" width="31.33203125" style="2" bestFit="1" customWidth="1"/>
    <col min="2" max="16384" width="9" style="2"/>
  </cols>
  <sheetData>
    <row r="1" spans="1:1" ht="13">
      <c r="A1" s="200" t="s">
        <v>614</v>
      </c>
    </row>
    <row r="30" spans="1:16" ht="13">
      <c r="A30" s="165" t="s">
        <v>343</v>
      </c>
    </row>
    <row r="31" spans="1:16" ht="13">
      <c r="A31" s="149"/>
      <c r="B31" s="150" t="str">
        <f>'Data for charts 09-24'!$B$16</f>
        <v>2009-10</v>
      </c>
      <c r="C31" s="150" t="str">
        <f>'Data for charts 09-24'!$B$15</f>
        <v>2010-11</v>
      </c>
      <c r="D31" s="150" t="str">
        <f>'Data for charts 09-24'!$B$14</f>
        <v>2011-12</v>
      </c>
      <c r="E31" s="150" t="str">
        <f>'Data for charts 09-24'!$B$13</f>
        <v>2012-13</v>
      </c>
      <c r="F31" s="150" t="str">
        <f>'Data for charts 09-24'!$B$12</f>
        <v>2013-14</v>
      </c>
      <c r="G31" s="150" t="str">
        <f>'Data for charts 09-24'!$B$11</f>
        <v>2014-15</v>
      </c>
      <c r="H31" s="150" t="str">
        <f>'Data for charts 09-24'!$B$10</f>
        <v>2015-16</v>
      </c>
      <c r="I31" s="150" t="str">
        <f>'Data for charts 09-24'!$B$9</f>
        <v>2016-17</v>
      </c>
      <c r="J31" s="150" t="str">
        <f>'Data for charts 09-24'!$B$8</f>
        <v>2017-18</v>
      </c>
      <c r="K31" s="150" t="str">
        <f>'Data for charts 09-24'!$B$7</f>
        <v>2018-19</v>
      </c>
      <c r="L31" s="150" t="str">
        <f>'Data for charts 09-24'!$B$6</f>
        <v>2019-20</v>
      </c>
      <c r="M31" s="150" t="str">
        <f>'Data for charts 09-24'!$B$5</f>
        <v>2020-21</v>
      </c>
      <c r="N31" s="150" t="str">
        <f>'Data for charts 09-24'!$B$4</f>
        <v>2021-22</v>
      </c>
      <c r="O31" s="150" t="str">
        <f>'Data for charts 09-24'!$B$3</f>
        <v>2022-23</v>
      </c>
      <c r="P31" s="150" t="s">
        <v>1</v>
      </c>
    </row>
    <row r="32" spans="1:16">
      <c r="A32" s="149" t="s">
        <v>541</v>
      </c>
      <c r="B32" s="152">
        <f>-'Data for charts 09-24'!B69</f>
        <v>536.29999999999995</v>
      </c>
      <c r="C32" s="152">
        <f>-'Data for charts 09-24'!C69</f>
        <v>565.20000000000005</v>
      </c>
      <c r="D32" s="152">
        <f>-'Data for charts 09-24'!D69</f>
        <v>565.5</v>
      </c>
      <c r="E32" s="152">
        <f>-'Data for charts 09-24'!E69</f>
        <v>567.1</v>
      </c>
      <c r="F32" s="152">
        <f>-'Data for charts 09-24'!F69</f>
        <v>594.79999999999995</v>
      </c>
      <c r="G32" s="152">
        <f>-'Data for charts 09-24'!G69</f>
        <v>566.70000000000005</v>
      </c>
      <c r="H32" s="152">
        <f>-'Data for charts 09-24'!H69</f>
        <v>592.6</v>
      </c>
      <c r="I32" s="152">
        <f>-'Data for charts 09-24'!I69</f>
        <v>628.1</v>
      </c>
      <c r="J32" s="152">
        <f>-'Data for charts 09-24'!J69</f>
        <v>661.6</v>
      </c>
      <c r="K32" s="152">
        <f>-'Data for charts 09-24'!K69</f>
        <v>685.7</v>
      </c>
      <c r="L32" s="152">
        <f>-'Data for charts 09-24'!L69</f>
        <v>696.7</v>
      </c>
      <c r="M32" s="152">
        <f>-'Data for charts 09-24'!M69</f>
        <v>650.70000000000005</v>
      </c>
      <c r="N32" s="152">
        <f>-'Data for charts 09-24'!N69</f>
        <v>774.7</v>
      </c>
      <c r="O32" s="152">
        <f>-'Data for charts 09-24'!O69</f>
        <v>857.7</v>
      </c>
      <c r="P32" s="152">
        <v>888.8</v>
      </c>
    </row>
    <row r="33" spans="1:21">
      <c r="A33" s="149" t="s">
        <v>49</v>
      </c>
      <c r="B33" s="152">
        <f>-'Data for charts 09-24'!B70</f>
        <v>47.1</v>
      </c>
      <c r="C33" s="152">
        <f>-'Data for charts 09-24'!C70</f>
        <v>48.8</v>
      </c>
      <c r="D33" s="152">
        <f>-'Data for charts 09-24'!D70</f>
        <v>51.1</v>
      </c>
      <c r="E33" s="152">
        <f>-'Data for charts 09-24'!E70</f>
        <v>53.6</v>
      </c>
      <c r="F33" s="152">
        <f>-'Data for charts 09-24'!F70</f>
        <v>58.1</v>
      </c>
      <c r="G33" s="152">
        <f>-'Data for charts 09-24'!G70</f>
        <v>93.2</v>
      </c>
      <c r="H33" s="152">
        <f>-'Data for charts 09-24'!H70</f>
        <v>101.3</v>
      </c>
      <c r="I33" s="152">
        <f>-'Data for charts 09-24'!I70</f>
        <v>92.7</v>
      </c>
      <c r="J33" s="152">
        <f>-'Data for charts 09-24'!J70</f>
        <v>102.893809</v>
      </c>
      <c r="K33" s="152">
        <f>-'Data for charts 09-24'!K70</f>
        <v>109.9</v>
      </c>
      <c r="L33" s="152">
        <f>-'Data for charts 09-24'!L70</f>
        <v>116.6</v>
      </c>
      <c r="M33" s="152">
        <f>-'Data for charts 09-24'!M70</f>
        <v>80.8</v>
      </c>
      <c r="N33" s="152">
        <f>-'Data for charts 09-24'!N70</f>
        <v>106.9</v>
      </c>
      <c r="O33" s="152">
        <f>-'Data for charts 09-24'!O70</f>
        <v>116.8</v>
      </c>
      <c r="P33" s="152">
        <v>131.1</v>
      </c>
    </row>
    <row r="34" spans="1:21">
      <c r="A34" s="149" t="s">
        <v>326</v>
      </c>
      <c r="B34" s="152">
        <f>-'Data for charts 09-24'!B82</f>
        <v>-667.2</v>
      </c>
      <c r="C34" s="152">
        <f>-'Data for charts 09-24'!C82</f>
        <v>-624.9</v>
      </c>
      <c r="D34" s="152">
        <f>-'Data for charts 09-24'!D82</f>
        <v>-715.1</v>
      </c>
      <c r="E34" s="152">
        <f>-'Data for charts 09-24'!E82</f>
        <v>-717.30000000000007</v>
      </c>
      <c r="F34" s="152">
        <f>-'Data for charts 09-24'!F82</f>
        <v>-718.40000000000009</v>
      </c>
      <c r="G34" s="152">
        <f>-'Data for charts 09-24'!G82</f>
        <v>-751.3</v>
      </c>
      <c r="H34" s="152">
        <f>-'Data for charts 09-24'!H82</f>
        <v>-742.2</v>
      </c>
      <c r="I34" s="152">
        <f>-'Data for charts 09-24'!I82</f>
        <v>-760.69999999999993</v>
      </c>
      <c r="J34" s="152">
        <f>-'Data for charts 09-24'!J82</f>
        <v>-808.78520900000001</v>
      </c>
      <c r="K34" s="152">
        <f>-'Data for charts 09-24'!K82</f>
        <v>-851.8</v>
      </c>
      <c r="L34" s="152">
        <f>-'Data for charts 09-24'!L82</f>
        <v>-918.69999999999993</v>
      </c>
      <c r="M34" s="152">
        <f>-'Data for charts 09-24'!M82</f>
        <v>-1062.9999999999998</v>
      </c>
      <c r="N34" s="152">
        <f>-'Data for charts 09-24'!N82</f>
        <v>-1044.4000000000001</v>
      </c>
      <c r="O34" s="152">
        <f>-'Data for charts 09-24'!O82</f>
        <v>-1133.5999999999999</v>
      </c>
      <c r="P34" s="152">
        <v>-1076.3</v>
      </c>
      <c r="Q34" s="2" t="s">
        <v>542</v>
      </c>
      <c r="U34" s="153">
        <f>AVERAGE(B34:P34)</f>
        <v>-839.57901393333327</v>
      </c>
    </row>
    <row r="35" spans="1:21">
      <c r="A35" s="149" t="s">
        <v>543</v>
      </c>
      <c r="B35" s="152">
        <f>-'Data for charts 09-24'!B85-'Data for charts 09-24'!B86</f>
        <v>-78.899999999999991</v>
      </c>
      <c r="C35" s="152">
        <f>-'Data for charts 09-24'!C85-'Data for charts 09-24'!C86</f>
        <v>-83.5</v>
      </c>
      <c r="D35" s="152">
        <f>-'Data for charts 09-24'!D85-'Data for charts 09-24'!D86</f>
        <v>-86.8</v>
      </c>
      <c r="E35" s="152">
        <f>-'Data for charts 09-24'!E85-'Data for charts 09-24'!E86</f>
        <v>-82.100000000000009</v>
      </c>
      <c r="F35" s="152">
        <f>-'Data for charts 09-24'!F85-'Data for charts 09-24'!F86</f>
        <v>-80.2</v>
      </c>
      <c r="G35" s="152">
        <f>-'Data for charts 09-24'!G85-'Data for charts 09-24'!G86</f>
        <v>-60.599999999999994</v>
      </c>
      <c r="H35" s="152">
        <f>-'Data for charts 09-24'!H85-'Data for charts 09-24'!H86</f>
        <v>-195.5</v>
      </c>
      <c r="I35" s="152">
        <f>-'Data for charts 09-24'!I85-'Data for charts 09-24'!I86</f>
        <v>-57.9</v>
      </c>
      <c r="J35" s="152">
        <f>-'Data for charts 09-24'!J85-'Data for charts 09-24'!J86</f>
        <v>-158.5</v>
      </c>
      <c r="K35" s="152">
        <f>-'Data for charts 09-24'!K85-'Data for charts 09-24'!K86</f>
        <v>57.7</v>
      </c>
      <c r="L35" s="152">
        <f>-'Data for charts 09-24'!L85-'Data for charts 09-24'!L86</f>
        <v>-86.4</v>
      </c>
      <c r="M35" s="152">
        <f>-'Data for charts 09-24'!M85-'Data for charts 09-24'!M86</f>
        <v>-72.900000000000006</v>
      </c>
      <c r="N35" s="152">
        <f>-'Data for charts 09-24'!N85-'Data for charts 09-24'!N86</f>
        <v>-196.79999999999998</v>
      </c>
      <c r="O35" s="152">
        <f>-'Data for charts 09-24'!O85-'Data for charts 09-24'!O86</f>
        <v>173.70000000000002</v>
      </c>
      <c r="P35" s="152">
        <f>-82.9-7.3</f>
        <v>-90.2</v>
      </c>
    </row>
    <row r="36" spans="1:21">
      <c r="A36" s="149" t="s">
        <v>61</v>
      </c>
      <c r="B36" s="152">
        <f t="shared" ref="B36:E36" si="0">SUM(B32:B34)</f>
        <v>-83.800000000000068</v>
      </c>
      <c r="C36" s="152">
        <f t="shared" si="0"/>
        <v>-10.899999999999977</v>
      </c>
      <c r="D36" s="152">
        <f t="shared" si="0"/>
        <v>-98.5</v>
      </c>
      <c r="E36" s="152">
        <f t="shared" si="0"/>
        <v>-96.600000000000023</v>
      </c>
      <c r="F36" s="152">
        <f>SUM(F32:F34)</f>
        <v>-65.500000000000114</v>
      </c>
      <c r="G36" s="152">
        <f t="shared" ref="G36" si="1">SUM(G32:G34)</f>
        <v>-91.399999999999864</v>
      </c>
      <c r="H36" s="152">
        <f t="shared" ref="H36" si="2">SUM(H32:H34)</f>
        <v>-48.300000000000068</v>
      </c>
      <c r="I36" s="152">
        <f>SUM(I32:I34)</f>
        <v>-39.899999999999864</v>
      </c>
      <c r="J36" s="152">
        <f>SUM(J32:J34)</f>
        <v>-44.291399999999953</v>
      </c>
      <c r="K36" s="152">
        <f t="shared" ref="K36:O36" si="3">SUM(K32:K34)</f>
        <v>-56.199999999999932</v>
      </c>
      <c r="L36" s="152">
        <f t="shared" si="3"/>
        <v>-105.39999999999986</v>
      </c>
      <c r="M36" s="152">
        <f t="shared" si="3"/>
        <v>-331.49999999999977</v>
      </c>
      <c r="N36" s="152">
        <f t="shared" si="3"/>
        <v>-162.80000000000007</v>
      </c>
      <c r="O36" s="152">
        <f t="shared" si="3"/>
        <v>-159.09999999999991</v>
      </c>
      <c r="P36" s="152">
        <v>-56.4</v>
      </c>
      <c r="Q36" s="153">
        <f>AVERAGE(B36:P36)</f>
        <v>-96.706093333333314</v>
      </c>
    </row>
    <row r="37" spans="1:21">
      <c r="A37" s="149" t="s">
        <v>544</v>
      </c>
      <c r="B37" s="152">
        <f t="shared" ref="B37:O37" si="4">SUM(B32:B35)</f>
        <v>-162.70000000000005</v>
      </c>
      <c r="C37" s="152">
        <f t="shared" si="4"/>
        <v>-94.399999999999977</v>
      </c>
      <c r="D37" s="152">
        <f t="shared" si="4"/>
        <v>-185.3</v>
      </c>
      <c r="E37" s="152">
        <f t="shared" si="4"/>
        <v>-178.70000000000005</v>
      </c>
      <c r="F37" s="152">
        <f>SUM(F32:F35)</f>
        <v>-145.7000000000001</v>
      </c>
      <c r="G37" s="152">
        <f t="shared" si="4"/>
        <v>-151.99999999999986</v>
      </c>
      <c r="H37" s="152">
        <f t="shared" si="4"/>
        <v>-243.80000000000007</v>
      </c>
      <c r="I37" s="152">
        <f t="shared" si="4"/>
        <v>-97.799999999999869</v>
      </c>
      <c r="J37" s="152">
        <f t="shared" si="4"/>
        <v>-202.79139999999995</v>
      </c>
      <c r="K37" s="152">
        <f t="shared" si="4"/>
        <v>1.5000000000000711</v>
      </c>
      <c r="L37" s="152">
        <f t="shared" si="4"/>
        <v>-191.79999999999987</v>
      </c>
      <c r="M37" s="152">
        <f t="shared" si="4"/>
        <v>-404.39999999999975</v>
      </c>
      <c r="N37" s="152">
        <f t="shared" si="4"/>
        <v>-359.6</v>
      </c>
      <c r="O37" s="152">
        <f t="shared" si="4"/>
        <v>14.600000000000108</v>
      </c>
      <c r="P37" s="152">
        <v>-146.6</v>
      </c>
    </row>
    <row r="38" spans="1:21">
      <c r="B38" s="153"/>
      <c r="C38" s="153"/>
      <c r="D38" s="153"/>
      <c r="E38" s="153"/>
      <c r="F38" s="153"/>
    </row>
    <row r="39" spans="1:21" ht="13">
      <c r="A39" s="169" t="s">
        <v>339</v>
      </c>
      <c r="B39" s="170">
        <f>F37+'Data for charts 09-24'!F87</f>
        <v>0</v>
      </c>
      <c r="C39" s="170">
        <f>G37+'Data for charts 09-24'!G87</f>
        <v>0</v>
      </c>
      <c r="D39" s="170">
        <f>H37+'Data for charts 09-24'!H87</f>
        <v>0</v>
      </c>
      <c r="E39" s="170">
        <f>I37+'Data for charts 09-24'!I87</f>
        <v>0</v>
      </c>
      <c r="F39" s="170">
        <f>J37+'Data for charts 09-24'!J87</f>
        <v>0</v>
      </c>
      <c r="G39" s="170">
        <f>K37+'Data for charts 09-24'!K87</f>
        <v>0</v>
      </c>
      <c r="P39" s="163">
        <f>P37-B37</f>
        <v>16.100000000000051</v>
      </c>
    </row>
    <row r="41" spans="1:21">
      <c r="P41" s="2">
        <v>2564.3780000000002</v>
      </c>
    </row>
    <row r="47" spans="1:21">
      <c r="E47" s="152">
        <f>-'Data for charts 09-24'!G85-'Data for charts 09-24'!G86</f>
        <v>-60.599999999999994</v>
      </c>
      <c r="F47" s="152">
        <f>-'Data for charts 09-24'!F85-'Data for charts 09-24'!F86</f>
        <v>-80.2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/>
  <dimension ref="A1:S38"/>
  <sheetViews>
    <sheetView workbookViewId="0">
      <selection activeCell="N18" sqref="N18"/>
    </sheetView>
  </sheetViews>
  <sheetFormatPr defaultColWidth="9" defaultRowHeight="12.5"/>
  <cols>
    <col min="1" max="1" width="9" style="2" customWidth="1"/>
    <col min="2" max="16384" width="9" style="2"/>
  </cols>
  <sheetData>
    <row r="1" spans="1:1" ht="13">
      <c r="A1" s="244" t="s">
        <v>615</v>
      </c>
    </row>
    <row r="26" spans="1:19" ht="13">
      <c r="A26" s="148" t="s">
        <v>343</v>
      </c>
    </row>
    <row r="27" spans="1:19" ht="13">
      <c r="A27" s="162"/>
      <c r="B27" s="150" t="str">
        <f>'Data for charts 09-24'!$B$16</f>
        <v>2009-10</v>
      </c>
      <c r="C27" s="150" t="str">
        <f>'Data for charts 09-24'!$B$15</f>
        <v>2010-11</v>
      </c>
      <c r="D27" s="150" t="str">
        <f>'Data for charts 09-24'!$B$14</f>
        <v>2011-12</v>
      </c>
      <c r="E27" s="150" t="str">
        <f>'Data for charts 09-24'!$B$13</f>
        <v>2012-13</v>
      </c>
      <c r="F27" s="150" t="str">
        <f>'Data for charts 09-24'!$B$12</f>
        <v>2013-14</v>
      </c>
      <c r="G27" s="150" t="str">
        <f>'Data for charts 09-24'!$B$11</f>
        <v>2014-15</v>
      </c>
      <c r="H27" s="150" t="str">
        <f>'Data for charts 09-24'!$B$10</f>
        <v>2015-16</v>
      </c>
      <c r="I27" s="150" t="str">
        <f>'Data for charts 09-24'!$B$9</f>
        <v>2016-17</v>
      </c>
      <c r="J27" s="150" t="str">
        <f>'Data for charts 09-24'!$B$8</f>
        <v>2017-18</v>
      </c>
      <c r="K27" s="150" t="str">
        <f>'Data for charts 09-24'!$B$7</f>
        <v>2018-19</v>
      </c>
      <c r="L27" s="150" t="str">
        <f>'Data for charts 09-24'!$B$6</f>
        <v>2019-20</v>
      </c>
      <c r="M27" s="150" t="str">
        <f>'Data for charts 09-24'!$B$5</f>
        <v>2020-21</v>
      </c>
      <c r="N27" s="150" t="str">
        <f>'Data for charts 09-24'!$B$4</f>
        <v>2021-22</v>
      </c>
      <c r="O27" s="150" t="str">
        <f>'Data for charts 09-24'!$B$3</f>
        <v>2022-23</v>
      </c>
      <c r="P27" s="150" t="s">
        <v>1</v>
      </c>
    </row>
    <row r="28" spans="1:19" ht="25">
      <c r="A28" s="162" t="s">
        <v>320</v>
      </c>
      <c r="B28" s="13">
        <f>-'Data for charts 09-24'!B69</f>
        <v>536.29999999999995</v>
      </c>
      <c r="C28" s="13">
        <f>-'Data for charts 09-24'!C69</f>
        <v>565.20000000000005</v>
      </c>
      <c r="D28" s="13">
        <f>-'Data for charts 09-24'!D69</f>
        <v>565.5</v>
      </c>
      <c r="E28" s="13">
        <f>-'Data for charts 09-24'!E69</f>
        <v>567.1</v>
      </c>
      <c r="F28" s="13">
        <f>-'Data for charts 09-24'!F69</f>
        <v>594.79999999999995</v>
      </c>
      <c r="G28" s="14">
        <f>-'Data for charts 09-24'!G69</f>
        <v>566.70000000000005</v>
      </c>
      <c r="H28" s="14">
        <f>-'Data for charts 09-24'!H69</f>
        <v>592.6</v>
      </c>
      <c r="I28" s="14">
        <f>-'Data for charts 09-24'!I69</f>
        <v>628.1</v>
      </c>
      <c r="J28" s="14">
        <f>-'Data for charts 09-24'!J69</f>
        <v>661.6</v>
      </c>
      <c r="K28" s="14">
        <f>-'Data for charts 09-24'!K69</f>
        <v>685.7</v>
      </c>
      <c r="L28" s="14">
        <f>-'Data for charts 09-24'!L69</f>
        <v>696.7</v>
      </c>
      <c r="M28" s="14">
        <f>-'Data for charts 09-24'!M69</f>
        <v>650.70000000000005</v>
      </c>
      <c r="N28" s="14">
        <f>-'Data for charts 09-24'!N69</f>
        <v>774.7</v>
      </c>
      <c r="O28" s="14">
        <f>-'Data for charts 09-24'!O69</f>
        <v>857.7</v>
      </c>
      <c r="P28" s="14">
        <v>888.8</v>
      </c>
      <c r="Q28" s="2" t="s">
        <v>545</v>
      </c>
      <c r="R28" s="192"/>
      <c r="S28" s="153">
        <f>J28-F28</f>
        <v>66.800000000000068</v>
      </c>
    </row>
    <row r="29" spans="1:19" ht="25">
      <c r="A29" s="162" t="s">
        <v>49</v>
      </c>
      <c r="B29" s="13">
        <f>-'Data for charts 09-24'!B70</f>
        <v>47.1</v>
      </c>
      <c r="C29" s="13">
        <f>-'Data for charts 09-24'!C70</f>
        <v>48.8</v>
      </c>
      <c r="D29" s="13">
        <f>-'Data for charts 09-24'!D70</f>
        <v>51.1</v>
      </c>
      <c r="E29" s="13">
        <f>-'Data for charts 09-24'!E70</f>
        <v>53.6</v>
      </c>
      <c r="F29" s="14">
        <f>-'Data for charts 09-24'!F70</f>
        <v>58.1</v>
      </c>
      <c r="G29" s="14">
        <f>-'Data for charts 09-24'!G70</f>
        <v>93.2</v>
      </c>
      <c r="H29" s="14">
        <f>-'Data for charts 09-24'!H70</f>
        <v>101.3</v>
      </c>
      <c r="I29" s="14">
        <f>-'Data for charts 09-24'!I70</f>
        <v>92.7</v>
      </c>
      <c r="J29" s="14">
        <f>-'Data for charts 09-24'!J70</f>
        <v>102.893809</v>
      </c>
      <c r="K29" s="14">
        <f>-'Data for charts 09-24'!K70</f>
        <v>109.9</v>
      </c>
      <c r="L29" s="14">
        <f>-'Data for charts 09-24'!L70</f>
        <v>116.6</v>
      </c>
      <c r="M29" s="14">
        <f>-'Data for charts 09-24'!M70</f>
        <v>80.8</v>
      </c>
      <c r="N29" s="14">
        <f>-'Data for charts 09-24'!N70</f>
        <v>106.9</v>
      </c>
      <c r="O29" s="14">
        <f>-'Data for charts 09-24'!O70</f>
        <v>116.8</v>
      </c>
      <c r="P29" s="14">
        <v>131.1</v>
      </c>
    </row>
    <row r="30" spans="1:19" ht="25">
      <c r="A30" s="162" t="s">
        <v>546</v>
      </c>
      <c r="B30" s="14">
        <f t="shared" ref="B30:I30" si="0">SUM(B28:B29)</f>
        <v>583.4</v>
      </c>
      <c r="C30" s="14">
        <f t="shared" si="0"/>
        <v>614</v>
      </c>
      <c r="D30" s="14">
        <f t="shared" si="0"/>
        <v>616.6</v>
      </c>
      <c r="E30" s="14">
        <f t="shared" si="0"/>
        <v>620.70000000000005</v>
      </c>
      <c r="F30" s="14">
        <f t="shared" si="0"/>
        <v>652.9</v>
      </c>
      <c r="G30" s="14">
        <f t="shared" si="0"/>
        <v>659.90000000000009</v>
      </c>
      <c r="H30" s="14">
        <f t="shared" si="0"/>
        <v>693.9</v>
      </c>
      <c r="I30" s="14">
        <f t="shared" si="0"/>
        <v>720.80000000000007</v>
      </c>
      <c r="J30" s="14">
        <f t="shared" ref="J30:O30" si="1">SUM(J28:J29)</f>
        <v>764.49380900000006</v>
      </c>
      <c r="K30" s="14">
        <f t="shared" si="1"/>
        <v>795.6</v>
      </c>
      <c r="L30" s="14">
        <f t="shared" si="1"/>
        <v>813.30000000000007</v>
      </c>
      <c r="M30" s="14">
        <f t="shared" si="1"/>
        <v>731.5</v>
      </c>
      <c r="N30" s="14">
        <f t="shared" si="1"/>
        <v>881.6</v>
      </c>
      <c r="O30" s="14">
        <f t="shared" si="1"/>
        <v>974.5</v>
      </c>
      <c r="P30" s="14">
        <f>SUM(P28:P29)</f>
        <v>1019.9</v>
      </c>
    </row>
    <row r="31" spans="1:19">
      <c r="B31" s="168"/>
      <c r="C31" s="168"/>
      <c r="D31" s="168"/>
      <c r="E31" s="168"/>
      <c r="F31" s="168"/>
      <c r="G31" s="168"/>
    </row>
    <row r="33" spans="1:3" ht="13">
      <c r="B33" s="150" t="s">
        <v>7</v>
      </c>
      <c r="C33" s="150" t="s">
        <v>6</v>
      </c>
    </row>
    <row r="34" spans="1:3" ht="25">
      <c r="A34" s="162" t="s">
        <v>320</v>
      </c>
      <c r="B34" s="14">
        <v>661.5</v>
      </c>
      <c r="C34" s="14">
        <v>685.740365</v>
      </c>
    </row>
    <row r="35" spans="1:3" ht="25">
      <c r="A35" s="162" t="s">
        <v>49</v>
      </c>
      <c r="B35" s="14">
        <v>99.3</v>
      </c>
      <c r="C35" s="14">
        <v>109.934755</v>
      </c>
    </row>
    <row r="36" spans="1:3">
      <c r="A36" s="162"/>
      <c r="B36" s="14">
        <f>SUM(B34:B35)</f>
        <v>760.8</v>
      </c>
      <c r="C36" s="14">
        <f>SUM(C34:C35)</f>
        <v>795.67511999999999</v>
      </c>
    </row>
    <row r="38" spans="1:3">
      <c r="B38" s="151">
        <f>B35/B36</f>
        <v>0.13052050473186119</v>
      </c>
      <c r="C38" s="151">
        <f>C35/C36</f>
        <v>0.13816537960870259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"/>
  <dimension ref="A1:T39"/>
  <sheetViews>
    <sheetView workbookViewId="0">
      <selection activeCell="N20" sqref="N20"/>
    </sheetView>
  </sheetViews>
  <sheetFormatPr defaultColWidth="9" defaultRowHeight="12.5"/>
  <cols>
    <col min="1" max="1" width="15.58203125" style="2" customWidth="1"/>
    <col min="2" max="16384" width="9" style="2"/>
  </cols>
  <sheetData>
    <row r="1" spans="1:1" ht="13">
      <c r="A1" s="147" t="s">
        <v>616</v>
      </c>
    </row>
    <row r="26" spans="1:20" ht="13">
      <c r="A26" s="148" t="s">
        <v>343</v>
      </c>
    </row>
    <row r="27" spans="1:20" ht="13">
      <c r="A27" s="164"/>
      <c r="B27" s="150" t="str">
        <f>'Data for charts 09-24'!$B$16</f>
        <v>2009-10</v>
      </c>
      <c r="C27" s="150" t="str">
        <f>'Data for charts 09-24'!$B$15</f>
        <v>2010-11</v>
      </c>
      <c r="D27" s="150" t="str">
        <f>'Data for charts 09-24'!$B$14</f>
        <v>2011-12</v>
      </c>
      <c r="E27" s="150" t="str">
        <f>'Data for charts 09-24'!$B$13</f>
        <v>2012-13</v>
      </c>
      <c r="F27" s="150" t="str">
        <f>'Data for charts 09-24'!$B$12</f>
        <v>2013-14</v>
      </c>
      <c r="G27" s="150" t="str">
        <f>'Data for charts 09-24'!$B$11</f>
        <v>2014-15</v>
      </c>
      <c r="H27" s="150" t="str">
        <f>'Data for charts 09-24'!$B$10</f>
        <v>2015-16</v>
      </c>
      <c r="I27" s="150" t="str">
        <f>'Data for charts 09-24'!$B$9</f>
        <v>2016-17</v>
      </c>
      <c r="J27" s="150" t="str">
        <f>'Data for charts 09-24'!$B$8</f>
        <v>2017-18</v>
      </c>
      <c r="K27" s="150" t="str">
        <f>'Data for charts 09-24'!$B$7</f>
        <v>2018-19</v>
      </c>
      <c r="L27" s="150" t="str">
        <f>'Data for charts 09-24'!$B$6</f>
        <v>2019-20</v>
      </c>
      <c r="M27" s="150" t="str">
        <f>'Data for charts 09-24'!$B$5</f>
        <v>2020-21</v>
      </c>
      <c r="N27" s="150" t="str">
        <f>'Data for charts 09-24'!$B$4</f>
        <v>2021-22</v>
      </c>
      <c r="O27" s="150" t="str">
        <f>'Data for charts 09-24'!$B$3</f>
        <v>2022-23</v>
      </c>
      <c r="P27" s="150" t="s">
        <v>1</v>
      </c>
      <c r="Q27" s="165" t="s">
        <v>547</v>
      </c>
    </row>
    <row r="28" spans="1:20">
      <c r="A28" s="13" t="s">
        <v>548</v>
      </c>
      <c r="B28" s="13">
        <f>'Data for charts 09-24'!B115</f>
        <v>152.6</v>
      </c>
      <c r="C28" s="13">
        <f>'Data for charts 09-24'!C115</f>
        <v>158.1</v>
      </c>
      <c r="D28" s="13">
        <f>'Data for charts 09-24'!D115</f>
        <v>151.80000000000001</v>
      </c>
      <c r="E28" s="14">
        <f>'Data for charts 09-24'!E115</f>
        <v>150.9</v>
      </c>
      <c r="F28" s="14">
        <f>'Data for charts 09-24'!F115</f>
        <v>162.1</v>
      </c>
      <c r="G28" s="14">
        <f>'Data for charts 09-24'!G115</f>
        <v>163.1</v>
      </c>
      <c r="H28" s="14">
        <f>'Data for charts 09-24'!H115</f>
        <v>169.5</v>
      </c>
      <c r="I28" s="14">
        <f>'Data for charts 09-24'!I115</f>
        <v>173.8</v>
      </c>
      <c r="J28" s="14">
        <f>'Data for charts 09-24'!J115</f>
        <v>186</v>
      </c>
      <c r="K28" s="14">
        <f>'Data for charts 09-24'!K115</f>
        <v>194</v>
      </c>
      <c r="L28" s="14">
        <f>'Data for charts 09-24'!L115</f>
        <v>194.2</v>
      </c>
      <c r="M28" s="14">
        <f>'Data for charts 09-24'!M115</f>
        <v>191.9</v>
      </c>
      <c r="N28" s="14">
        <f>'Data for charts 09-24'!N115</f>
        <v>233.4</v>
      </c>
      <c r="O28" s="14">
        <f>'Data for charts 09-24'!O115</f>
        <v>258</v>
      </c>
      <c r="P28" s="14">
        <v>286.2</v>
      </c>
      <c r="Q28" s="156">
        <f t="shared" ref="Q28:Q35" si="0">J28/$J$35</f>
        <v>0.28113663845223696</v>
      </c>
      <c r="R28" s="158">
        <f t="shared" ref="R28:R35" si="1">J28-I28</f>
        <v>12.199999999999989</v>
      </c>
      <c r="S28" s="166">
        <f t="shared" ref="S28:S35" si="2">R28/I28</f>
        <v>7.0195627157652402E-2</v>
      </c>
      <c r="T28" s="151"/>
    </row>
    <row r="29" spans="1:20" ht="25">
      <c r="A29" s="13" t="s">
        <v>549</v>
      </c>
      <c r="B29" s="13">
        <f>'Data for charts 09-24'!B116</f>
        <v>90.4</v>
      </c>
      <c r="C29" s="13">
        <f>'Data for charts 09-24'!C116</f>
        <v>85.5</v>
      </c>
      <c r="D29" s="13">
        <f>'Data for charts 09-24'!D116</f>
        <v>90.9</v>
      </c>
      <c r="E29" s="14">
        <f>'Data for charts 09-24'!E116</f>
        <v>90.7</v>
      </c>
      <c r="F29" s="14">
        <f>'Data for charts 09-24'!F116</f>
        <v>97.3</v>
      </c>
      <c r="G29" s="14">
        <f>'Data for charts 09-24'!G116</f>
        <v>97.2</v>
      </c>
      <c r="H29" s="14">
        <f>'Data for charts 09-24'!H116</f>
        <v>102.1</v>
      </c>
      <c r="I29" s="14">
        <f>'Data for charts 09-24'!I116</f>
        <v>108.6</v>
      </c>
      <c r="J29" s="14">
        <f>'Data for charts 09-24'!J116</f>
        <v>118.4</v>
      </c>
      <c r="K29" s="14">
        <f>'Data for charts 09-24'!K116</f>
        <v>120.4</v>
      </c>
      <c r="L29" s="14">
        <f>'Data for charts 09-24'!L116</f>
        <v>126.6</v>
      </c>
      <c r="M29" s="14">
        <f>'Data for charts 09-24'!M116</f>
        <v>125.8</v>
      </c>
      <c r="N29" s="14">
        <f>'Data for charts 09-24'!N116</f>
        <v>142.1</v>
      </c>
      <c r="O29" s="14">
        <f>'Data for charts 09-24'!O116</f>
        <v>158.30000000000001</v>
      </c>
      <c r="P29" s="14">
        <v>157.6</v>
      </c>
      <c r="Q29" s="156">
        <f t="shared" si="0"/>
        <v>0.17896009673518742</v>
      </c>
      <c r="R29" s="158">
        <f t="shared" si="1"/>
        <v>9.8000000000000114</v>
      </c>
      <c r="S29" s="166">
        <f t="shared" si="2"/>
        <v>9.0239410681399734E-2</v>
      </c>
      <c r="T29" s="156"/>
    </row>
    <row r="30" spans="1:20">
      <c r="A30" s="13" t="s">
        <v>550</v>
      </c>
      <c r="B30" s="13">
        <f>'Data for charts 09-24'!B117</f>
        <v>76.099999999999994</v>
      </c>
      <c r="C30" s="13">
        <f>'Data for charts 09-24'!C117</f>
        <v>88.2</v>
      </c>
      <c r="D30" s="13">
        <f>'Data for charts 09-24'!D117</f>
        <v>97.7</v>
      </c>
      <c r="E30" s="14">
        <f>'Data for charts 09-24'!E117</f>
        <v>99.1</v>
      </c>
      <c r="F30" s="14">
        <f>'Data for charts 09-24'!F117</f>
        <v>108.2</v>
      </c>
      <c r="G30" s="14">
        <f>'Data for charts 09-24'!G117</f>
        <v>113.9</v>
      </c>
      <c r="H30" s="14">
        <f>'Data for charts 09-24'!H117</f>
        <v>116.1</v>
      </c>
      <c r="I30" s="14">
        <f>'Data for charts 09-24'!I117</f>
        <v>124.4</v>
      </c>
      <c r="J30" s="14">
        <f>'Data for charts 09-24'!J117</f>
        <v>128.6</v>
      </c>
      <c r="K30" s="14">
        <f>'Data for charts 09-24'!K117</f>
        <v>135.6</v>
      </c>
      <c r="L30" s="14">
        <f>'Data for charts 09-24'!L117</f>
        <v>137.19999999999999</v>
      </c>
      <c r="M30" s="14">
        <f>'Data for charts 09-24'!M117</f>
        <v>122.1</v>
      </c>
      <c r="N30" s="14">
        <f>'Data for charts 09-24'!N117</f>
        <v>148.69999999999999</v>
      </c>
      <c r="O30" s="14">
        <f>'Data for charts 09-24'!O117</f>
        <v>166.8</v>
      </c>
      <c r="P30" s="14">
        <v>165.5</v>
      </c>
      <c r="Q30" s="156">
        <f t="shared" si="0"/>
        <v>0.19437726723095525</v>
      </c>
      <c r="R30" s="158">
        <f t="shared" si="1"/>
        <v>4.1999999999999886</v>
      </c>
      <c r="S30" s="166">
        <f t="shared" si="2"/>
        <v>3.376205787781341E-2</v>
      </c>
      <c r="T30" s="156"/>
    </row>
    <row r="31" spans="1:20">
      <c r="A31" s="13" t="s">
        <v>551</v>
      </c>
      <c r="B31" s="13">
        <f>'Data for charts 09-24'!B118</f>
        <v>37.799999999999997</v>
      </c>
      <c r="C31" s="13">
        <f>'Data for charts 09-24'!C118</f>
        <v>45.7</v>
      </c>
      <c r="D31" s="13">
        <f>'Data for charts 09-24'!D118</f>
        <v>40</v>
      </c>
      <c r="E31" s="14">
        <f>'Data for charts 09-24'!E118</f>
        <v>38.9</v>
      </c>
      <c r="F31" s="14">
        <f>'Data for charts 09-24'!F118</f>
        <v>39.6</v>
      </c>
      <c r="G31" s="14">
        <f>'Data for charts 09-24'!G118</f>
        <v>40.299999999999997</v>
      </c>
      <c r="H31" s="14">
        <f>'Data for charts 09-24'!H118</f>
        <v>45.2</v>
      </c>
      <c r="I31" s="14">
        <f>'Data for charts 09-24'!I118</f>
        <v>52.4</v>
      </c>
      <c r="J31" s="14">
        <f>'Data for charts 09-24'!J118</f>
        <v>55.1</v>
      </c>
      <c r="K31" s="14">
        <f>'Data for charts 09-24'!K118</f>
        <v>53.1</v>
      </c>
      <c r="L31" s="14">
        <f>'Data for charts 09-24'!L118</f>
        <v>52.4</v>
      </c>
      <c r="M31" s="14">
        <f>'Data for charts 09-24'!M118</f>
        <v>53.7</v>
      </c>
      <c r="N31" s="14">
        <f>'Data for charts 09-24'!N118</f>
        <v>68.3</v>
      </c>
      <c r="O31" s="14">
        <f>'Data for charts 09-24'!O118</f>
        <v>80.400000000000006</v>
      </c>
      <c r="P31" s="14">
        <v>89.6</v>
      </c>
      <c r="Q31" s="156">
        <f t="shared" si="0"/>
        <v>8.3282950423216442E-2</v>
      </c>
      <c r="R31" s="158">
        <f t="shared" si="1"/>
        <v>2.7000000000000028</v>
      </c>
      <c r="S31" s="166">
        <f t="shared" si="2"/>
        <v>5.1526717557251966E-2</v>
      </c>
      <c r="T31" s="156"/>
    </row>
    <row r="32" spans="1:20" ht="25">
      <c r="A32" s="13" t="s">
        <v>552</v>
      </c>
      <c r="B32" s="13">
        <f>'Data for charts 09-24'!B119</f>
        <v>26.3</v>
      </c>
      <c r="C32" s="13">
        <f>'Data for charts 09-24'!C119</f>
        <v>27.2</v>
      </c>
      <c r="D32" s="13">
        <f>'Data for charts 09-24'!D119</f>
        <v>26.9</v>
      </c>
      <c r="E32" s="14">
        <f>'Data for charts 09-24'!E119</f>
        <v>26.5</v>
      </c>
      <c r="F32" s="14">
        <f>'Data for charts 09-24'!F119</f>
        <v>26.9</v>
      </c>
      <c r="G32" s="14">
        <f>'Data for charts 09-24'!G119</f>
        <v>27.2</v>
      </c>
      <c r="H32" s="14">
        <f>'Data for charts 09-24'!H119</f>
        <v>27.7</v>
      </c>
      <c r="I32" s="14">
        <f>'Data for charts 09-24'!I119</f>
        <v>28</v>
      </c>
      <c r="J32" s="14">
        <f>'Data for charts 09-24'!J119</f>
        <v>27.9</v>
      </c>
      <c r="K32" s="14">
        <f>'Data for charts 09-24'!K119</f>
        <v>28</v>
      </c>
      <c r="L32" s="14">
        <f>'Data for charts 09-24'!L119</f>
        <v>27.3</v>
      </c>
      <c r="M32" s="14">
        <f>'Data for charts 09-24'!M119</f>
        <v>21.3</v>
      </c>
      <c r="N32" s="14">
        <f>'Data for charts 09-24'!N119</f>
        <v>25.8</v>
      </c>
      <c r="O32" s="14">
        <f>'Data for charts 09-24'!O119</f>
        <v>25</v>
      </c>
      <c r="P32" s="14">
        <v>24.9</v>
      </c>
      <c r="Q32" s="156">
        <f t="shared" si="0"/>
        <v>4.2170495767835547E-2</v>
      </c>
      <c r="R32" s="158">
        <f t="shared" si="1"/>
        <v>-0.10000000000000142</v>
      </c>
      <c r="S32" s="166">
        <f t="shared" si="2"/>
        <v>-3.5714285714286221E-3</v>
      </c>
      <c r="T32" s="156"/>
    </row>
    <row r="33" spans="1:20" ht="25">
      <c r="A33" s="13" t="s">
        <v>553</v>
      </c>
      <c r="B33" s="13">
        <f>'Data for charts 09-24'!B128</f>
        <v>52.099999999999994</v>
      </c>
      <c r="C33" s="13">
        <f>'Data for charts 09-24'!C128</f>
        <v>52.8</v>
      </c>
      <c r="D33" s="13">
        <f>'Data for charts 09-24'!D128</f>
        <v>54.8</v>
      </c>
      <c r="E33" s="14">
        <f>'Data for charts 09-24'!E128</f>
        <v>55.9</v>
      </c>
      <c r="F33" s="14">
        <f>'Data for charts 09-24'!F128</f>
        <v>52.8</v>
      </c>
      <c r="G33" s="14">
        <f>'Data for charts 09-24'!G128</f>
        <v>53.9</v>
      </c>
      <c r="H33" s="14">
        <f>'Data for charts 09-24'!H128</f>
        <v>56.900000000000006</v>
      </c>
      <c r="I33" s="14">
        <f>'Data for charts 09-24'!I128</f>
        <v>59</v>
      </c>
      <c r="J33" s="14">
        <f>'Data for charts 09-24'!J128</f>
        <v>62.2</v>
      </c>
      <c r="K33" s="14">
        <f>'Data for charts 09-24'!K128</f>
        <v>66.81311500000001</v>
      </c>
      <c r="L33" s="14">
        <f>'Data for charts 09-24'!L128</f>
        <v>68.900000000000006</v>
      </c>
      <c r="M33" s="14">
        <f>'Data for charts 09-24'!M128</f>
        <v>49.8</v>
      </c>
      <c r="N33" s="14">
        <f>'Data for charts 09-24'!N128</f>
        <v>51.5</v>
      </c>
      <c r="O33" s="14">
        <f>'Data for charts 09-24'!O128</f>
        <v>52.2</v>
      </c>
      <c r="P33" s="14">
        <v>54.8</v>
      </c>
      <c r="Q33" s="156">
        <f t="shared" si="0"/>
        <v>9.4014510278113667E-2</v>
      </c>
      <c r="R33" s="158">
        <f t="shared" si="1"/>
        <v>3.2000000000000028</v>
      </c>
      <c r="S33" s="166">
        <f t="shared" si="2"/>
        <v>5.4237288135593267E-2</v>
      </c>
      <c r="T33" s="156"/>
    </row>
    <row r="34" spans="1:20">
      <c r="A34" s="13" t="s">
        <v>554</v>
      </c>
      <c r="B34" s="14">
        <f>'Data for charts 09-24'!B123+'Data for charts 09-24'!B122+'Data for charts 09-24'!B121+'Data for charts 09-24'!B120</f>
        <v>50</v>
      </c>
      <c r="C34" s="14">
        <f>'Data for charts 09-24'!C123+'Data for charts 09-24'!C122+'Data for charts 09-24'!C121+'Data for charts 09-24'!C120</f>
        <v>57.900000000000006</v>
      </c>
      <c r="D34" s="14">
        <f>'Data for charts 09-24'!D123+'Data for charts 09-24'!D122+'Data for charts 09-24'!D121+'Data for charts 09-24'!D120</f>
        <v>61.5</v>
      </c>
      <c r="E34" s="14">
        <f>'Data for charts 09-24'!E120+'Data for charts 09-24'!E121+'Data for charts 09-24'!E122+'Data for charts 09-24'!E123</f>
        <v>62.4</v>
      </c>
      <c r="F34" s="14">
        <f>'Data for charts 09-24'!F120+'Data for charts 09-24'!F121+'Data for charts 09-24'!F122+'Data for charts 09-24'!F123</f>
        <v>68.900000000000006</v>
      </c>
      <c r="G34" s="14">
        <f>'Data for charts 09-24'!G120+'Data for charts 09-24'!G121+'Data for charts 09-24'!G122+'Data for charts 09-24'!G123</f>
        <v>71.099999999999994</v>
      </c>
      <c r="H34" s="14">
        <f>'Data for charts 09-24'!H120+'Data for charts 09-24'!H121+'Data for charts 09-24'!H122+'Data for charts 09-24'!H123</f>
        <v>75.099999999999994</v>
      </c>
      <c r="I34" s="14">
        <f>'Data for charts 09-24'!I120+'Data for charts 09-24'!I121+'Data for charts 09-24'!I122+'Data for charts 09-24'!I123</f>
        <v>81.900000000000006</v>
      </c>
      <c r="J34" s="14">
        <f>'Data for charts 09-24'!J120+'Data for charts 09-24'!J121+'Data for charts 09-24'!J122+'Data for charts 09-24'!J123</f>
        <v>83.399999999999991</v>
      </c>
      <c r="K34" s="14">
        <f>'Data for charts 09-24'!K120+'Data for charts 09-24'!K121+'Data for charts 09-24'!K122+'Data for charts 09-24'!K123</f>
        <v>87.800000000000011</v>
      </c>
      <c r="L34" s="14">
        <f>'Data for charts 09-24'!L123+'Data for charts 09-24'!L122+'Data for charts 09-24'!L121+'Data for charts 09-24'!L120</f>
        <v>90.1</v>
      </c>
      <c r="M34" s="14">
        <f>'Data for charts 09-24'!M123+'Data for charts 09-24'!M122+'Data for charts 09-24'!M121+'Data for charts 09-24'!M120</f>
        <v>86.1</v>
      </c>
      <c r="N34" s="14">
        <f>'Data for charts 09-24'!N123+'Data for charts 09-24'!N122+'Data for charts 09-24'!N121+'Data for charts 09-24'!N120</f>
        <v>104.89999999999999</v>
      </c>
      <c r="O34" s="14">
        <f>'Data for charts 09-24'!O123+'Data for charts 09-24'!O122+'Data for charts 09-24'!O121+'Data for charts 09-24'!O120</f>
        <v>117</v>
      </c>
      <c r="P34" s="14">
        <f>P35-P33-P32-P31-P30-P29-P28</f>
        <v>110.19999999999999</v>
      </c>
      <c r="Q34" s="156">
        <f t="shared" si="0"/>
        <v>0.12605804111245464</v>
      </c>
      <c r="R34" s="158">
        <f t="shared" si="1"/>
        <v>1.4999999999999858</v>
      </c>
      <c r="S34" s="166">
        <f t="shared" si="2"/>
        <v>1.8315018315018139E-2</v>
      </c>
      <c r="T34" s="156"/>
    </row>
    <row r="35" spans="1:20">
      <c r="A35" s="13" t="s">
        <v>80</v>
      </c>
      <c r="B35" s="13">
        <f>SUM(B28:B34)</f>
        <v>485.30000000000007</v>
      </c>
      <c r="C35" s="13">
        <f t="shared" ref="C35:O35" si="3">SUM(C28:C34)</f>
        <v>515.4</v>
      </c>
      <c r="D35" s="13">
        <f t="shared" si="3"/>
        <v>523.6</v>
      </c>
      <c r="E35" s="13">
        <f t="shared" si="3"/>
        <v>524.4</v>
      </c>
      <c r="F35" s="13">
        <f t="shared" si="3"/>
        <v>555.79999999999995</v>
      </c>
      <c r="G35" s="13">
        <f t="shared" si="3"/>
        <v>566.70000000000005</v>
      </c>
      <c r="H35" s="13">
        <f t="shared" si="3"/>
        <v>592.6</v>
      </c>
      <c r="I35" s="13">
        <f t="shared" si="3"/>
        <v>628.09999999999991</v>
      </c>
      <c r="J35" s="13">
        <f t="shared" si="3"/>
        <v>661.6</v>
      </c>
      <c r="K35" s="13">
        <f t="shared" si="3"/>
        <v>685.71311500000002</v>
      </c>
      <c r="L35" s="13">
        <f t="shared" si="3"/>
        <v>696.69999999999993</v>
      </c>
      <c r="M35" s="13">
        <f t="shared" si="3"/>
        <v>650.69999999999993</v>
      </c>
      <c r="N35" s="13">
        <f t="shared" si="3"/>
        <v>774.69999999999993</v>
      </c>
      <c r="O35" s="13">
        <f t="shared" si="3"/>
        <v>857.7</v>
      </c>
      <c r="P35" s="13">
        <v>888.8</v>
      </c>
      <c r="Q35" s="151">
        <f t="shared" si="0"/>
        <v>1</v>
      </c>
      <c r="R35" s="158">
        <f t="shared" si="1"/>
        <v>33.500000000000114</v>
      </c>
      <c r="S35" s="166">
        <f t="shared" si="2"/>
        <v>5.3335456137557906E-2</v>
      </c>
    </row>
    <row r="36" spans="1:20">
      <c r="A36" s="167"/>
      <c r="B36" s="167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51"/>
    </row>
    <row r="38" spans="1:20">
      <c r="G38" s="158"/>
    </row>
    <row r="39" spans="1:20">
      <c r="G39" s="166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A1:R48"/>
  <sheetViews>
    <sheetView zoomScale="98" zoomScaleNormal="98" workbookViewId="0">
      <selection activeCell="N14" sqref="N14"/>
    </sheetView>
  </sheetViews>
  <sheetFormatPr defaultColWidth="9" defaultRowHeight="12.5"/>
  <cols>
    <col min="1" max="1" width="22.33203125" style="2" customWidth="1"/>
    <col min="2" max="16384" width="9" style="2"/>
  </cols>
  <sheetData>
    <row r="1" spans="1:1" ht="13">
      <c r="A1" s="244" t="s">
        <v>617</v>
      </c>
    </row>
    <row r="27" spans="1:18">
      <c r="P27" s="1"/>
      <c r="Q27" s="1"/>
      <c r="R27" s="1"/>
    </row>
    <row r="28" spans="1:18">
      <c r="P28" s="1"/>
      <c r="Q28" s="1"/>
      <c r="R28" s="1"/>
    </row>
    <row r="29" spans="1:18" ht="13">
      <c r="A29" s="148" t="s">
        <v>343</v>
      </c>
      <c r="P29" s="1"/>
      <c r="Q29" s="1"/>
      <c r="R29" s="1"/>
    </row>
    <row r="30" spans="1:18" ht="13">
      <c r="A30" s="162"/>
      <c r="B30" s="150" t="str">
        <f>'Data for charts 09-24'!$B$16</f>
        <v>2009-10</v>
      </c>
      <c r="C30" s="150" t="str">
        <f>'Data for charts 09-24'!$B$15</f>
        <v>2010-11</v>
      </c>
      <c r="D30" s="150" t="str">
        <f>'Data for charts 09-24'!$B$14</f>
        <v>2011-12</v>
      </c>
      <c r="E30" s="150" t="str">
        <f>'Data for charts 09-24'!$B$13</f>
        <v>2012-13</v>
      </c>
      <c r="F30" s="150" t="str">
        <f>'Data for charts 09-24'!$B$12</f>
        <v>2013-14</v>
      </c>
      <c r="G30" s="150" t="str">
        <f>'Data for charts 09-24'!$B$11</f>
        <v>2014-15</v>
      </c>
      <c r="H30" s="150" t="str">
        <f>'Data for charts 09-24'!$B$10</f>
        <v>2015-16</v>
      </c>
      <c r="I30" s="150" t="str">
        <f>'Data for charts 09-24'!$B$9</f>
        <v>2016-17</v>
      </c>
      <c r="J30" s="150" t="str">
        <f>'Data for charts 09-24'!$B$8</f>
        <v>2017-18</v>
      </c>
      <c r="K30" s="150" t="str">
        <f>'Data for charts 09-24'!$B$7</f>
        <v>2018-19</v>
      </c>
      <c r="L30" s="150" t="str">
        <f>'Data for charts 09-24'!$B$6</f>
        <v>2019-20</v>
      </c>
      <c r="M30" s="150" t="str">
        <f>'Data for charts 09-24'!$B$5</f>
        <v>2020-21</v>
      </c>
      <c r="N30" s="150" t="str">
        <f>'Data for charts 09-24'!$B$4</f>
        <v>2021-22</v>
      </c>
      <c r="O30" s="150" t="str">
        <f>'Data for charts 09-24'!$B$3</f>
        <v>2022-23</v>
      </c>
      <c r="P30" s="150" t="s">
        <v>1</v>
      </c>
      <c r="Q30" s="1"/>
      <c r="R30" s="22"/>
    </row>
    <row r="31" spans="1:18">
      <c r="A31" s="162" t="s">
        <v>51</v>
      </c>
      <c r="B31" s="13">
        <f>'Data for charts 09-24'!B73</f>
        <v>197.1</v>
      </c>
      <c r="C31" s="13">
        <f>'Data for charts 09-24'!C73</f>
        <v>204</v>
      </c>
      <c r="D31" s="13">
        <f>'Data for charts 09-24'!D73</f>
        <v>209.7</v>
      </c>
      <c r="E31" s="13">
        <f>'Data for charts 09-24'!E73</f>
        <v>215</v>
      </c>
      <c r="F31" s="13">
        <f>'Data for charts 09-24'!F73</f>
        <v>213.4</v>
      </c>
      <c r="G31" s="13">
        <f>'Data for charts 09-24'!G73</f>
        <v>217.7</v>
      </c>
      <c r="H31" s="14">
        <f>'Data for charts 09-24'!H73</f>
        <v>222.5</v>
      </c>
      <c r="I31" s="14">
        <f>'Data for charts 09-24'!I73</f>
        <v>223.7</v>
      </c>
      <c r="J31" s="14">
        <f>'Data for charts 09-24'!J73</f>
        <v>225.88080600000001</v>
      </c>
      <c r="K31" s="14">
        <f>'Data for charts 09-24'!K73</f>
        <v>230.3</v>
      </c>
      <c r="L31" s="14">
        <f>'Data for charts 09-24'!L73</f>
        <v>240</v>
      </c>
      <c r="M31" s="14">
        <f>'Data for charts 09-24'!M73</f>
        <v>258.39999999999998</v>
      </c>
      <c r="N31" s="14">
        <f>'Data for charts 09-24'!N73</f>
        <v>259.7</v>
      </c>
      <c r="O31" s="14">
        <f>'Data for charts 09-24'!O73</f>
        <v>276.10000000000002</v>
      </c>
      <c r="P31" s="14">
        <v>311.39999999999998</v>
      </c>
      <c r="Q31" s="19"/>
      <c r="R31" s="22">
        <f t="shared" ref="R31:R37" si="0">P31-B31</f>
        <v>114.29999999999998</v>
      </c>
    </row>
    <row r="32" spans="1:18">
      <c r="A32" s="162" t="s">
        <v>52</v>
      </c>
      <c r="B32" s="13">
        <f>'Data for charts 09-24'!B74</f>
        <v>179.7</v>
      </c>
      <c r="C32" s="13">
        <f>'Data for charts 09-24'!C74</f>
        <v>193.1</v>
      </c>
      <c r="D32" s="13">
        <f>'Data for charts 09-24'!D74</f>
        <v>183.2</v>
      </c>
      <c r="E32" s="13">
        <f>'Data for charts 09-24'!E74</f>
        <v>183.6</v>
      </c>
      <c r="F32" s="13">
        <f>'Data for charts 09-24'!F74</f>
        <v>187.8</v>
      </c>
      <c r="G32" s="13">
        <f>'Data for charts 09-24'!G74</f>
        <v>185.5</v>
      </c>
      <c r="H32" s="14">
        <f>'Data for charts 09-24'!H74</f>
        <v>193.3</v>
      </c>
      <c r="I32" s="14">
        <f>'Data for charts 09-24'!I74</f>
        <v>191.1</v>
      </c>
      <c r="J32" s="14">
        <f>'Data for charts 09-24'!J74</f>
        <v>215.8</v>
      </c>
      <c r="K32" s="14">
        <f>'Data for charts 09-24'!K74</f>
        <v>255.7</v>
      </c>
      <c r="L32" s="14">
        <f>'Data for charts 09-24'!L74</f>
        <v>235.3</v>
      </c>
      <c r="M32" s="14">
        <f>'Data for charts 09-24'!M74</f>
        <v>253.5</v>
      </c>
      <c r="N32" s="14">
        <f>'Data for charts 09-24'!N74</f>
        <v>284.5</v>
      </c>
      <c r="O32" s="14">
        <f>'Data for charts 09-24'!O74</f>
        <v>306.7</v>
      </c>
      <c r="P32" s="14">
        <v>240.5</v>
      </c>
      <c r="Q32" s="19"/>
      <c r="R32" s="22">
        <f t="shared" si="0"/>
        <v>60.800000000000011</v>
      </c>
    </row>
    <row r="33" spans="1:18" ht="37.5">
      <c r="A33" s="162" t="s">
        <v>555</v>
      </c>
      <c r="B33" s="13">
        <f>'Data for charts 09-24'!B76</f>
        <v>160.9</v>
      </c>
      <c r="C33" s="13">
        <f>'Data for charts 09-24'!C76</f>
        <v>159.19999999999999</v>
      </c>
      <c r="D33" s="13">
        <f>'Data for charts 09-24'!D76</f>
        <v>153.80000000000001</v>
      </c>
      <c r="E33" s="13">
        <f>'Data for charts 09-24'!E76</f>
        <v>182.3</v>
      </c>
      <c r="F33" s="13">
        <f>'Data for charts 09-24'!F76</f>
        <v>190.6</v>
      </c>
      <c r="G33" s="13">
        <f>'Data for charts 09-24'!G76</f>
        <v>191.7</v>
      </c>
      <c r="H33" s="14">
        <f>'Data for charts 09-24'!H76</f>
        <v>192.1</v>
      </c>
      <c r="I33" s="14">
        <f>'Data for charts 09-24'!I76</f>
        <v>194.8</v>
      </c>
      <c r="J33" s="14">
        <f>'Data for charts 09-24'!J76</f>
        <v>207.38529</v>
      </c>
      <c r="K33" s="14">
        <f>'Data for charts 09-24'!K76</f>
        <v>206.5</v>
      </c>
      <c r="L33" s="14">
        <f>'Data for charts 09-24'!L76</f>
        <v>223.6</v>
      </c>
      <c r="M33" s="14">
        <f>'Data for charts 09-24'!M76</f>
        <v>238.7</v>
      </c>
      <c r="N33" s="14">
        <f>'Data for charts 09-24'!N76</f>
        <v>256.2</v>
      </c>
      <c r="O33" s="14">
        <f>'Data for charts 09-24'!O76</f>
        <v>254.3</v>
      </c>
      <c r="P33" s="14">
        <v>263.7</v>
      </c>
      <c r="Q33" s="19"/>
      <c r="R33" s="22">
        <f t="shared" si="0"/>
        <v>102.79999999999998</v>
      </c>
    </row>
    <row r="34" spans="1:18">
      <c r="A34" s="162" t="s">
        <v>55</v>
      </c>
      <c r="B34" s="13">
        <f>'Data for charts 09-24'!B77</f>
        <v>66.2</v>
      </c>
      <c r="C34" s="13">
        <f>'Data for charts 09-24'!C77</f>
        <v>68.400000000000006</v>
      </c>
      <c r="D34" s="13">
        <f>'Data for charts 09-24'!D77</f>
        <v>61.6</v>
      </c>
      <c r="E34" s="13">
        <f>'Data for charts 09-24'!E77</f>
        <v>56.3</v>
      </c>
      <c r="F34" s="13">
        <f>'Data for charts 09-24'!F77</f>
        <v>56</v>
      </c>
      <c r="G34" s="13">
        <f>'Data for charts 09-24'!G77</f>
        <v>57.4</v>
      </c>
      <c r="H34" s="14">
        <f>'Data for charts 09-24'!H77</f>
        <v>54.1</v>
      </c>
      <c r="I34" s="14">
        <f>'Data for charts 09-24'!I77</f>
        <v>53.6</v>
      </c>
      <c r="J34" s="14">
        <f>'Data for charts 09-24'!J77</f>
        <v>51.205145999999999</v>
      </c>
      <c r="K34" s="14">
        <f>'Data for charts 09-24'!K77</f>
        <v>58.8</v>
      </c>
      <c r="L34" s="14">
        <f>'Data for charts 09-24'!L77</f>
        <v>62.2</v>
      </c>
      <c r="M34" s="14">
        <f>'Data for charts 09-24'!M77</f>
        <v>197.2</v>
      </c>
      <c r="N34" s="14">
        <f>'Data for charts 09-24'!N77</f>
        <v>121</v>
      </c>
      <c r="O34" s="14">
        <f>'Data for charts 09-24'!O77</f>
        <v>122.4</v>
      </c>
      <c r="P34" s="14">
        <v>104.1</v>
      </c>
      <c r="Q34" s="19"/>
      <c r="R34" s="22">
        <f t="shared" si="0"/>
        <v>37.899999999999991</v>
      </c>
    </row>
    <row r="35" spans="1:18">
      <c r="A35" s="162" t="s">
        <v>556</v>
      </c>
      <c r="B35" s="13">
        <f>'Data for charts 09-24'!B78</f>
        <v>51.6</v>
      </c>
      <c r="C35" s="13">
        <f>'Data for charts 09-24'!C78</f>
        <v>80.400000000000006</v>
      </c>
      <c r="D35" s="13">
        <f>'Data for charts 09-24'!D78</f>
        <v>64.400000000000006</v>
      </c>
      <c r="E35" s="13">
        <f>'Data for charts 09-24'!E78</f>
        <v>51.1</v>
      </c>
      <c r="F35" s="13">
        <f>'Data for charts 09-24'!F78</f>
        <v>51.1</v>
      </c>
      <c r="G35" s="13">
        <f>'Data for charts 09-24'!G78</f>
        <v>45.4</v>
      </c>
      <c r="H35" s="14">
        <f>'Data for charts 09-24'!H78</f>
        <v>42.7</v>
      </c>
      <c r="I35" s="14">
        <f>'Data for charts 09-24'!I78</f>
        <v>47.1</v>
      </c>
      <c r="J35" s="14">
        <f>'Data for charts 09-24'!J78</f>
        <v>56.500745999999999</v>
      </c>
      <c r="K35" s="14">
        <f>'Data for charts 09-24'!K78</f>
        <v>47.9</v>
      </c>
      <c r="L35" s="14">
        <f>'Data for charts 09-24'!L78</f>
        <v>51.5</v>
      </c>
      <c r="M35" s="14">
        <f>'Data for charts 09-24'!M78</f>
        <v>61.9</v>
      </c>
      <c r="N35" s="14">
        <f>'Data for charts 09-24'!N78</f>
        <v>47.9</v>
      </c>
      <c r="O35" s="14">
        <f>'Data for charts 09-24'!O78</f>
        <v>52.8</v>
      </c>
      <c r="P35" s="14">
        <v>64.2</v>
      </c>
      <c r="Q35" s="19"/>
      <c r="R35" s="22">
        <f t="shared" si="0"/>
        <v>12.600000000000001</v>
      </c>
    </row>
    <row r="36" spans="1:18">
      <c r="A36" s="162" t="s">
        <v>58</v>
      </c>
      <c r="B36" s="13">
        <f>'Data for charts 09-24'!B80+'Data for charts 09-24'!B81</f>
        <v>11</v>
      </c>
      <c r="C36" s="13">
        <f>'Data for charts 09-24'!C80+'Data for charts 09-24'!C81</f>
        <v>45.8</v>
      </c>
      <c r="D36" s="13">
        <f>'Data for charts 09-24'!D80+'Data for charts 09-24'!D81</f>
        <v>41.4</v>
      </c>
      <c r="E36" s="13">
        <f>'Data for charts 09-24'!E81</f>
        <v>29</v>
      </c>
      <c r="F36" s="13">
        <f>'Data for charts 09-24'!F81</f>
        <v>19.5</v>
      </c>
      <c r="G36" s="13">
        <f>'Data for charts 09-24'!G79+'Data for charts 09-24'!G81</f>
        <v>53.6</v>
      </c>
      <c r="H36" s="14">
        <f>'Data for charts 09-24'!H79+'Data for charts 09-24'!H81</f>
        <v>37.5</v>
      </c>
      <c r="I36" s="14">
        <f>'Data for charts 09-24'!I79+'Data for charts 09-24'!I81</f>
        <v>50.400000000000006</v>
      </c>
      <c r="J36" s="14">
        <f>'Data for charts 09-24'!J79+'Data for charts 09-24'!J81</f>
        <v>52.013220999999994</v>
      </c>
      <c r="K36" s="14">
        <f>'Data for charts 09-24'!K79+'Data for charts 09-24'!K81</f>
        <v>52.6</v>
      </c>
      <c r="L36" s="14">
        <f>'Data for charts 09-24'!L79+'Data for charts 09-24'!L81</f>
        <v>106.1</v>
      </c>
      <c r="M36" s="14">
        <f>'Data for charts 09-24'!M79+'Data for charts 09-24'!M81</f>
        <v>53.3</v>
      </c>
      <c r="N36" s="14">
        <f>'Data for charts 09-24'!N79+'Data for charts 09-24'!N81</f>
        <v>75.099999999999994</v>
      </c>
      <c r="O36" s="14">
        <f>'Data for charts 09-24'!O79+'Data for charts 09-24'!O81</f>
        <v>121.3</v>
      </c>
      <c r="P36" s="14">
        <f>P37-P35-P34-P33-P32-P31</f>
        <v>92.399999999999977</v>
      </c>
      <c r="Q36" s="19"/>
      <c r="R36" s="22">
        <f t="shared" si="0"/>
        <v>81.399999999999977</v>
      </c>
    </row>
    <row r="37" spans="1:18">
      <c r="A37" s="162" t="s">
        <v>80</v>
      </c>
      <c r="B37" s="14">
        <f t="shared" ref="B37:M37" si="1">SUM(B31:B36)</f>
        <v>666.5</v>
      </c>
      <c r="C37" s="14">
        <f t="shared" si="1"/>
        <v>750.89999999999986</v>
      </c>
      <c r="D37" s="14">
        <f t="shared" si="1"/>
        <v>714.1</v>
      </c>
      <c r="E37" s="14">
        <f t="shared" si="1"/>
        <v>717.30000000000007</v>
      </c>
      <c r="F37" s="14">
        <f t="shared" si="1"/>
        <v>718.40000000000009</v>
      </c>
      <c r="G37" s="14">
        <f t="shared" si="1"/>
        <v>751.3</v>
      </c>
      <c r="H37" s="14">
        <f t="shared" si="1"/>
        <v>742.2</v>
      </c>
      <c r="I37" s="14">
        <f t="shared" si="1"/>
        <v>760.69999999999993</v>
      </c>
      <c r="J37" s="14">
        <f t="shared" si="1"/>
        <v>808.78520900000012</v>
      </c>
      <c r="K37" s="14">
        <f t="shared" si="1"/>
        <v>851.8</v>
      </c>
      <c r="L37" s="14">
        <f t="shared" si="1"/>
        <v>918.7</v>
      </c>
      <c r="M37" s="14">
        <f t="shared" si="1"/>
        <v>1063</v>
      </c>
      <c r="N37" s="14">
        <f t="shared" ref="N37:O37" si="2">SUM(N31:N36)</f>
        <v>1044.4000000000001</v>
      </c>
      <c r="O37" s="14">
        <f t="shared" si="2"/>
        <v>1133.5999999999999</v>
      </c>
      <c r="P37" s="14">
        <v>1076.3</v>
      </c>
      <c r="Q37" s="1"/>
      <c r="R37" s="22">
        <f t="shared" si="0"/>
        <v>409.79999999999995</v>
      </c>
    </row>
    <row r="38" spans="1:18">
      <c r="B38" s="159"/>
    </row>
    <row r="39" spans="1:18">
      <c r="A39" s="2" t="s">
        <v>410</v>
      </c>
      <c r="B39" s="159"/>
      <c r="C39" s="159"/>
      <c r="D39" s="159"/>
      <c r="E39" s="159"/>
      <c r="F39" s="159"/>
      <c r="G39" s="159"/>
      <c r="H39" s="16">
        <f>H37-'Data for charts 09-24'!F82</f>
        <v>23.799999999999955</v>
      </c>
      <c r="I39" s="16">
        <f>I37-'Data for charts 09-24'!G82</f>
        <v>9.3999999999999773</v>
      </c>
      <c r="J39" s="16">
        <f>J37-'Data for charts 09-24'!H82</f>
        <v>66.585209000000077</v>
      </c>
      <c r="K39" s="16">
        <f>K37-'Data for charts 09-24'!I82</f>
        <v>91.100000000000023</v>
      </c>
      <c r="L39" s="16">
        <f>L37-'Data for charts 09-24'!L82</f>
        <v>0</v>
      </c>
      <c r="M39" s="16"/>
      <c r="N39" s="16">
        <f>N37-'Data for charts 09-24'!J82</f>
        <v>235.61479100000008</v>
      </c>
      <c r="O39" s="16"/>
      <c r="P39" s="19"/>
      <c r="Q39" s="1"/>
      <c r="R39" s="1"/>
    </row>
    <row r="40" spans="1:18">
      <c r="P40" s="1"/>
      <c r="Q40" s="1"/>
      <c r="R40" s="1"/>
    </row>
    <row r="41" spans="1:18">
      <c r="F41" s="163"/>
      <c r="G41" s="158"/>
    </row>
    <row r="42" spans="1:18">
      <c r="A42" s="162" t="s">
        <v>51</v>
      </c>
      <c r="C42" s="151">
        <f t="shared" ref="C42:P42" si="3">(C31-B31)/B31</f>
        <v>3.5007610350076136E-2</v>
      </c>
      <c r="D42" s="151">
        <f t="shared" si="3"/>
        <v>2.7941176470588181E-2</v>
      </c>
      <c r="E42" s="151">
        <f t="shared" si="3"/>
        <v>2.5274201239866532E-2</v>
      </c>
      <c r="F42" s="151">
        <f t="shared" si="3"/>
        <v>-7.4418604651162526E-3</v>
      </c>
      <c r="G42" s="151">
        <f t="shared" si="3"/>
        <v>2.0149953139643781E-2</v>
      </c>
      <c r="H42" s="151">
        <f t="shared" si="3"/>
        <v>2.2048690858980303E-2</v>
      </c>
      <c r="I42" s="151">
        <f t="shared" si="3"/>
        <v>5.3932584269662407E-3</v>
      </c>
      <c r="J42" s="151">
        <f t="shared" si="3"/>
        <v>9.7487974966473778E-3</v>
      </c>
      <c r="K42" s="151">
        <f t="shared" si="3"/>
        <v>1.9564274088875018E-2</v>
      </c>
      <c r="L42" s="151">
        <f t="shared" si="3"/>
        <v>4.2118975249674284E-2</v>
      </c>
      <c r="M42" s="151">
        <f t="shared" si="3"/>
        <v>7.6666666666666577E-2</v>
      </c>
      <c r="N42" s="151">
        <f t="shared" si="3"/>
        <v>5.0309597523220256E-3</v>
      </c>
      <c r="O42" s="151">
        <f t="shared" si="3"/>
        <v>6.3149788217173791E-2</v>
      </c>
      <c r="P42" s="151">
        <f t="shared" si="3"/>
        <v>0.12785222745382091</v>
      </c>
      <c r="R42" s="94">
        <f t="shared" ref="R42:R48" si="4">R31/B31</f>
        <v>0.57990867579908667</v>
      </c>
    </row>
    <row r="43" spans="1:18">
      <c r="A43" s="162" t="s">
        <v>52</v>
      </c>
      <c r="C43" s="151">
        <f t="shared" ref="C43:P43" si="5">(C32-B32)/B32</f>
        <v>7.4568725653867587E-2</v>
      </c>
      <c r="D43" s="151">
        <f t="shared" si="5"/>
        <v>-5.1268772656654617E-2</v>
      </c>
      <c r="E43" s="151">
        <f t="shared" si="5"/>
        <v>2.183406113537149E-3</v>
      </c>
      <c r="F43" s="151">
        <f t="shared" si="5"/>
        <v>2.2875816993464144E-2</v>
      </c>
      <c r="G43" s="151">
        <f t="shared" si="5"/>
        <v>-1.2247071352502721E-2</v>
      </c>
      <c r="H43" s="151">
        <f t="shared" si="5"/>
        <v>4.2048517520215697E-2</v>
      </c>
      <c r="I43" s="151">
        <f t="shared" si="5"/>
        <v>-1.1381272633212711E-2</v>
      </c>
      <c r="J43" s="151">
        <f t="shared" si="5"/>
        <v>0.1292517006802722</v>
      </c>
      <c r="K43" s="151">
        <f t="shared" si="5"/>
        <v>0.18489341983317875</v>
      </c>
      <c r="L43" s="151">
        <f t="shared" si="5"/>
        <v>-7.9780993351583798E-2</v>
      </c>
      <c r="M43" s="151">
        <f t="shared" si="5"/>
        <v>7.7348066298342483E-2</v>
      </c>
      <c r="N43" s="151">
        <f t="shared" si="5"/>
        <v>0.1222879684418146</v>
      </c>
      <c r="O43" s="151">
        <f t="shared" si="5"/>
        <v>7.8031634446397144E-2</v>
      </c>
      <c r="P43" s="151">
        <f t="shared" si="5"/>
        <v>-0.21584610368438209</v>
      </c>
      <c r="R43" s="94">
        <f t="shared" si="4"/>
        <v>0.33834168057874242</v>
      </c>
    </row>
    <row r="44" spans="1:18" ht="37.5">
      <c r="A44" s="162" t="s">
        <v>555</v>
      </c>
      <c r="C44" s="151">
        <f t="shared" ref="C44:P44" si="6">(C33-B33)/B33</f>
        <v>-1.0565568676196501E-2</v>
      </c>
      <c r="D44" s="151">
        <f t="shared" si="6"/>
        <v>-3.3919597989949611E-2</v>
      </c>
      <c r="E44" s="151">
        <f t="shared" si="6"/>
        <v>0.18530559167750324</v>
      </c>
      <c r="F44" s="151">
        <f t="shared" si="6"/>
        <v>4.5529347229840825E-2</v>
      </c>
      <c r="G44" s="151">
        <f t="shared" si="6"/>
        <v>5.7712486883525413E-3</v>
      </c>
      <c r="H44" s="151">
        <f t="shared" si="6"/>
        <v>2.0865936358894404E-3</v>
      </c>
      <c r="I44" s="151">
        <f t="shared" si="6"/>
        <v>1.4055179593961568E-2</v>
      </c>
      <c r="J44" s="151">
        <f t="shared" si="6"/>
        <v>6.4606211498973234E-2</v>
      </c>
      <c r="K44" s="151">
        <f t="shared" si="6"/>
        <v>-4.2688177160491838E-3</v>
      </c>
      <c r="L44" s="151">
        <f t="shared" si="6"/>
        <v>8.2808716707021765E-2</v>
      </c>
      <c r="M44" s="151">
        <f t="shared" si="6"/>
        <v>6.7531305903398897E-2</v>
      </c>
      <c r="N44" s="151">
        <f t="shared" si="6"/>
        <v>7.331378299120235E-2</v>
      </c>
      <c r="O44" s="151">
        <f t="shared" si="6"/>
        <v>-7.4160811865729018E-3</v>
      </c>
      <c r="P44" s="151">
        <f t="shared" si="6"/>
        <v>3.6964215493511511E-2</v>
      </c>
      <c r="R44" s="94">
        <f t="shared" si="4"/>
        <v>0.63890615288999364</v>
      </c>
    </row>
    <row r="45" spans="1:18">
      <c r="A45" s="162" t="s">
        <v>55</v>
      </c>
      <c r="C45" s="151">
        <f t="shared" ref="C45:P45" si="7">(C34-B34)/B34</f>
        <v>3.3232628398791583E-2</v>
      </c>
      <c r="D45" s="151">
        <f t="shared" si="7"/>
        <v>-9.9415204678362623E-2</v>
      </c>
      <c r="E45" s="151">
        <f t="shared" si="7"/>
        <v>-8.6038961038961109E-2</v>
      </c>
      <c r="F45" s="151">
        <f t="shared" si="7"/>
        <v>-5.3285968028418682E-3</v>
      </c>
      <c r="G45" s="151">
        <f t="shared" si="7"/>
        <v>2.4999999999999974E-2</v>
      </c>
      <c r="H45" s="151">
        <f t="shared" si="7"/>
        <v>-5.7491289198606223E-2</v>
      </c>
      <c r="I45" s="151">
        <f t="shared" si="7"/>
        <v>-9.2421441774491672E-3</v>
      </c>
      <c r="J45" s="151">
        <f t="shared" si="7"/>
        <v>-4.4680111940298549E-2</v>
      </c>
      <c r="K45" s="151">
        <f t="shared" si="7"/>
        <v>0.14832208465922542</v>
      </c>
      <c r="L45" s="151">
        <f t="shared" si="7"/>
        <v>5.7823129251700779E-2</v>
      </c>
      <c r="M45" s="151">
        <f t="shared" si="7"/>
        <v>2.170418006430868</v>
      </c>
      <c r="N45" s="151">
        <f t="shared" si="7"/>
        <v>-0.38640973630831638</v>
      </c>
      <c r="O45" s="151">
        <f t="shared" si="7"/>
        <v>1.1570247933884344E-2</v>
      </c>
      <c r="P45" s="151">
        <f t="shared" si="7"/>
        <v>-0.14950980392156871</v>
      </c>
      <c r="R45" s="94">
        <f t="shared" si="4"/>
        <v>0.57250755287009047</v>
      </c>
    </row>
    <row r="46" spans="1:18">
      <c r="A46" s="162" t="s">
        <v>556</v>
      </c>
      <c r="C46" s="151">
        <f t="shared" ref="C46:P46" si="8">(C35-B35)/B35</f>
        <v>0.55813953488372103</v>
      </c>
      <c r="D46" s="151">
        <f t="shared" si="8"/>
        <v>-0.19900497512437809</v>
      </c>
      <c r="E46" s="151">
        <f t="shared" si="8"/>
        <v>-0.20652173913043484</v>
      </c>
      <c r="F46" s="151">
        <f t="shared" si="8"/>
        <v>0</v>
      </c>
      <c r="G46" s="151">
        <f t="shared" si="8"/>
        <v>-0.11154598825831707</v>
      </c>
      <c r="H46" s="151">
        <f t="shared" si="8"/>
        <v>-5.9471365638766427E-2</v>
      </c>
      <c r="I46" s="151">
        <f t="shared" si="8"/>
        <v>0.1030444964871194</v>
      </c>
      <c r="J46" s="151">
        <f t="shared" si="8"/>
        <v>0.19959121019108275</v>
      </c>
      <c r="K46" s="151">
        <f t="shared" si="8"/>
        <v>-0.15222358303021347</v>
      </c>
      <c r="L46" s="151">
        <f t="shared" si="8"/>
        <v>7.5156576200417574E-2</v>
      </c>
      <c r="M46" s="151">
        <f t="shared" si="8"/>
        <v>0.20194174757281549</v>
      </c>
      <c r="N46" s="151">
        <f t="shared" si="8"/>
        <v>-0.22617124394184168</v>
      </c>
      <c r="O46" s="151">
        <f t="shared" si="8"/>
        <v>0.10229645093945718</v>
      </c>
      <c r="P46" s="151">
        <f t="shared" si="8"/>
        <v>0.21590909090909102</v>
      </c>
      <c r="R46" s="94">
        <f t="shared" si="4"/>
        <v>0.24418604651162792</v>
      </c>
    </row>
    <row r="47" spans="1:18">
      <c r="A47" s="162" t="s">
        <v>58</v>
      </c>
      <c r="C47" s="151">
        <f t="shared" ref="C47:P47" si="9">(C36-B36)/B36</f>
        <v>3.1636363636363636</v>
      </c>
      <c r="D47" s="151">
        <f t="shared" si="9"/>
        <v>-9.6069868995633162E-2</v>
      </c>
      <c r="E47" s="151">
        <f t="shared" si="9"/>
        <v>-0.29951690821256038</v>
      </c>
      <c r="F47" s="151">
        <f t="shared" si="9"/>
        <v>-0.32758620689655171</v>
      </c>
      <c r="G47" s="151">
        <f t="shared" si="9"/>
        <v>1.7487179487179487</v>
      </c>
      <c r="H47" s="151">
        <f t="shared" si="9"/>
        <v>-0.30037313432835822</v>
      </c>
      <c r="I47" s="151">
        <f t="shared" si="9"/>
        <v>0.34400000000000014</v>
      </c>
      <c r="J47" s="151">
        <f t="shared" si="9"/>
        <v>3.2008353174602946E-2</v>
      </c>
      <c r="K47" s="151">
        <f t="shared" si="9"/>
        <v>1.1281343256938598E-2</v>
      </c>
      <c r="L47" s="151">
        <f t="shared" si="9"/>
        <v>1.0171102661596956</v>
      </c>
      <c r="M47" s="151">
        <f t="shared" si="9"/>
        <v>-0.49764373232799247</v>
      </c>
      <c r="N47" s="151">
        <f t="shared" si="9"/>
        <v>0.40900562851782363</v>
      </c>
      <c r="O47" s="151">
        <f t="shared" si="9"/>
        <v>0.615179760319574</v>
      </c>
      <c r="P47" s="151">
        <f t="shared" si="9"/>
        <v>-0.23825226710634806</v>
      </c>
      <c r="R47" s="94">
        <f t="shared" si="4"/>
        <v>7.3999999999999977</v>
      </c>
    </row>
    <row r="48" spans="1:18">
      <c r="A48" s="162" t="s">
        <v>80</v>
      </c>
      <c r="C48" s="151">
        <f t="shared" ref="C48:P48" si="10">(C37-B37)/B37</f>
        <v>0.12663165791447842</v>
      </c>
      <c r="D48" s="151">
        <f t="shared" si="10"/>
        <v>-4.9007857237980887E-2</v>
      </c>
      <c r="E48" s="151">
        <f t="shared" si="10"/>
        <v>4.4811651029268247E-3</v>
      </c>
      <c r="F48" s="151">
        <f t="shared" si="10"/>
        <v>1.5335285096891435E-3</v>
      </c>
      <c r="G48" s="151">
        <f t="shared" si="10"/>
        <v>4.5796213808463056E-2</v>
      </c>
      <c r="H48" s="151">
        <f t="shared" si="10"/>
        <v>-1.2112338613070556E-2</v>
      </c>
      <c r="I48" s="151">
        <f t="shared" si="10"/>
        <v>2.4925895984909574E-2</v>
      </c>
      <c r="J48" s="151">
        <f t="shared" si="10"/>
        <v>6.3211790456159059E-2</v>
      </c>
      <c r="K48" s="151">
        <f t="shared" si="10"/>
        <v>5.3184443188797025E-2</v>
      </c>
      <c r="L48" s="151">
        <f t="shared" si="10"/>
        <v>7.8539563277764846E-2</v>
      </c>
      <c r="M48" s="151">
        <f t="shared" si="10"/>
        <v>0.15706977250462603</v>
      </c>
      <c r="N48" s="151">
        <f t="shared" si="10"/>
        <v>-1.749764816556906E-2</v>
      </c>
      <c r="O48" s="151">
        <f t="shared" si="10"/>
        <v>8.540788969743375E-2</v>
      </c>
      <c r="P48" s="151">
        <f t="shared" si="10"/>
        <v>-5.0546930134086059E-2</v>
      </c>
      <c r="Q48" s="1"/>
      <c r="R48" s="94">
        <f t="shared" si="4"/>
        <v>0.61485371342835704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:J1048576"/>
  <sheetViews>
    <sheetView workbookViewId="0">
      <selection activeCell="N13" sqref="N13"/>
    </sheetView>
  </sheetViews>
  <sheetFormatPr defaultColWidth="9" defaultRowHeight="12.5"/>
  <cols>
    <col min="1" max="1" width="20.08203125" style="2" customWidth="1"/>
    <col min="2" max="16384" width="9" style="2"/>
  </cols>
  <sheetData>
    <row r="1" spans="1:1" ht="13">
      <c r="A1" s="244" t="s">
        <v>618</v>
      </c>
    </row>
    <row r="33" spans="2:10" ht="13">
      <c r="J33" s="244" t="s">
        <v>619</v>
      </c>
    </row>
    <row r="35" spans="2:10" ht="13">
      <c r="B35" s="148" t="s">
        <v>557</v>
      </c>
    </row>
    <row r="36" spans="2:10">
      <c r="B36" s="149" t="s">
        <v>423</v>
      </c>
      <c r="C36" s="149" t="s">
        <v>558</v>
      </c>
      <c r="D36" s="149" t="s">
        <v>559</v>
      </c>
      <c r="E36" s="149" t="s">
        <v>560</v>
      </c>
      <c r="F36" s="149" t="s">
        <v>561</v>
      </c>
      <c r="G36" s="149" t="s">
        <v>58</v>
      </c>
      <c r="H36" s="149" t="s">
        <v>80</v>
      </c>
    </row>
    <row r="37" spans="2:10">
      <c r="B37" s="149" t="str">
        <f>'Data for charts 09-24'!$B$16</f>
        <v>2009-10</v>
      </c>
      <c r="C37" s="149">
        <f>'Data for charts 09-24'!B140</f>
        <v>79.600000000000009</v>
      </c>
      <c r="D37" s="149">
        <f>'Data for charts 09-24'!B146</f>
        <v>25.6</v>
      </c>
      <c r="E37" s="149">
        <f>'Data for charts 09-24'!B154</f>
        <v>14.799999999999999</v>
      </c>
      <c r="F37" s="149">
        <f>'Data for charts 09-24'!B160</f>
        <v>27.9</v>
      </c>
      <c r="G37" s="149">
        <f>'Data for charts 09-24'!B158+'Data for charts 09-24'!B162</f>
        <v>49.2</v>
      </c>
      <c r="H37" s="152">
        <f t="shared" ref="H37:H50" si="0">SUM(C37:G37)</f>
        <v>197.10000000000002</v>
      </c>
    </row>
    <row r="38" spans="2:10">
      <c r="B38" s="149" t="str">
        <f>'Data for charts 09-24'!$B$15</f>
        <v>2010-11</v>
      </c>
      <c r="C38" s="149">
        <f>'Data for charts 09-24'!C140</f>
        <v>82.399999999999991</v>
      </c>
      <c r="D38" s="149">
        <f>'Data for charts 09-24'!C146</f>
        <v>26.500000000000004</v>
      </c>
      <c r="E38" s="149">
        <f>'Data for charts 09-24'!C154</f>
        <v>15.200000000000001</v>
      </c>
      <c r="F38" s="149">
        <f>'Data for charts 09-24'!C160</f>
        <v>29.3</v>
      </c>
      <c r="G38" s="149">
        <f>'Data for charts 09-24'!C158+'Data for charts 09-24'!C162</f>
        <v>50.6</v>
      </c>
      <c r="H38" s="152">
        <f t="shared" si="0"/>
        <v>204</v>
      </c>
    </row>
    <row r="39" spans="2:10">
      <c r="B39" s="149" t="str">
        <f>'Data for charts 09-24'!$B$14</f>
        <v>2011-12</v>
      </c>
      <c r="C39" s="149">
        <f>'Data for charts 09-24'!D140</f>
        <v>86.5</v>
      </c>
      <c r="D39" s="149">
        <f>'Data for charts 09-24'!D146</f>
        <v>26.9</v>
      </c>
      <c r="E39" s="149">
        <f>'Data for charts 09-24'!D154</f>
        <v>16.100000000000001</v>
      </c>
      <c r="F39" s="149">
        <f>'Data for charts 09-24'!D160</f>
        <v>30</v>
      </c>
      <c r="G39" s="149">
        <f>'Data for charts 09-24'!D158+'Data for charts 09-24'!D162</f>
        <v>50.2</v>
      </c>
      <c r="H39" s="152">
        <f t="shared" si="0"/>
        <v>209.7</v>
      </c>
    </row>
    <row r="40" spans="2:10">
      <c r="B40" s="149" t="str">
        <f>'Data for charts 09-24'!$B$13</f>
        <v>2012-13</v>
      </c>
      <c r="C40" s="149">
        <f>'Data for charts 09-24'!E140</f>
        <v>91.7</v>
      </c>
      <c r="D40" s="149">
        <f>'Data for charts 09-24'!E146</f>
        <v>26.4</v>
      </c>
      <c r="E40" s="149">
        <f>'Data for charts 09-24'!E154</f>
        <v>17.8</v>
      </c>
      <c r="F40" s="149">
        <f>'Data for charts 09-24'!E160</f>
        <v>28.5</v>
      </c>
      <c r="G40" s="149">
        <f>'Data for charts 09-24'!E158+'Data for charts 09-24'!E162</f>
        <v>50.6</v>
      </c>
      <c r="H40" s="152">
        <f t="shared" si="0"/>
        <v>215</v>
      </c>
    </row>
    <row r="41" spans="2:10">
      <c r="B41" s="149" t="str">
        <f>'Data for charts 09-24'!$B$12</f>
        <v>2013-14</v>
      </c>
      <c r="C41" s="152">
        <f>'Data for charts 09-24'!F140</f>
        <v>92.3</v>
      </c>
      <c r="D41" s="152">
        <f>'Data for charts 09-24'!F146</f>
        <v>24.6</v>
      </c>
      <c r="E41" s="152">
        <f>'Data for charts 09-24'!F154</f>
        <v>19.399999999999999</v>
      </c>
      <c r="F41" s="152">
        <f>'Data for charts 09-24'!F160</f>
        <v>27.3</v>
      </c>
      <c r="G41" s="152">
        <f>'Data for charts 09-24'!F162+'Data for charts 09-24'!F158</f>
        <v>49.8</v>
      </c>
      <c r="H41" s="152">
        <f t="shared" si="0"/>
        <v>213.40000000000003</v>
      </c>
      <c r="I41" s="153"/>
    </row>
    <row r="42" spans="2:10">
      <c r="B42" s="149" t="str">
        <f>'Data for charts 09-24'!$B$11</f>
        <v>2014-15</v>
      </c>
      <c r="C42" s="152">
        <f>'Data for charts 09-24'!G140</f>
        <v>95.899999999999991</v>
      </c>
      <c r="D42" s="152">
        <f>'Data for charts 09-24'!G146</f>
        <v>24.4</v>
      </c>
      <c r="E42" s="152">
        <f>'Data for charts 09-24'!G154</f>
        <v>25.2</v>
      </c>
      <c r="F42" s="152">
        <f>'Data for charts 09-24'!G160</f>
        <v>27.6</v>
      </c>
      <c r="G42" s="152">
        <f>'Data for charts 09-24'!G162+'Data for charts 09-24'!G158</f>
        <v>44.6</v>
      </c>
      <c r="H42" s="152">
        <f t="shared" si="0"/>
        <v>217.69999999999996</v>
      </c>
      <c r="I42" s="153"/>
    </row>
    <row r="43" spans="2:10">
      <c r="B43" s="149" t="str">
        <f>'Data for charts 09-24'!$B$10</f>
        <v>2015-16</v>
      </c>
      <c r="C43" s="152">
        <f>'Data for charts 09-24'!H140</f>
        <v>98.3</v>
      </c>
      <c r="D43" s="152">
        <f>'Data for charts 09-24'!H146</f>
        <v>25.7</v>
      </c>
      <c r="E43" s="152">
        <f>'Data for charts 09-24'!H154</f>
        <v>25.799999999999997</v>
      </c>
      <c r="F43" s="152">
        <f>'Data for charts 09-24'!H160</f>
        <v>28</v>
      </c>
      <c r="G43" s="152">
        <f>'Data for charts 09-24'!H162+'Data for charts 09-24'!H158</f>
        <v>44.7</v>
      </c>
      <c r="H43" s="152">
        <f t="shared" si="0"/>
        <v>222.5</v>
      </c>
      <c r="I43" s="153"/>
    </row>
    <row r="44" spans="2:10">
      <c r="B44" s="149" t="str">
        <f>'Data for charts 09-24'!$B$9</f>
        <v>2016-17</v>
      </c>
      <c r="C44" s="152">
        <f>'Data for charts 09-24'!I140</f>
        <v>100.39999999999999</v>
      </c>
      <c r="D44" s="152">
        <f>'Data for charts 09-24'!I146</f>
        <v>26.099999999999998</v>
      </c>
      <c r="E44" s="152">
        <f>'Data for charts 09-24'!I154</f>
        <v>25.1</v>
      </c>
      <c r="F44" s="152">
        <f>'Data for charts 09-24'!I160</f>
        <v>27.4</v>
      </c>
      <c r="G44" s="152">
        <f>'Data for charts 09-24'!I162+'Data for charts 09-24'!I158</f>
        <v>44.7</v>
      </c>
      <c r="H44" s="152">
        <f t="shared" si="0"/>
        <v>223.7</v>
      </c>
      <c r="I44" s="153"/>
    </row>
    <row r="45" spans="2:10">
      <c r="B45" s="149" t="str">
        <f>'Data for charts 09-24'!$B$8</f>
        <v>2017-18</v>
      </c>
      <c r="C45" s="152">
        <f>'Data for charts 09-24'!J140</f>
        <v>102.5</v>
      </c>
      <c r="D45" s="152">
        <f>'Data for charts 09-24'!J146</f>
        <v>27.3</v>
      </c>
      <c r="E45" s="152">
        <f>'Data for charts 09-24'!J154</f>
        <v>26.7</v>
      </c>
      <c r="F45" s="152">
        <f>'Data for charts 09-24'!J160</f>
        <v>25.8</v>
      </c>
      <c r="G45" s="152">
        <f>'Data for charts 09-24'!J162+'Data for charts 09-24'!J158</f>
        <v>43.599999999999994</v>
      </c>
      <c r="H45" s="152">
        <f>SUM(C45:G45)</f>
        <v>225.9</v>
      </c>
      <c r="I45" s="153"/>
    </row>
    <row r="46" spans="2:10">
      <c r="B46" s="149" t="str">
        <f>'Data for charts 09-24'!$B$7</f>
        <v>2018-19</v>
      </c>
      <c r="C46" s="152">
        <f>'Data for charts 09-24'!K140</f>
        <v>104.93590400000001</v>
      </c>
      <c r="D46" s="152">
        <f>'Data for charts 09-24'!K146</f>
        <v>28.970030000000001</v>
      </c>
      <c r="E46" s="152">
        <f>'Data for charts 09-24'!K154</f>
        <v>30.694390000000002</v>
      </c>
      <c r="F46" s="152">
        <f>'Data for charts 09-24'!K160</f>
        <v>24.326332000000001</v>
      </c>
      <c r="G46" s="152">
        <f>'Data for charts 09-24'!K162+'Data for charts 09-24'!K158</f>
        <v>41.406182000000001</v>
      </c>
      <c r="H46" s="152">
        <f>SUM(C46:G46)</f>
        <v>230.33283800000001</v>
      </c>
      <c r="I46" s="153"/>
    </row>
    <row r="47" spans="2:10">
      <c r="B47" s="149" t="str">
        <f>'Data for charts 09-24'!$B$6</f>
        <v>2019-20</v>
      </c>
      <c r="C47" s="152">
        <f>'Data for charts 09-24'!L140</f>
        <v>106.8</v>
      </c>
      <c r="D47" s="152">
        <f>'Data for charts 09-24'!$L146</f>
        <v>31</v>
      </c>
      <c r="E47" s="152">
        <f>'Data for charts 09-24'!$L154</f>
        <v>38.599999999999994</v>
      </c>
      <c r="F47" s="152">
        <f>'Data for charts 09-24'!$L160</f>
        <v>21.8</v>
      </c>
      <c r="G47" s="152">
        <f>'Data for charts 09-24'!L162+'Data for charts 09-24'!L158</f>
        <v>41.8</v>
      </c>
      <c r="H47" s="152">
        <f t="shared" si="0"/>
        <v>240</v>
      </c>
      <c r="I47" s="153"/>
    </row>
    <row r="48" spans="2:10">
      <c r="B48" s="149" t="str">
        <f>'Data for charts 09-24'!$B$5</f>
        <v>2020-21</v>
      </c>
      <c r="C48" s="152">
        <f>'Data for charts 09-24'!M140</f>
        <v>108.8</v>
      </c>
      <c r="D48" s="152">
        <f>'Data for charts 09-24'!M146</f>
        <v>32.799999999999997</v>
      </c>
      <c r="E48" s="152">
        <f>'Data for charts 09-24'!M154</f>
        <v>59.3</v>
      </c>
      <c r="F48" s="152">
        <f>'Data for charts 09-24'!M160</f>
        <v>15.5</v>
      </c>
      <c r="G48" s="152">
        <f>'Data for charts 09-24'!M162+'Data for charts 09-24'!M158</f>
        <v>42</v>
      </c>
      <c r="H48" s="152">
        <f t="shared" si="0"/>
        <v>258.39999999999998</v>
      </c>
      <c r="I48" s="153"/>
    </row>
    <row r="49" spans="2:9">
      <c r="B49" s="149" t="str">
        <f>'Data for charts 09-24'!$B$4</f>
        <v>2021-22</v>
      </c>
      <c r="C49" s="152">
        <f>'Data for charts 09-24'!N140</f>
        <v>111.89999999999999</v>
      </c>
      <c r="D49" s="152">
        <f>'Data for charts 09-24'!N146</f>
        <v>34.200000000000003</v>
      </c>
      <c r="E49" s="152">
        <f>'Data for charts 09-24'!N154</f>
        <v>60</v>
      </c>
      <c r="F49" s="152">
        <f>'Data for charts 09-24'!N160</f>
        <v>13.9</v>
      </c>
      <c r="G49" s="152">
        <f>'Data for charts 09-24'!N162+'Data for charts 09-24'!N158</f>
        <v>39.700000000000003</v>
      </c>
      <c r="H49" s="152">
        <f t="shared" si="0"/>
        <v>259.7</v>
      </c>
      <c r="I49" s="153"/>
    </row>
    <row r="50" spans="2:9">
      <c r="B50" s="149" t="str">
        <f>'Data for charts 09-24'!$B$3</f>
        <v>2022-23</v>
      </c>
      <c r="C50" s="152">
        <f>'Data for charts 09-24'!O140</f>
        <v>117.8</v>
      </c>
      <c r="D50" s="152">
        <f>'Data for charts 09-24'!O146</f>
        <v>34.400000000000006</v>
      </c>
      <c r="E50" s="152">
        <f>'Data for charts 09-24'!O154</f>
        <v>61.300000000000004</v>
      </c>
      <c r="F50" s="152">
        <f>'Data for charts 09-24'!O160</f>
        <v>11.9</v>
      </c>
      <c r="G50" s="152">
        <f>'Data for charts 09-24'!O162+'Data for charts 09-24'!O158</f>
        <v>50.7</v>
      </c>
      <c r="H50" s="152">
        <f t="shared" si="0"/>
        <v>276.10000000000002</v>
      </c>
      <c r="I50" s="153"/>
    </row>
    <row r="51" spans="2:9">
      <c r="B51" s="149" t="s">
        <v>1</v>
      </c>
      <c r="C51" s="152">
        <v>133</v>
      </c>
      <c r="D51" s="152">
        <f>'Data for charts 09-24'!P146</f>
        <v>41.4</v>
      </c>
      <c r="E51" s="152">
        <f>'Data for charts 09-24'!P154</f>
        <v>71.7</v>
      </c>
      <c r="F51" s="152">
        <v>11.9</v>
      </c>
      <c r="G51" s="152">
        <f>H51-F51-E51-D51-C51</f>
        <v>53.400000000000006</v>
      </c>
      <c r="H51" s="152">
        <f>'Data for charts 09-24'!P163</f>
        <v>311.39999999999998</v>
      </c>
    </row>
    <row r="52" spans="2:9">
      <c r="C52" s="158"/>
      <c r="D52" s="158"/>
      <c r="E52" s="158"/>
      <c r="F52" s="158"/>
      <c r="G52" s="158"/>
      <c r="H52" s="158"/>
    </row>
    <row r="53" spans="2:9">
      <c r="C53" s="159">
        <f>C51-C37</f>
        <v>53.399999999999991</v>
      </c>
      <c r="D53" s="159">
        <f>D51-D37</f>
        <v>15.799999999999997</v>
      </c>
      <c r="E53" s="159">
        <f>E51-E37</f>
        <v>56.900000000000006</v>
      </c>
      <c r="F53" s="159">
        <f>F51-F37</f>
        <v>-15.999999999999998</v>
      </c>
      <c r="G53" s="159">
        <f>G51-G37</f>
        <v>4.2000000000000028</v>
      </c>
      <c r="H53" s="156"/>
    </row>
    <row r="54" spans="2:9">
      <c r="C54" s="151">
        <f>C53/C37</f>
        <v>0.67085427135678377</v>
      </c>
      <c r="D54" s="151">
        <f>D53/D37</f>
        <v>0.61718749999999989</v>
      </c>
      <c r="E54" s="151">
        <f>E53/E37</f>
        <v>3.8445945945945952</v>
      </c>
      <c r="F54" s="151">
        <f>F53/F37</f>
        <v>-0.57347670250896055</v>
      </c>
      <c r="G54" s="151">
        <f>G53/G37</f>
        <v>8.5365853658536633E-2</v>
      </c>
      <c r="H54" s="160"/>
      <c r="I54" s="151"/>
    </row>
    <row r="55" spans="2:9">
      <c r="H55" s="158"/>
      <c r="I55" s="161"/>
    </row>
    <row r="57" spans="2:9">
      <c r="B57" s="160"/>
      <c r="C57" s="160"/>
      <c r="D57" s="160"/>
      <c r="E57" s="160"/>
      <c r="F57" s="160"/>
    </row>
    <row r="1048576" spans="8:8">
      <c r="H1048576" s="2" t="s">
        <v>562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33CCF-8E2E-4B6B-A42A-D0AEFCF86AD5}">
  <dimension ref="A1:Q30"/>
  <sheetViews>
    <sheetView workbookViewId="0">
      <selection activeCell="A21" sqref="A21"/>
    </sheetView>
  </sheetViews>
  <sheetFormatPr defaultRowHeight="12.5"/>
  <cols>
    <col min="1" max="16384" width="8.6640625" style="1"/>
  </cols>
  <sheetData>
    <row r="1" spans="1:1" ht="13">
      <c r="A1" s="26" t="s">
        <v>585</v>
      </c>
    </row>
    <row r="28" spans="1:17">
      <c r="B28" s="1" t="str">
        <f>'Data for charts 09-24'!B113</f>
        <v>2009-10</v>
      </c>
      <c r="C28" s="1" t="str">
        <f>'Data for charts 09-24'!C113</f>
        <v>2010-11</v>
      </c>
      <c r="D28" s="1" t="str">
        <f>'Data for charts 09-24'!D113</f>
        <v>2011-12</v>
      </c>
      <c r="E28" s="1" t="str">
        <f>'Data for charts 09-24'!E113</f>
        <v>2012-13</v>
      </c>
      <c r="F28" s="1" t="str">
        <f>'Data for charts 09-24'!F113</f>
        <v>2013-14</v>
      </c>
      <c r="G28" s="1" t="str">
        <f>'Data for charts 09-24'!G113</f>
        <v>2014-15</v>
      </c>
      <c r="H28" s="1" t="str">
        <f>'Data for charts 09-24'!H113</f>
        <v>2015-16</v>
      </c>
      <c r="I28" s="1" t="str">
        <f>'Data for charts 09-24'!I113</f>
        <v>2016-17</v>
      </c>
      <c r="J28" s="1" t="str">
        <f>'Data for charts 09-24'!J113</f>
        <v>2017-18</v>
      </c>
      <c r="K28" s="1" t="str">
        <f>'Data for charts 09-24'!K113</f>
        <v>2018-19</v>
      </c>
      <c r="L28" s="1" t="str">
        <f>'Data for charts 09-24'!L113</f>
        <v>2019-20</v>
      </c>
      <c r="M28" s="1" t="str">
        <f>'Data for charts 09-24'!M113</f>
        <v>2020-21</v>
      </c>
      <c r="N28" s="1" t="str">
        <f>'Data for charts 09-24'!N113</f>
        <v>2021-22</v>
      </c>
      <c r="O28" s="1" t="str">
        <f>'Data for charts 09-24'!O113</f>
        <v>2022-23</v>
      </c>
      <c r="P28" s="1" t="s">
        <v>1</v>
      </c>
    </row>
    <row r="29" spans="1:17">
      <c r="A29" s="1" t="s">
        <v>327</v>
      </c>
      <c r="B29" s="240">
        <v>3.3000000000000002E-2</v>
      </c>
      <c r="C29" s="240">
        <v>4.4999999999999998E-2</v>
      </c>
      <c r="D29" s="240">
        <v>2.8000000000000001E-2</v>
      </c>
      <c r="E29" s="240">
        <v>2.5999999999999999E-2</v>
      </c>
      <c r="F29" s="240">
        <v>1.4999999999999999E-2</v>
      </c>
      <c r="G29" s="240">
        <v>0</v>
      </c>
      <c r="H29" s="240">
        <v>7.0000000000000001E-3</v>
      </c>
      <c r="I29" s="240">
        <v>2.7E-2</v>
      </c>
      <c r="J29" s="240">
        <v>2.5000000000000001E-2</v>
      </c>
      <c r="K29" s="240">
        <v>1.7999999999999999E-2</v>
      </c>
      <c r="L29" s="240">
        <v>8.9999999999999993E-3</v>
      </c>
      <c r="M29" s="240">
        <v>2.5999999999999999E-2</v>
      </c>
      <c r="N29" s="240">
        <v>9.0999999999999998E-2</v>
      </c>
      <c r="O29" s="240">
        <v>7.2999999999999995E-2</v>
      </c>
      <c r="P29" s="240">
        <v>1.2999999999999999E-2</v>
      </c>
      <c r="Q29" s="240"/>
    </row>
    <row r="30" spans="1:17">
      <c r="A30" s="241">
        <v>100</v>
      </c>
      <c r="B30" s="25">
        <v>103.3</v>
      </c>
      <c r="C30" s="25">
        <v>107.91</v>
      </c>
      <c r="D30" s="25">
        <v>110.96</v>
      </c>
      <c r="E30" s="25">
        <v>113.81</v>
      </c>
      <c r="F30" s="25">
        <v>115.47</v>
      </c>
      <c r="G30" s="25">
        <v>115.52</v>
      </c>
      <c r="H30" s="25">
        <v>116.28</v>
      </c>
      <c r="I30" s="25">
        <v>119.4</v>
      </c>
      <c r="J30" s="25">
        <v>122.36</v>
      </c>
      <c r="K30" s="25">
        <v>124.55</v>
      </c>
      <c r="L30" s="25">
        <v>125.61</v>
      </c>
      <c r="M30" s="25">
        <v>128.86000000000001</v>
      </c>
      <c r="N30" s="25">
        <v>140.47999999999999</v>
      </c>
      <c r="O30" s="25">
        <v>150.81</v>
      </c>
      <c r="P30" s="25">
        <v>154.62</v>
      </c>
      <c r="Q30" s="51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B5179-AD6D-41B3-AA12-3A2850A94BB2}">
  <dimension ref="A1:S32"/>
  <sheetViews>
    <sheetView workbookViewId="0">
      <selection activeCell="G34" sqref="G34"/>
    </sheetView>
  </sheetViews>
  <sheetFormatPr defaultRowHeight="12.5"/>
  <cols>
    <col min="1" max="1" width="10.83203125" style="1" bestFit="1" customWidth="1"/>
    <col min="2" max="16384" width="8.6640625" style="1"/>
  </cols>
  <sheetData>
    <row r="1" spans="1:2" ht="13">
      <c r="A1" s="147" t="s">
        <v>620</v>
      </c>
      <c r="B1" s="78"/>
    </row>
    <row r="28" spans="1:19" ht="13" thickBot="1"/>
    <row r="29" spans="1:19" ht="13">
      <c r="A29" s="32"/>
      <c r="B29" s="73" t="s">
        <v>1</v>
      </c>
      <c r="C29" s="1" t="s">
        <v>2</v>
      </c>
      <c r="D29" s="1" t="s">
        <v>3</v>
      </c>
      <c r="E29" s="1" t="s">
        <v>4</v>
      </c>
      <c r="F29" s="1" t="s">
        <v>5</v>
      </c>
      <c r="G29" s="1" t="s">
        <v>6</v>
      </c>
      <c r="H29" s="1" t="s">
        <v>7</v>
      </c>
      <c r="I29" s="1" t="s">
        <v>8</v>
      </c>
      <c r="J29" s="1" t="s">
        <v>9</v>
      </c>
      <c r="K29" s="1" t="s">
        <v>10</v>
      </c>
      <c r="L29" s="1" t="s">
        <v>11</v>
      </c>
      <c r="M29" s="1" t="s">
        <v>12</v>
      </c>
      <c r="N29" s="1" t="s">
        <v>13</v>
      </c>
      <c r="O29" s="1" t="s">
        <v>14</v>
      </c>
      <c r="P29" s="1" t="s">
        <v>15</v>
      </c>
    </row>
    <row r="30" spans="1:19" ht="13">
      <c r="A30" s="64"/>
      <c r="B30" s="58"/>
      <c r="C30" s="12" t="s">
        <v>17</v>
      </c>
      <c r="D30" s="12" t="s">
        <v>17</v>
      </c>
      <c r="E30" s="12" t="s">
        <v>17</v>
      </c>
      <c r="F30" s="12" t="s">
        <v>17</v>
      </c>
      <c r="G30" s="12" t="s">
        <v>17</v>
      </c>
      <c r="H30" s="12" t="s">
        <v>17</v>
      </c>
      <c r="I30" s="12" t="s">
        <v>17</v>
      </c>
      <c r="J30" s="12" t="s">
        <v>17</v>
      </c>
      <c r="K30" s="12" t="s">
        <v>17</v>
      </c>
      <c r="L30" s="12" t="s">
        <v>17</v>
      </c>
      <c r="M30" s="12" t="s">
        <v>17</v>
      </c>
      <c r="N30" s="12" t="s">
        <v>17</v>
      </c>
      <c r="O30" s="12" t="s">
        <v>17</v>
      </c>
      <c r="P30" s="12" t="s">
        <v>17</v>
      </c>
    </row>
    <row r="31" spans="1:19">
      <c r="A31" s="64" t="s">
        <v>101</v>
      </c>
      <c r="B31" s="58">
        <v>127.3</v>
      </c>
      <c r="C31" s="58">
        <v>112.6</v>
      </c>
      <c r="D31" s="58">
        <v>106.8</v>
      </c>
      <c r="E31" s="1">
        <v>103.5</v>
      </c>
      <c r="F31" s="58">
        <v>101.2</v>
      </c>
      <c r="G31" s="10">
        <v>99.091688000000005</v>
      </c>
      <c r="H31" s="10">
        <v>96.1</v>
      </c>
      <c r="I31" s="10">
        <v>93.8</v>
      </c>
      <c r="J31" s="10">
        <v>91.5</v>
      </c>
      <c r="K31" s="10">
        <v>88.6</v>
      </c>
      <c r="L31" s="10">
        <v>85</v>
      </c>
      <c r="M31" s="1">
        <v>83.8</v>
      </c>
      <c r="N31" s="1">
        <v>78.099999999999994</v>
      </c>
      <c r="O31" s="1">
        <v>74.099999999999994</v>
      </c>
      <c r="P31" s="1">
        <v>71.400000000000006</v>
      </c>
      <c r="R31" s="1">
        <f>B31-P31</f>
        <v>55.899999999999991</v>
      </c>
      <c r="S31" s="94">
        <f>R31/P31</f>
        <v>0.78291316526610621</v>
      </c>
    </row>
    <row r="32" spans="1:19">
      <c r="R32" s="1">
        <f>B31-C31</f>
        <v>14.700000000000003</v>
      </c>
      <c r="S32" s="94">
        <f>R32/C31</f>
        <v>0.13055062166962703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64035-FF70-43D7-BE91-D26262C7AFFF}">
  <dimension ref="A1:H56"/>
  <sheetViews>
    <sheetView workbookViewId="0">
      <selection activeCell="N27" sqref="N27"/>
    </sheetView>
  </sheetViews>
  <sheetFormatPr defaultRowHeight="12.5"/>
  <cols>
    <col min="1" max="1" width="11.08203125" style="1" customWidth="1"/>
    <col min="2" max="2" width="8.83203125" style="1" bestFit="1" customWidth="1"/>
    <col min="3" max="3" width="10.58203125" style="1" bestFit="1" customWidth="1"/>
    <col min="4" max="5" width="8.83203125" style="1" bestFit="1" customWidth="1"/>
    <col min="6" max="6" width="8.33203125" style="1" bestFit="1" customWidth="1"/>
    <col min="7" max="7" width="8.08203125" style="1" bestFit="1" customWidth="1"/>
    <col min="8" max="16384" width="8.6640625" style="1"/>
  </cols>
  <sheetData>
    <row r="1" spans="1:1" ht="13">
      <c r="A1" s="200" t="s">
        <v>621</v>
      </c>
    </row>
    <row r="23" spans="2:8" ht="62.5">
      <c r="B23" s="210" t="s">
        <v>563</v>
      </c>
      <c r="C23" s="211" t="s">
        <v>105</v>
      </c>
      <c r="D23" s="211" t="s">
        <v>107</v>
      </c>
      <c r="E23" s="211" t="s">
        <v>564</v>
      </c>
      <c r="F23" s="211" t="s">
        <v>106</v>
      </c>
      <c r="G23" s="211" t="s">
        <v>565</v>
      </c>
      <c r="H23" s="211" t="s">
        <v>80</v>
      </c>
    </row>
    <row r="24" spans="2:8">
      <c r="B24" s="212" t="s">
        <v>15</v>
      </c>
      <c r="C24" s="207">
        <v>3133</v>
      </c>
      <c r="D24" s="207">
        <v>0</v>
      </c>
      <c r="E24" s="207"/>
      <c r="F24" s="207">
        <v>1776</v>
      </c>
      <c r="G24" s="207">
        <v>25.6</v>
      </c>
      <c r="H24" s="207">
        <f t="shared" ref="H24:H29" si="0">SUM(C24:F24)</f>
        <v>4909</v>
      </c>
    </row>
    <row r="25" spans="2:8">
      <c r="B25" s="212" t="s">
        <v>14</v>
      </c>
      <c r="C25" s="207">
        <v>3205</v>
      </c>
      <c r="D25" s="207">
        <v>0</v>
      </c>
      <c r="E25" s="207"/>
      <c r="F25" s="207">
        <v>1782</v>
      </c>
      <c r="G25" s="207">
        <v>26.5</v>
      </c>
      <c r="H25" s="207">
        <f t="shared" si="0"/>
        <v>4987</v>
      </c>
    </row>
    <row r="26" spans="2:8">
      <c r="B26" s="212" t="s">
        <v>13</v>
      </c>
      <c r="C26" s="207">
        <v>3253</v>
      </c>
      <c r="D26" s="207">
        <v>0</v>
      </c>
      <c r="E26" s="207"/>
      <c r="F26" s="207">
        <v>1756</v>
      </c>
      <c r="G26" s="207">
        <v>26.9</v>
      </c>
      <c r="H26" s="207">
        <f t="shared" si="0"/>
        <v>5009</v>
      </c>
    </row>
    <row r="27" spans="2:8">
      <c r="B27" s="212" t="s">
        <v>12</v>
      </c>
      <c r="C27" s="207">
        <v>3307</v>
      </c>
      <c r="D27" s="207">
        <v>0</v>
      </c>
      <c r="E27" s="207"/>
      <c r="F27" s="207">
        <v>1710</v>
      </c>
      <c r="G27" s="207">
        <v>26.4</v>
      </c>
      <c r="H27" s="207">
        <f t="shared" si="0"/>
        <v>5017</v>
      </c>
    </row>
    <row r="28" spans="2:8">
      <c r="B28" s="212" t="s">
        <v>11</v>
      </c>
      <c r="C28" s="207">
        <v>3307</v>
      </c>
      <c r="D28" s="207">
        <v>13</v>
      </c>
      <c r="E28" s="207">
        <v>1</v>
      </c>
      <c r="F28" s="207">
        <v>1641</v>
      </c>
      <c r="G28" s="207">
        <v>24.6</v>
      </c>
      <c r="H28" s="207">
        <f t="shared" si="0"/>
        <v>4962</v>
      </c>
    </row>
    <row r="29" spans="2:8">
      <c r="B29" s="1" t="s">
        <v>10</v>
      </c>
      <c r="C29" s="207">
        <v>3214</v>
      </c>
      <c r="D29" s="207">
        <v>200</v>
      </c>
      <c r="E29" s="207">
        <v>1</v>
      </c>
      <c r="F29" s="207">
        <v>1617</v>
      </c>
      <c r="G29" s="207">
        <v>24.4</v>
      </c>
      <c r="H29" s="207">
        <f t="shared" si="0"/>
        <v>5032</v>
      </c>
    </row>
    <row r="30" spans="2:8">
      <c r="B30" s="1" t="s">
        <v>566</v>
      </c>
      <c r="C30" s="207">
        <v>3015</v>
      </c>
      <c r="D30" s="207">
        <v>594</v>
      </c>
      <c r="E30" s="207">
        <v>1</v>
      </c>
      <c r="F30" s="207">
        <v>1603</v>
      </c>
      <c r="G30" s="207">
        <v>25.7</v>
      </c>
      <c r="H30" s="207">
        <f t="shared" ref="H30:H37" si="1">SUM(C30:F30)</f>
        <v>5213</v>
      </c>
    </row>
    <row r="31" spans="2:8">
      <c r="B31" s="1" t="s">
        <v>567</v>
      </c>
      <c r="C31" s="207">
        <v>2628</v>
      </c>
      <c r="D31" s="207">
        <v>1056</v>
      </c>
      <c r="E31" s="207">
        <v>1</v>
      </c>
      <c r="F31" s="207">
        <v>1594</v>
      </c>
      <c r="G31" s="207">
        <v>26.1</v>
      </c>
      <c r="H31" s="207">
        <f t="shared" si="1"/>
        <v>5279</v>
      </c>
    </row>
    <row r="32" spans="2:8">
      <c r="B32" s="1" t="s">
        <v>568</v>
      </c>
      <c r="C32" s="207">
        <v>2126</v>
      </c>
      <c r="D32" s="207">
        <v>1558</v>
      </c>
      <c r="E32" s="207">
        <v>1</v>
      </c>
      <c r="F32" s="207">
        <v>1578</v>
      </c>
      <c r="G32" s="207">
        <v>27.3</v>
      </c>
      <c r="H32" s="207">
        <f t="shared" si="1"/>
        <v>5263</v>
      </c>
    </row>
    <row r="33" spans="2:8">
      <c r="B33" s="1" t="s">
        <v>569</v>
      </c>
      <c r="C33" s="207">
        <v>1789</v>
      </c>
      <c r="D33" s="207">
        <v>1919</v>
      </c>
      <c r="E33" s="207">
        <v>1</v>
      </c>
      <c r="F33" s="207">
        <v>1570</v>
      </c>
      <c r="G33" s="207">
        <v>29</v>
      </c>
      <c r="H33" s="207">
        <f t="shared" si="1"/>
        <v>5279</v>
      </c>
    </row>
    <row r="34" spans="2:8">
      <c r="B34" s="1" t="s">
        <v>570</v>
      </c>
      <c r="C34" s="207">
        <v>1387</v>
      </c>
      <c r="D34" s="207">
        <v>2080</v>
      </c>
      <c r="E34" s="207">
        <v>1</v>
      </c>
      <c r="F34" s="207">
        <v>1587</v>
      </c>
      <c r="G34" s="207">
        <v>31</v>
      </c>
      <c r="H34" s="207">
        <f t="shared" si="1"/>
        <v>5055</v>
      </c>
    </row>
    <row r="35" spans="2:8">
      <c r="B35" s="1" t="s">
        <v>571</v>
      </c>
      <c r="C35" s="207">
        <v>1232</v>
      </c>
      <c r="D35" s="207">
        <v>2356</v>
      </c>
      <c r="E35" s="207">
        <v>1</v>
      </c>
      <c r="F35" s="207">
        <v>1382</v>
      </c>
      <c r="G35" s="207">
        <v>32.799999999999997</v>
      </c>
      <c r="H35" s="207">
        <f t="shared" si="1"/>
        <v>4971</v>
      </c>
    </row>
    <row r="36" spans="2:8">
      <c r="B36" s="1" t="s">
        <v>572</v>
      </c>
      <c r="C36" s="207">
        <v>1206</v>
      </c>
      <c r="D36" s="207">
        <v>2552</v>
      </c>
      <c r="E36" s="207">
        <v>1</v>
      </c>
      <c r="F36" s="207">
        <v>1373</v>
      </c>
      <c r="G36" s="207">
        <v>34.200000000000003</v>
      </c>
      <c r="H36" s="207">
        <f t="shared" si="1"/>
        <v>5132</v>
      </c>
    </row>
    <row r="37" spans="2:8">
      <c r="B37" s="1" t="s">
        <v>573</v>
      </c>
      <c r="C37" s="207">
        <v>1214</v>
      </c>
      <c r="D37" s="207">
        <v>2858</v>
      </c>
      <c r="E37" s="207">
        <v>1</v>
      </c>
      <c r="F37" s="207">
        <v>1420</v>
      </c>
      <c r="G37" s="207">
        <v>34.4</v>
      </c>
      <c r="H37" s="207">
        <f t="shared" si="1"/>
        <v>5493</v>
      </c>
    </row>
    <row r="38" spans="2:8">
      <c r="B38" s="1" t="s">
        <v>574</v>
      </c>
      <c r="C38" s="207">
        <v>1237</v>
      </c>
      <c r="D38" s="207">
        <v>3186</v>
      </c>
      <c r="E38" s="207">
        <v>2</v>
      </c>
      <c r="F38" s="207">
        <v>1533</v>
      </c>
      <c r="G38" s="208">
        <v>41.4</v>
      </c>
      <c r="H38" s="207">
        <f>SUM(C38:G38)</f>
        <v>5999.4</v>
      </c>
    </row>
    <row r="39" spans="2:8">
      <c r="B39" s="213" t="s">
        <v>575</v>
      </c>
    </row>
    <row r="40" spans="2:8">
      <c r="B40" s="213" t="s">
        <v>576</v>
      </c>
      <c r="C40" s="207"/>
      <c r="D40" s="207"/>
      <c r="E40" s="207"/>
      <c r="G40" s="11">
        <f>(G38-G24)/G24</f>
        <v>0.61718749999999989</v>
      </c>
      <c r="H40" s="11">
        <f>(H38-H24)/H24</f>
        <v>0.22212263190059067</v>
      </c>
    </row>
    <row r="41" spans="2:8">
      <c r="B41" s="207"/>
    </row>
    <row r="42" spans="2:8">
      <c r="B42" s="210"/>
      <c r="C42" s="211"/>
      <c r="D42" s="211"/>
      <c r="E42" s="211"/>
      <c r="F42" s="211"/>
      <c r="G42" s="211"/>
    </row>
    <row r="43" spans="2:8">
      <c r="B43" s="212"/>
      <c r="C43" s="11"/>
      <c r="D43" s="11"/>
      <c r="E43" s="11"/>
      <c r="F43" s="11"/>
      <c r="G43" s="11"/>
    </row>
    <row r="44" spans="2:8">
      <c r="B44" s="212"/>
      <c r="C44" s="11"/>
      <c r="D44" s="11"/>
      <c r="E44" s="11"/>
      <c r="F44" s="11"/>
      <c r="G44" s="11"/>
    </row>
    <row r="45" spans="2:8">
      <c r="B45" s="212"/>
      <c r="C45" s="11"/>
      <c r="D45" s="11"/>
      <c r="E45" s="11"/>
      <c r="F45" s="11"/>
      <c r="G45" s="11"/>
    </row>
    <row r="46" spans="2:8">
      <c r="B46" s="212"/>
      <c r="C46" s="11"/>
      <c r="D46" s="11"/>
      <c r="E46" s="11"/>
      <c r="F46" s="11"/>
      <c r="G46" s="11"/>
    </row>
    <row r="47" spans="2:8">
      <c r="C47" s="11"/>
      <c r="D47" s="11"/>
      <c r="E47" s="11"/>
      <c r="F47" s="11"/>
      <c r="G47" s="11"/>
    </row>
    <row r="48" spans="2:8">
      <c r="C48" s="11"/>
      <c r="D48" s="11"/>
      <c r="E48" s="11"/>
      <c r="F48" s="11"/>
      <c r="G48" s="11"/>
    </row>
    <row r="49" spans="3:7">
      <c r="C49" s="11"/>
      <c r="D49" s="11"/>
      <c r="E49" s="11"/>
      <c r="F49" s="11"/>
      <c r="G49" s="11"/>
    </row>
    <row r="50" spans="3:7">
      <c r="C50" s="11"/>
      <c r="D50" s="11"/>
      <c r="E50" s="11"/>
      <c r="F50" s="11"/>
      <c r="G50" s="11"/>
    </row>
    <row r="51" spans="3:7">
      <c r="C51" s="11"/>
      <c r="D51" s="11"/>
      <c r="E51" s="11"/>
      <c r="F51" s="11"/>
      <c r="G51" s="11"/>
    </row>
    <row r="52" spans="3:7">
      <c r="C52" s="11"/>
      <c r="D52" s="11"/>
      <c r="E52" s="11"/>
      <c r="F52" s="11"/>
      <c r="G52" s="11"/>
    </row>
    <row r="53" spans="3:7">
      <c r="C53" s="11"/>
      <c r="D53" s="11"/>
      <c r="E53" s="11"/>
      <c r="F53" s="11"/>
      <c r="G53" s="11"/>
    </row>
    <row r="54" spans="3:7">
      <c r="C54" s="11"/>
      <c r="D54" s="11"/>
      <c r="E54" s="11"/>
      <c r="F54" s="11"/>
      <c r="G54" s="11"/>
    </row>
    <row r="55" spans="3:7">
      <c r="C55" s="11"/>
      <c r="D55" s="11"/>
      <c r="E55" s="11"/>
      <c r="F55" s="11"/>
      <c r="G55" s="11"/>
    </row>
    <row r="56" spans="3:7">
      <c r="C56" s="214"/>
      <c r="D56" s="214"/>
      <c r="E56" s="214"/>
      <c r="F56" s="214"/>
      <c r="G56" s="214"/>
    </row>
  </sheetData>
  <hyperlinks>
    <hyperlink ref="B40" r:id="rId1" display="https://stat-xplore.dwp.gov.uk/webapi/jsf/login.xhtml" xr:uid="{8E713273-08AE-4105-87B0-9A3AC7BE210B}"/>
    <hyperlink ref="B39" r:id="rId2" display="https://www.gov.uk/government/publications/benefit-expenditure-and-caseload-tables-2024" xr:uid="{5BF479F7-125A-48FB-A25D-F1D60877C2EB}"/>
  </hyperlinks>
  <pageMargins left="0.7" right="0.7" top="0.75" bottom="0.75" header="0.3" footer="0.3"/>
  <pageSetup paperSize="9" orientation="portrait" horizontalDpi="300" verticalDpi="0" r:id="rId3"/>
  <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4EC2C-077A-407B-B04A-ACCA4A7A363A}">
  <dimension ref="A1:K63"/>
  <sheetViews>
    <sheetView workbookViewId="0">
      <selection activeCell="N12" sqref="N12"/>
    </sheetView>
  </sheetViews>
  <sheetFormatPr defaultRowHeight="12.5"/>
  <cols>
    <col min="1" max="5" width="8.6640625" style="1"/>
    <col min="6" max="6" width="8.08203125" style="1" customWidth="1"/>
    <col min="7" max="7" width="9.25" style="1" bestFit="1" customWidth="1"/>
    <col min="8" max="8" width="13.33203125" style="1" bestFit="1" customWidth="1"/>
    <col min="9" max="16384" width="8.6640625" style="1"/>
  </cols>
  <sheetData>
    <row r="1" spans="1:1" ht="13">
      <c r="A1" s="26" t="s">
        <v>622</v>
      </c>
    </row>
    <row r="24" spans="3:11">
      <c r="C24" s="1" t="s">
        <v>577</v>
      </c>
    </row>
    <row r="25" spans="3:11">
      <c r="C25" s="1">
        <v>1457.1</v>
      </c>
      <c r="F25" s="1" t="s">
        <v>423</v>
      </c>
      <c r="G25" s="1" t="s">
        <v>578</v>
      </c>
      <c r="H25" s="1" t="s">
        <v>579</v>
      </c>
      <c r="J25" s="1" t="s">
        <v>577</v>
      </c>
      <c r="K25" s="1" t="s">
        <v>579</v>
      </c>
    </row>
    <row r="26" spans="3:11">
      <c r="C26" s="1">
        <v>1548.6</v>
      </c>
      <c r="F26" s="206" t="s">
        <v>15</v>
      </c>
      <c r="G26" s="207">
        <f>AVERAGE(C25:C26)</f>
        <v>1502.85</v>
      </c>
      <c r="H26" s="110">
        <v>14.8</v>
      </c>
    </row>
    <row r="27" spans="3:11">
      <c r="C27" s="1">
        <v>1463.5</v>
      </c>
      <c r="F27" s="206" t="s">
        <v>14</v>
      </c>
      <c r="G27" s="207">
        <f t="shared" ref="G27:G40" si="0">AVERAGE(C26:C27)</f>
        <v>1506.05</v>
      </c>
      <c r="H27" s="110">
        <v>15.2</v>
      </c>
      <c r="J27" s="11">
        <f>(G27-G26)/G26</f>
        <v>2.1292876867285795E-3</v>
      </c>
      <c r="K27" s="11">
        <f>(H27-H26)/H26</f>
        <v>2.7027027027026931E-2</v>
      </c>
    </row>
    <row r="28" spans="3:11">
      <c r="C28" s="1">
        <v>1606.7</v>
      </c>
      <c r="F28" s="206" t="s">
        <v>13</v>
      </c>
      <c r="G28" s="207">
        <f t="shared" si="0"/>
        <v>1535.1</v>
      </c>
      <c r="H28" s="110">
        <v>16.100000000000001</v>
      </c>
      <c r="J28" s="11">
        <f t="shared" ref="J28:K39" si="1">(G28-G27)/G27</f>
        <v>1.9288868231466388E-2</v>
      </c>
      <c r="K28" s="11">
        <f t="shared" si="1"/>
        <v>5.9210526315789616E-2</v>
      </c>
    </row>
    <row r="29" spans="3:11">
      <c r="C29" s="1">
        <v>1530.6</v>
      </c>
      <c r="F29" s="206" t="s">
        <v>12</v>
      </c>
      <c r="G29" s="207">
        <f t="shared" si="0"/>
        <v>1568.65</v>
      </c>
      <c r="H29" s="110">
        <v>17.8</v>
      </c>
      <c r="J29" s="11">
        <f t="shared" si="1"/>
        <v>2.1855253729398855E-2</v>
      </c>
      <c r="K29" s="11">
        <f t="shared" si="1"/>
        <v>0.10559006211180119</v>
      </c>
    </row>
    <row r="30" spans="3:11">
      <c r="C30" s="1">
        <v>1152.5</v>
      </c>
      <c r="F30" s="206" t="s">
        <v>11</v>
      </c>
      <c r="G30" s="207">
        <f t="shared" si="0"/>
        <v>1341.55</v>
      </c>
      <c r="H30" s="110">
        <v>19.399999999999999</v>
      </c>
      <c r="J30" s="11">
        <f t="shared" si="1"/>
        <v>-0.14477416887132255</v>
      </c>
      <c r="K30" s="11">
        <f t="shared" si="1"/>
        <v>8.9887640449438075E-2</v>
      </c>
    </row>
    <row r="31" spans="3:11">
      <c r="C31" s="1">
        <v>814.8</v>
      </c>
      <c r="F31" s="206" t="s">
        <v>10</v>
      </c>
      <c r="G31" s="207">
        <f t="shared" si="0"/>
        <v>983.65</v>
      </c>
      <c r="H31" s="110">
        <v>25.2</v>
      </c>
      <c r="J31" s="11">
        <f t="shared" si="1"/>
        <v>-0.26678096231970483</v>
      </c>
      <c r="K31" s="11">
        <f t="shared" si="1"/>
        <v>0.2989690721649485</v>
      </c>
    </row>
    <row r="32" spans="3:11">
      <c r="C32" s="1">
        <v>766.5</v>
      </c>
      <c r="F32" s="206" t="s">
        <v>9</v>
      </c>
      <c r="G32" s="207">
        <f t="shared" si="0"/>
        <v>790.65</v>
      </c>
      <c r="H32" s="110">
        <v>25.8</v>
      </c>
      <c r="J32" s="11">
        <f t="shared" si="1"/>
        <v>-0.19620800081329742</v>
      </c>
      <c r="K32" s="11">
        <f t="shared" si="1"/>
        <v>2.3809523809523867E-2</v>
      </c>
    </row>
    <row r="33" spans="3:11">
      <c r="C33" s="1">
        <v>782.8</v>
      </c>
      <c r="F33" s="206" t="s">
        <v>8</v>
      </c>
      <c r="G33" s="207">
        <f t="shared" si="0"/>
        <v>774.65</v>
      </c>
      <c r="H33" s="110">
        <v>25.1</v>
      </c>
      <c r="J33" s="11">
        <f t="shared" si="1"/>
        <v>-2.0236514260418642E-2</v>
      </c>
      <c r="K33" s="11">
        <f t="shared" si="1"/>
        <v>-2.7131782945736406E-2</v>
      </c>
    </row>
    <row r="34" spans="3:11">
      <c r="C34" s="1">
        <v>854.6</v>
      </c>
      <c r="F34" s="206" t="s">
        <v>7</v>
      </c>
      <c r="G34" s="207">
        <f t="shared" si="0"/>
        <v>818.7</v>
      </c>
      <c r="H34" s="110">
        <v>26.7</v>
      </c>
      <c r="J34" s="11">
        <f t="shared" si="1"/>
        <v>5.6864390369844538E-2</v>
      </c>
      <c r="K34" s="11">
        <f t="shared" si="1"/>
        <v>6.3745019920318641E-2</v>
      </c>
    </row>
    <row r="35" spans="3:11">
      <c r="C35" s="1">
        <v>1059.4000000000001</v>
      </c>
      <c r="F35" s="206" t="s">
        <v>6</v>
      </c>
      <c r="G35" s="207">
        <f t="shared" si="0"/>
        <v>957</v>
      </c>
      <c r="H35" s="110">
        <v>30.7</v>
      </c>
      <c r="J35" s="11">
        <f t="shared" si="1"/>
        <v>0.16892634664712342</v>
      </c>
      <c r="K35" s="11">
        <f t="shared" si="1"/>
        <v>0.14981273408239701</v>
      </c>
    </row>
    <row r="36" spans="3:11">
      <c r="C36" s="1">
        <v>1229.9000000000001</v>
      </c>
      <c r="F36" s="206" t="s">
        <v>5</v>
      </c>
      <c r="G36" s="207">
        <f t="shared" si="0"/>
        <v>1144.6500000000001</v>
      </c>
      <c r="H36" s="110">
        <v>38.6</v>
      </c>
      <c r="J36" s="11">
        <f t="shared" si="1"/>
        <v>0.19608150470219446</v>
      </c>
      <c r="K36" s="11">
        <f t="shared" si="1"/>
        <v>0.25732899022801309</v>
      </c>
    </row>
    <row r="37" spans="3:11">
      <c r="C37" s="1">
        <v>2632.9</v>
      </c>
      <c r="F37" s="206" t="s">
        <v>4</v>
      </c>
      <c r="G37" s="207">
        <f t="shared" si="0"/>
        <v>1931.4</v>
      </c>
      <c r="H37" s="110">
        <v>59.3</v>
      </c>
      <c r="J37" s="11">
        <f t="shared" si="1"/>
        <v>0.68732800419342155</v>
      </c>
      <c r="K37" s="11">
        <f t="shared" si="1"/>
        <v>0.53626943005181338</v>
      </c>
    </row>
    <row r="38" spans="3:11">
      <c r="C38" s="1">
        <v>1674</v>
      </c>
      <c r="F38" s="206" t="s">
        <v>3</v>
      </c>
      <c r="G38" s="207">
        <f t="shared" si="0"/>
        <v>2153.4499999999998</v>
      </c>
      <c r="H38" s="110">
        <v>60</v>
      </c>
      <c r="J38" s="11">
        <f t="shared" si="1"/>
        <v>0.11496841669255448</v>
      </c>
      <c r="K38" s="11">
        <f t="shared" si="1"/>
        <v>1.1804384485666152E-2</v>
      </c>
    </row>
    <row r="39" spans="3:11">
      <c r="C39" s="1">
        <v>1524.8</v>
      </c>
      <c r="F39" s="206" t="s">
        <v>2</v>
      </c>
      <c r="G39" s="207">
        <f t="shared" si="0"/>
        <v>1599.4</v>
      </c>
      <c r="H39" s="110">
        <v>61.3</v>
      </c>
      <c r="J39" s="11">
        <f t="shared" si="1"/>
        <v>-0.2572848220297661</v>
      </c>
      <c r="K39" s="11">
        <f t="shared" si="1"/>
        <v>2.1666666666666619E-2</v>
      </c>
    </row>
    <row r="40" spans="3:11">
      <c r="C40" s="1">
        <v>1581.5</v>
      </c>
      <c r="F40" s="206" t="s">
        <v>1</v>
      </c>
      <c r="G40" s="207">
        <f t="shared" si="0"/>
        <v>1553.15</v>
      </c>
      <c r="H40" s="208">
        <v>71.7</v>
      </c>
      <c r="J40" s="11">
        <f>(G40-G39)/G39</f>
        <v>-2.8917093910216331E-2</v>
      </c>
      <c r="K40" s="11">
        <f>(H40-H39)/H39</f>
        <v>0.16965742251223501</v>
      </c>
    </row>
    <row r="42" spans="3:11">
      <c r="C42" s="209" t="s">
        <v>580</v>
      </c>
      <c r="G42" s="22"/>
      <c r="H42" s="22"/>
    </row>
    <row r="43" spans="3:11">
      <c r="G43" s="22"/>
      <c r="H43" s="22"/>
    </row>
    <row r="44" spans="3:11">
      <c r="G44" s="22"/>
      <c r="H44" s="22"/>
    </row>
    <row r="45" spans="3:11">
      <c r="G45" s="22"/>
      <c r="H45" s="22"/>
    </row>
    <row r="46" spans="3:11">
      <c r="G46" s="22"/>
      <c r="H46" s="22"/>
    </row>
    <row r="47" spans="3:11">
      <c r="G47" s="22"/>
      <c r="H47" s="22"/>
    </row>
    <row r="48" spans="3:11">
      <c r="G48" s="22"/>
      <c r="H48" s="22"/>
    </row>
    <row r="49" spans="7:8">
      <c r="G49" s="22"/>
      <c r="H49" s="22"/>
    </row>
    <row r="50" spans="7:8">
      <c r="G50" s="22"/>
      <c r="H50" s="22"/>
    </row>
    <row r="51" spans="7:8">
      <c r="G51" s="22"/>
      <c r="H51" s="22"/>
    </row>
    <row r="52" spans="7:8">
      <c r="G52" s="22"/>
      <c r="H52" s="22"/>
    </row>
    <row r="53" spans="7:8">
      <c r="G53" s="22"/>
      <c r="H53" s="22"/>
    </row>
    <row r="54" spans="7:8">
      <c r="G54" s="22"/>
      <c r="H54" s="22"/>
    </row>
    <row r="55" spans="7:8">
      <c r="G55" s="22"/>
      <c r="H55" s="22"/>
    </row>
    <row r="56" spans="7:8">
      <c r="G56" s="22"/>
      <c r="H56" s="22"/>
    </row>
    <row r="57" spans="7:8">
      <c r="G57" s="22"/>
      <c r="H57" s="22"/>
    </row>
    <row r="58" spans="7:8">
      <c r="G58" s="22"/>
      <c r="H58" s="22"/>
    </row>
    <row r="59" spans="7:8">
      <c r="G59" s="22"/>
      <c r="H59" s="22"/>
    </row>
    <row r="60" spans="7:8">
      <c r="G60" s="22"/>
      <c r="H60" s="22"/>
    </row>
    <row r="61" spans="7:8">
      <c r="G61" s="22"/>
      <c r="H61" s="22"/>
    </row>
    <row r="62" spans="7:8">
      <c r="G62" s="22"/>
      <c r="H62" s="22"/>
    </row>
    <row r="63" spans="7:8">
      <c r="G63" s="22"/>
      <c r="H63" s="22"/>
    </row>
  </sheetData>
  <hyperlinks>
    <hyperlink ref="C42" r:id="rId1" display="https://www.ons.gov.uk/employmentandlabourmarket/peoplenotinwork/outofworkbenefits" xr:uid="{5AA65B65-6254-4875-BBF0-4C61BB24EE5F}"/>
  </hyperlinks>
  <pageMargins left="0.7" right="0.7" top="0.75" bottom="0.75" header="0.3" footer="0.3"/>
  <pageSetup paperSize="9" orientation="portrait" horizontalDpi="300" verticalDpi="0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A1:S64"/>
  <sheetViews>
    <sheetView workbookViewId="0">
      <selection activeCell="J40" sqref="J40"/>
    </sheetView>
  </sheetViews>
  <sheetFormatPr defaultColWidth="9" defaultRowHeight="12.5"/>
  <cols>
    <col min="1" max="1" width="9" style="2" customWidth="1"/>
    <col min="2" max="3" width="9.08203125" style="2" bestFit="1" customWidth="1"/>
    <col min="4" max="6" width="10" style="2" bestFit="1" customWidth="1"/>
    <col min="7" max="12" width="9" style="2"/>
    <col min="13" max="13" width="8.08203125" style="2" bestFit="1" customWidth="1"/>
    <col min="14" max="14" width="9.08203125" style="2" bestFit="1" customWidth="1"/>
    <col min="15" max="16384" width="9" style="2"/>
  </cols>
  <sheetData>
    <row r="1" spans="1:17" ht="13">
      <c r="A1" s="147" t="s">
        <v>623</v>
      </c>
    </row>
    <row r="12" spans="1:17">
      <c r="K12" s="263"/>
      <c r="L12" s="263"/>
      <c r="M12" s="263"/>
      <c r="N12" s="263"/>
      <c r="O12" s="263"/>
      <c r="P12" s="263"/>
      <c r="Q12" s="263"/>
    </row>
    <row r="13" spans="1:17">
      <c r="K13" s="263"/>
      <c r="L13" s="263"/>
      <c r="M13" s="263"/>
      <c r="N13" s="263"/>
      <c r="O13" s="263"/>
      <c r="P13" s="263"/>
      <c r="Q13" s="263"/>
    </row>
    <row r="14" spans="1:17">
      <c r="K14" s="263"/>
      <c r="L14" s="263"/>
      <c r="M14" s="263"/>
      <c r="N14" s="263"/>
      <c r="O14" s="263"/>
      <c r="P14" s="263"/>
      <c r="Q14" s="263"/>
    </row>
    <row r="15" spans="1:17">
      <c r="K15" s="263"/>
      <c r="L15" s="263"/>
      <c r="M15" s="263"/>
      <c r="N15" s="263"/>
      <c r="O15" s="263"/>
      <c r="P15" s="263"/>
      <c r="Q15" s="263"/>
    </row>
    <row r="16" spans="1:17">
      <c r="K16" s="263"/>
      <c r="L16" s="263"/>
      <c r="M16" s="263"/>
      <c r="N16" s="263"/>
      <c r="O16" s="263"/>
      <c r="P16" s="263"/>
      <c r="Q16" s="263"/>
    </row>
    <row r="17" spans="1:19">
      <c r="K17" s="263"/>
      <c r="L17" s="263"/>
      <c r="M17" s="263"/>
      <c r="N17" s="263"/>
      <c r="O17" s="263"/>
      <c r="P17" s="263"/>
      <c r="Q17" s="263"/>
    </row>
    <row r="22" spans="1:19" ht="13">
      <c r="A22" s="148" t="s">
        <v>342</v>
      </c>
    </row>
    <row r="23" spans="1:19" ht="13">
      <c r="A23" s="149"/>
      <c r="B23" s="150" t="str">
        <f>'Data for charts 09-24'!$B$16</f>
        <v>2009-10</v>
      </c>
      <c r="C23" s="150" t="str">
        <f>'Data for charts 09-24'!$B$15</f>
        <v>2010-11</v>
      </c>
      <c r="D23" s="150" t="str">
        <f>'Data for charts 09-24'!$B$14</f>
        <v>2011-12</v>
      </c>
      <c r="E23" s="150" t="str">
        <f>'Data for charts 09-24'!$B$13</f>
        <v>2012-13</v>
      </c>
      <c r="F23" s="150" t="str">
        <f>'Data for charts 09-24'!$B$12</f>
        <v>2013-14</v>
      </c>
      <c r="G23" s="150" t="str">
        <f>'Data for charts 09-24'!$B$11</f>
        <v>2014-15</v>
      </c>
      <c r="H23" s="150" t="str">
        <f>'Data for charts 09-24'!$B$10</f>
        <v>2015-16</v>
      </c>
      <c r="I23" s="150" t="str">
        <f>'Data for charts 09-24'!$B$9</f>
        <v>2016-17</v>
      </c>
      <c r="J23" s="150" t="str">
        <f>'Data for charts 09-24'!$B$8</f>
        <v>2017-18</v>
      </c>
      <c r="K23" s="150" t="str">
        <f>'Data for charts 09-24'!$B$7</f>
        <v>2018-19</v>
      </c>
      <c r="L23" s="150" t="str">
        <f>'Data for charts 09-24'!$B$6</f>
        <v>2019-20</v>
      </c>
      <c r="M23" s="150" t="str">
        <f>'Data for charts 09-24'!$B$5</f>
        <v>2020-21</v>
      </c>
      <c r="N23" s="150" t="str">
        <f>'Data for charts 09-24'!$B$4</f>
        <v>2021-22</v>
      </c>
      <c r="O23" s="150" t="str">
        <f>'Data for charts 09-24'!$B$3</f>
        <v>2022-23</v>
      </c>
      <c r="P23" s="150" t="s">
        <v>1</v>
      </c>
    </row>
    <row r="24" spans="1:19">
      <c r="A24" s="149" t="s">
        <v>124</v>
      </c>
      <c r="B24" s="149">
        <f>'Data for charts 09-24'!B170</f>
        <v>151.19999999999999</v>
      </c>
      <c r="C24" s="149">
        <f>'Data for charts 09-24'!C170</f>
        <v>151.80000000000001</v>
      </c>
      <c r="D24" s="149">
        <f>'Data for charts 09-24'!D170</f>
        <v>147.69999999999999</v>
      </c>
      <c r="E24" s="149">
        <f>'Data for charts 09-24'!E170</f>
        <v>147.6</v>
      </c>
      <c r="F24" s="149">
        <f>'Data for charts 09-24'!F170</f>
        <v>148.19999999999999</v>
      </c>
      <c r="G24" s="149">
        <f>'Data for charts 09-24'!G170</f>
        <v>148.5</v>
      </c>
      <c r="H24" s="149">
        <f>'Data for charts 09-24'!H170</f>
        <v>149.6</v>
      </c>
      <c r="I24" s="149">
        <f>'Data for charts 09-24'!I170</f>
        <v>151</v>
      </c>
      <c r="J24" s="149">
        <f>'Data for charts 09-24'!J170</f>
        <v>152.80000000000001</v>
      </c>
      <c r="K24" s="149">
        <f>'Data for charts 09-24'!K170</f>
        <v>159.4</v>
      </c>
      <c r="L24" s="149">
        <f>'Data for charts 09-24'!L170</f>
        <v>168.2</v>
      </c>
      <c r="M24" s="149">
        <f>'Data for charts 09-24'!M170</f>
        <v>171</v>
      </c>
      <c r="N24" s="149">
        <f>'Data for charts 09-24'!N170</f>
        <v>175.6</v>
      </c>
      <c r="O24" s="149">
        <f>'Data for charts 09-24'!O170</f>
        <v>188.1</v>
      </c>
      <c r="P24" s="149">
        <v>199.1</v>
      </c>
      <c r="Q24" s="151">
        <f>(P24-O24)/O24</f>
        <v>5.8479532163742694E-2</v>
      </c>
      <c r="R24" s="2">
        <f>P24-O24</f>
        <v>11</v>
      </c>
      <c r="S24" s="151">
        <f>(P24-B24)/B24</f>
        <v>0.31679894179894186</v>
      </c>
    </row>
    <row r="25" spans="1:19">
      <c r="A25" s="149" t="s">
        <v>581</v>
      </c>
      <c r="B25" s="149">
        <f>SUM('Data for charts 09-24'!B173:B176)</f>
        <v>27.7</v>
      </c>
      <c r="C25" s="149">
        <f>SUM('Data for charts 09-24'!C173:C176)</f>
        <v>40.1</v>
      </c>
      <c r="D25" s="149">
        <f>SUM('Data for charts 09-24'!D173:D176)</f>
        <v>34.300000000000004</v>
      </c>
      <c r="E25" s="149">
        <f>SUM('Data for charts 09-24'!E173:E176)</f>
        <v>35.199999999999996</v>
      </c>
      <c r="F25" s="152">
        <f>SUM('Data for charts 09-24'!F173:F176)</f>
        <v>39</v>
      </c>
      <c r="G25" s="152">
        <f>SUM('Data for charts 09-24'!G173:G176)</f>
        <v>37</v>
      </c>
      <c r="H25" s="152">
        <f>SUM('Data for charts 09-24'!H173:H176)</f>
        <v>43.7</v>
      </c>
      <c r="I25" s="152">
        <f>SUM('Data for charts 09-24'!I173:I176)</f>
        <v>40.1</v>
      </c>
      <c r="J25" s="152">
        <f>SUM('Data for charts 09-24'!J173:J176)</f>
        <v>63</v>
      </c>
      <c r="K25" s="152">
        <f>SUM('Data for charts 09-24'!K173:K176)</f>
        <v>96.26</v>
      </c>
      <c r="L25" s="152">
        <f>SUM('Data for charts 09-24'!L173:L176)</f>
        <v>67.100000000000009</v>
      </c>
      <c r="M25" s="152">
        <f>SUM('Data for charts 09-24'!M173:M176)</f>
        <v>82.5</v>
      </c>
      <c r="N25" s="152">
        <f>SUM('Data for charts 09-24'!N173:N176)</f>
        <v>108.89999999999999</v>
      </c>
      <c r="O25" s="152">
        <f>SUM('Data for charts 09-24'!O173:O176)</f>
        <v>118.59999999999998</v>
      </c>
      <c r="P25" s="152">
        <f>P26-P24</f>
        <v>41.400000000000006</v>
      </c>
      <c r="Q25" s="151">
        <f>(P25-O25)/O25</f>
        <v>-0.6509274873524451</v>
      </c>
      <c r="R25" s="2">
        <f>P25-O25</f>
        <v>-77.199999999999974</v>
      </c>
    </row>
    <row r="26" spans="1:19">
      <c r="A26" s="149" t="s">
        <v>80</v>
      </c>
      <c r="B26" s="149">
        <f>SUM(B24:B25)</f>
        <v>178.89999999999998</v>
      </c>
      <c r="C26" s="149">
        <f t="shared" ref="C26:O26" si="0">SUM(C24:C25)</f>
        <v>191.9</v>
      </c>
      <c r="D26" s="149">
        <f t="shared" si="0"/>
        <v>182</v>
      </c>
      <c r="E26" s="149">
        <f t="shared" si="0"/>
        <v>182.79999999999998</v>
      </c>
      <c r="F26" s="149">
        <f t="shared" si="0"/>
        <v>187.2</v>
      </c>
      <c r="G26" s="149">
        <f t="shared" si="0"/>
        <v>185.5</v>
      </c>
      <c r="H26" s="149">
        <f t="shared" si="0"/>
        <v>193.3</v>
      </c>
      <c r="I26" s="149">
        <f t="shared" si="0"/>
        <v>191.1</v>
      </c>
      <c r="J26" s="149">
        <f t="shared" si="0"/>
        <v>215.8</v>
      </c>
      <c r="K26" s="149">
        <f t="shared" si="0"/>
        <v>255.66000000000003</v>
      </c>
      <c r="L26" s="149">
        <f t="shared" si="0"/>
        <v>235.3</v>
      </c>
      <c r="M26" s="149">
        <f t="shared" si="0"/>
        <v>253.5</v>
      </c>
      <c r="N26" s="149">
        <f t="shared" si="0"/>
        <v>284.5</v>
      </c>
      <c r="O26" s="149">
        <f t="shared" si="0"/>
        <v>306.7</v>
      </c>
      <c r="P26" s="149">
        <v>240.5</v>
      </c>
      <c r="Q26" s="151">
        <f>(P26-O26)/O26</f>
        <v>-0.21584610368438209</v>
      </c>
      <c r="R26" s="2">
        <f>P26-O26</f>
        <v>-66.199999999999989</v>
      </c>
    </row>
    <row r="27" spans="1:19">
      <c r="F27" s="153"/>
      <c r="G27" s="153"/>
      <c r="H27" s="153"/>
      <c r="I27" s="153"/>
      <c r="J27" s="153"/>
      <c r="K27" s="153"/>
      <c r="P27" s="151">
        <f>(P26-O26)/O26</f>
        <v>-0.21584610368438209</v>
      </c>
    </row>
    <row r="29" spans="1:19">
      <c r="A29" s="149" t="s">
        <v>133</v>
      </c>
      <c r="B29" s="154">
        <f>'Data for charts 09-24'!B184/1000</f>
        <v>4911.3680000000004</v>
      </c>
      <c r="C29" s="154">
        <f>'Data for charts 09-24'!C184/1000</f>
        <v>4741.2860000000001</v>
      </c>
      <c r="D29" s="154">
        <f>'Data for charts 09-24'!D184/1000</f>
        <v>4719.1409999999996</v>
      </c>
      <c r="E29" s="154">
        <f>'Data for charts 09-24'!E184/1000</f>
        <v>4615.4589999999998</v>
      </c>
      <c r="F29" s="154">
        <f>'Data for charts 09-24'!F184/1000</f>
        <v>4454.4549999999999</v>
      </c>
      <c r="G29" s="154">
        <f>'Data for charts 09-24'!G184/1000</f>
        <v>4434.1090000000004</v>
      </c>
      <c r="H29" s="154">
        <f>'Data for charts 09-24'!H184/1000</f>
        <v>4461.7650000000003</v>
      </c>
      <c r="I29" s="154">
        <f>'Data for charts 09-24'!I184/1000</f>
        <v>4406.6049999999996</v>
      </c>
      <c r="J29" s="154">
        <f>'Data for charts 09-24'!J184/1000</f>
        <v>4369.7740000000003</v>
      </c>
      <c r="K29" s="154">
        <f>4430154/1000</f>
        <v>4430.1540000000005</v>
      </c>
      <c r="L29" s="154">
        <f>'Data for charts 09-24'!L184/1000</f>
        <v>4512.1090000000004</v>
      </c>
      <c r="M29" s="154">
        <f>'Data for charts 09-24'!M184/1000</f>
        <v>4337.0969999999998</v>
      </c>
      <c r="N29" s="154">
        <f>'Data for charts 09-24'!N184/1000</f>
        <v>4380.107</v>
      </c>
      <c r="O29" s="154">
        <f>'Data for charts 09-24'!O184/1000</f>
        <v>4421.9399999999996</v>
      </c>
      <c r="P29" s="154">
        <v>4470</v>
      </c>
      <c r="S29" s="151">
        <f>(P29-B29)/B29</f>
        <v>-8.986661150213146E-2</v>
      </c>
    </row>
    <row r="30" spans="1:19">
      <c r="P30" s="151">
        <f>(P29-O29)/O29</f>
        <v>1.0868532815913469E-2</v>
      </c>
    </row>
    <row r="31" spans="1:19">
      <c r="G31" s="155"/>
    </row>
    <row r="32" spans="1:19">
      <c r="C32" s="151">
        <f t="shared" ref="C32:P32" si="1">(C24-B24)/B24</f>
        <v>3.968253968254119E-3</v>
      </c>
      <c r="D32" s="151">
        <f t="shared" si="1"/>
        <v>-2.7009222661396722E-2</v>
      </c>
      <c r="E32" s="151">
        <f t="shared" si="1"/>
        <v>-6.7704807041296092E-4</v>
      </c>
      <c r="F32" s="151">
        <f t="shared" si="1"/>
        <v>4.0650406504064655E-3</v>
      </c>
      <c r="G32" s="151">
        <f t="shared" si="1"/>
        <v>2.0242914979757853E-3</v>
      </c>
      <c r="H32" s="151">
        <f t="shared" si="1"/>
        <v>7.4074074074073695E-3</v>
      </c>
      <c r="I32" s="151">
        <f t="shared" si="1"/>
        <v>9.3582887700535151E-3</v>
      </c>
      <c r="J32" s="151">
        <f t="shared" si="1"/>
        <v>1.1920529801324579E-2</v>
      </c>
      <c r="K32" s="151">
        <f t="shared" si="1"/>
        <v>4.3193717277486873E-2</v>
      </c>
      <c r="L32" s="151">
        <f t="shared" si="1"/>
        <v>5.5207026348807919E-2</v>
      </c>
      <c r="M32" s="151">
        <f t="shared" si="1"/>
        <v>1.6646848989298524E-2</v>
      </c>
      <c r="N32" s="151">
        <f t="shared" si="1"/>
        <v>2.6900584795321605E-2</v>
      </c>
      <c r="O32" s="151">
        <f t="shared" si="1"/>
        <v>7.1184510250569474E-2</v>
      </c>
      <c r="P32" s="151">
        <f t="shared" si="1"/>
        <v>5.8479532163742694E-2</v>
      </c>
    </row>
    <row r="33" spans="7:7">
      <c r="G33" s="156"/>
    </row>
    <row r="35" spans="7:7">
      <c r="G35" s="155"/>
    </row>
    <row r="61" spans="6:8">
      <c r="H61" s="157">
        <v>0</v>
      </c>
    </row>
    <row r="64" spans="6:8">
      <c r="F64" s="2">
        <v>10.924954</v>
      </c>
      <c r="G64" s="2">
        <v>9.9370250000000002</v>
      </c>
      <c r="H64" s="2">
        <f>F64-G64</f>
        <v>0.98792899999999939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75BC6-7467-45F9-A172-98924860FDDB}">
  <dimension ref="A1:V6"/>
  <sheetViews>
    <sheetView workbookViewId="0"/>
  </sheetViews>
  <sheetFormatPr defaultRowHeight="12.5" outlineLevelRow="1"/>
  <cols>
    <col min="1" max="1" width="28.58203125" style="1" customWidth="1"/>
    <col min="2" max="2" width="8.83203125" style="1" customWidth="1"/>
    <col min="3" max="16384" width="8.6640625" style="1"/>
  </cols>
  <sheetData>
    <row r="1" spans="1:22" ht="13">
      <c r="A1" s="26" t="s">
        <v>624</v>
      </c>
    </row>
    <row r="2" spans="1:22" ht="13.5" thickBot="1">
      <c r="A2" s="26"/>
    </row>
    <row r="3" spans="1:22" ht="13" outlineLevel="1">
      <c r="A3" s="32"/>
      <c r="B3" s="33" t="s">
        <v>15</v>
      </c>
      <c r="C3" s="33" t="s">
        <v>14</v>
      </c>
      <c r="D3" s="33" t="s">
        <v>13</v>
      </c>
      <c r="E3" s="33" t="s">
        <v>12</v>
      </c>
      <c r="F3" s="33" t="s">
        <v>11</v>
      </c>
      <c r="G3" s="33" t="s">
        <v>10</v>
      </c>
      <c r="H3" s="33" t="s">
        <v>9</v>
      </c>
      <c r="I3" s="33" t="s">
        <v>8</v>
      </c>
      <c r="J3" s="33" t="s">
        <v>7</v>
      </c>
      <c r="K3" s="33" t="s">
        <v>6</v>
      </c>
      <c r="L3" s="33" t="s">
        <v>5</v>
      </c>
      <c r="M3" s="33" t="s">
        <v>4</v>
      </c>
      <c r="N3" s="33" t="s">
        <v>3</v>
      </c>
      <c r="O3" s="33" t="s">
        <v>2</v>
      </c>
      <c r="P3" s="12" t="s">
        <v>1</v>
      </c>
      <c r="T3" s="12"/>
      <c r="U3" s="12" t="s">
        <v>17</v>
      </c>
      <c r="V3" s="12" t="s">
        <v>17</v>
      </c>
    </row>
    <row r="4" spans="1:22" ht="13" outlineLevel="1">
      <c r="A4" s="64" t="s">
        <v>52</v>
      </c>
      <c r="B4" s="1">
        <v>179.7</v>
      </c>
      <c r="C4" s="10">
        <v>193.1</v>
      </c>
      <c r="D4" s="10">
        <v>183.2</v>
      </c>
      <c r="E4" s="10">
        <v>183.6</v>
      </c>
      <c r="F4" s="10">
        <v>187.8</v>
      </c>
      <c r="G4" s="10">
        <v>185.5</v>
      </c>
      <c r="H4" s="10">
        <v>193.3</v>
      </c>
      <c r="I4" s="10">
        <v>191.1</v>
      </c>
      <c r="J4" s="10">
        <v>215.8</v>
      </c>
      <c r="K4" s="46">
        <v>255.7</v>
      </c>
      <c r="L4" s="65">
        <v>235.3</v>
      </c>
      <c r="M4" s="36">
        <v>253.5</v>
      </c>
      <c r="N4" s="36">
        <v>284.5</v>
      </c>
      <c r="O4" s="36">
        <v>306.7</v>
      </c>
      <c r="P4" s="36">
        <v>240.5</v>
      </c>
    </row>
    <row r="5" spans="1:22" ht="13.5" outlineLevel="1" thickBot="1">
      <c r="A5" s="34" t="s">
        <v>582</v>
      </c>
      <c r="B5" s="67">
        <f>'Data for charts 09-24'!B82-B4</f>
        <v>487.50000000000006</v>
      </c>
      <c r="C5" s="67">
        <f>'Data for charts 09-24'!C82-C4</f>
        <v>431.79999999999995</v>
      </c>
      <c r="D5" s="67">
        <f>'Data for charts 09-24'!D82-D4</f>
        <v>531.90000000000009</v>
      </c>
      <c r="E5" s="67">
        <f>'Data for charts 09-24'!E82-E4</f>
        <v>533.70000000000005</v>
      </c>
      <c r="F5" s="67">
        <f>'Data for charts 09-24'!F82-F4</f>
        <v>530.60000000000014</v>
      </c>
      <c r="G5" s="67">
        <f>'Data for charts 09-24'!G82-G4</f>
        <v>565.79999999999995</v>
      </c>
      <c r="H5" s="67">
        <f>'Data for charts 09-24'!H82-H4</f>
        <v>548.90000000000009</v>
      </c>
      <c r="I5" s="67">
        <f>'Data for charts 09-24'!I82-I4</f>
        <v>569.59999999999991</v>
      </c>
      <c r="J5" s="67">
        <f>'Data for charts 09-24'!J82-J4</f>
        <v>592.98520899999994</v>
      </c>
      <c r="K5" s="67">
        <f>'Data for charts 09-24'!K82-K4</f>
        <v>596.09999999999991</v>
      </c>
      <c r="L5" s="67">
        <f>'Data for charts 09-24'!L82-L4</f>
        <v>683.39999999999986</v>
      </c>
      <c r="M5" s="67">
        <f>'Data for charts 09-24'!M82-M4</f>
        <v>809.49999999999977</v>
      </c>
      <c r="N5" s="67">
        <f>'Data for charts 09-24'!N82-N4</f>
        <v>759.90000000000009</v>
      </c>
      <c r="O5" s="67">
        <f>'Data for charts 09-24'!O82-O4</f>
        <v>826.89999999999986</v>
      </c>
      <c r="P5" s="103">
        <f>1076.3-P4</f>
        <v>835.8</v>
      </c>
    </row>
    <row r="6" spans="1:22">
      <c r="B6" s="94">
        <f>B4/B5</f>
        <v>0.36861538461538457</v>
      </c>
      <c r="C6" s="94">
        <f t="shared" ref="C6:O6" si="0">C4/C5</f>
        <v>0.4471977767484947</v>
      </c>
      <c r="D6" s="94">
        <f t="shared" si="0"/>
        <v>0.3444256439180296</v>
      </c>
      <c r="E6" s="94">
        <f t="shared" si="0"/>
        <v>0.34401349072512644</v>
      </c>
      <c r="F6" s="94">
        <f t="shared" si="0"/>
        <v>0.35393893705239343</v>
      </c>
      <c r="G6" s="94">
        <f t="shared" si="0"/>
        <v>0.32785436550017677</v>
      </c>
      <c r="H6" s="94">
        <f t="shared" si="0"/>
        <v>0.35215886318090722</v>
      </c>
      <c r="I6" s="94">
        <f t="shared" si="0"/>
        <v>0.335498595505618</v>
      </c>
      <c r="J6" s="94">
        <f t="shared" si="0"/>
        <v>0.36392138745571989</v>
      </c>
      <c r="K6" s="94">
        <f t="shared" si="0"/>
        <v>0.42895487334339882</v>
      </c>
      <c r="L6" s="94">
        <f t="shared" si="0"/>
        <v>0.34430787240269251</v>
      </c>
      <c r="M6" s="94">
        <f t="shared" si="0"/>
        <v>0.31315626930203838</v>
      </c>
      <c r="N6" s="94">
        <f t="shared" si="0"/>
        <v>0.37439136728516903</v>
      </c>
      <c r="O6" s="94">
        <f t="shared" si="0"/>
        <v>0.37090337404764789</v>
      </c>
      <c r="P6" s="94">
        <f>P4/P5</f>
        <v>0.2877482651351998</v>
      </c>
      <c r="Q6" s="51">
        <f>AVERAGE(B6:O6)</f>
        <v>0.36209558579162843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ABECB-A234-409B-8BF5-E433F64ED8F7}">
  <dimension ref="A1:G25"/>
  <sheetViews>
    <sheetView workbookViewId="0">
      <selection activeCell="K24" sqref="K24"/>
    </sheetView>
  </sheetViews>
  <sheetFormatPr defaultRowHeight="14"/>
  <sheetData>
    <row r="1" spans="1:1">
      <c r="A1" s="26" t="s">
        <v>631</v>
      </c>
    </row>
    <row r="21" spans="1:7">
      <c r="B21" t="s">
        <v>629</v>
      </c>
      <c r="D21" t="s">
        <v>333</v>
      </c>
      <c r="F21" t="s">
        <v>630</v>
      </c>
    </row>
    <row r="22" spans="1:7">
      <c r="B22" t="s">
        <v>1</v>
      </c>
      <c r="C22" t="s">
        <v>2</v>
      </c>
      <c r="D22" t="s">
        <v>1</v>
      </c>
      <c r="E22" t="s">
        <v>2</v>
      </c>
      <c r="F22" t="s">
        <v>1</v>
      </c>
      <c r="G22" t="s">
        <v>2</v>
      </c>
    </row>
    <row r="23" spans="1:7">
      <c r="A23" t="s">
        <v>124</v>
      </c>
      <c r="B23" s="268">
        <v>150.06754699999999</v>
      </c>
      <c r="C23" s="268">
        <v>139</v>
      </c>
      <c r="D23" s="268">
        <v>43.958095</v>
      </c>
      <c r="E23" s="268">
        <v>42.680886999999998</v>
      </c>
      <c r="F23" s="268">
        <v>5.0947690000000003</v>
      </c>
      <c r="G23" s="268">
        <v>6.7</v>
      </c>
    </row>
    <row r="24" spans="1:7">
      <c r="A24" t="s">
        <v>581</v>
      </c>
      <c r="B24" s="268">
        <v>34.300662000000003</v>
      </c>
      <c r="C24" s="268">
        <v>104.4</v>
      </c>
      <c r="D24" s="268">
        <v>6.7030380000000003</v>
      </c>
      <c r="E24" s="268">
        <v>13.9</v>
      </c>
      <c r="F24" s="268">
        <v>0.34071200000000001</v>
      </c>
      <c r="G24" s="268">
        <v>0.4</v>
      </c>
    </row>
    <row r="25" spans="1:7">
      <c r="A25" t="s">
        <v>80</v>
      </c>
      <c r="B25" s="268">
        <v>184.36820899999998</v>
      </c>
      <c r="C25" s="268">
        <v>243.4</v>
      </c>
      <c r="D25" s="268">
        <v>50.661133</v>
      </c>
      <c r="E25" s="268">
        <v>56.580886999999997</v>
      </c>
      <c r="F25" s="268">
        <v>5.4354810000000002</v>
      </c>
      <c r="G25" s="268">
        <v>7.1000000000000005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85CD9-AA0D-4A68-A70E-2EFB2FF81E12}">
  <dimension ref="A1:P23"/>
  <sheetViews>
    <sheetView workbookViewId="0">
      <selection activeCell="A31" sqref="A31"/>
    </sheetView>
  </sheetViews>
  <sheetFormatPr defaultRowHeight="12.5"/>
  <cols>
    <col min="1" max="1" width="32.33203125" style="1" bestFit="1" customWidth="1"/>
    <col min="2" max="2" width="10.33203125" style="1" customWidth="1"/>
    <col min="3" max="16" width="12.33203125" style="1" bestFit="1" customWidth="1"/>
    <col min="17" max="16384" width="8.6640625" style="1"/>
  </cols>
  <sheetData>
    <row r="1" spans="1:2" ht="13">
      <c r="A1" s="244" t="s">
        <v>625</v>
      </c>
      <c r="B1" s="147"/>
    </row>
    <row r="22" spans="1:16">
      <c r="B22" s="1" t="s">
        <v>15</v>
      </c>
      <c r="C22" s="1" t="s">
        <v>14</v>
      </c>
      <c r="D22" s="1" t="s">
        <v>13</v>
      </c>
      <c r="E22" s="1" t="s">
        <v>12</v>
      </c>
      <c r="F22" s="1" t="s">
        <v>11</v>
      </c>
      <c r="G22" s="1" t="s">
        <v>10</v>
      </c>
      <c r="H22" s="1" t="s">
        <v>9</v>
      </c>
      <c r="I22" s="1" t="s">
        <v>8</v>
      </c>
      <c r="J22" s="1" t="s">
        <v>7</v>
      </c>
      <c r="K22" s="1" t="s">
        <v>6</v>
      </c>
      <c r="L22" s="1" t="s">
        <v>5</v>
      </c>
      <c r="M22" s="1" t="s">
        <v>4</v>
      </c>
      <c r="N22" s="1" t="s">
        <v>3</v>
      </c>
      <c r="O22" s="1" t="s">
        <v>2</v>
      </c>
      <c r="P22" s="1" t="s">
        <v>1</v>
      </c>
    </row>
    <row r="23" spans="1:16">
      <c r="A23" s="1" t="s">
        <v>583</v>
      </c>
      <c r="B23" s="24">
        <v>4911368</v>
      </c>
      <c r="C23" s="24">
        <v>4741286</v>
      </c>
      <c r="D23" s="24">
        <v>4719141</v>
      </c>
      <c r="E23" s="24">
        <v>4615459</v>
      </c>
      <c r="F23" s="24">
        <v>4454455</v>
      </c>
      <c r="G23" s="24">
        <v>4434109</v>
      </c>
      <c r="H23" s="24">
        <v>4461765</v>
      </c>
      <c r="I23" s="24">
        <v>4406605</v>
      </c>
      <c r="J23" s="24">
        <v>4369774</v>
      </c>
      <c r="K23" s="24">
        <v>4430154</v>
      </c>
      <c r="L23" s="24">
        <v>4512109</v>
      </c>
      <c r="M23" s="24">
        <v>4337097</v>
      </c>
      <c r="N23" s="24">
        <v>4380107</v>
      </c>
      <c r="O23" s="24">
        <v>4421940</v>
      </c>
      <c r="P23" s="24">
        <v>4470000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5445-C220-4DFA-BE03-3AFBF0F75EC0}">
  <dimension ref="A1"/>
  <sheetViews>
    <sheetView workbookViewId="0">
      <selection activeCell="A21" sqref="A21"/>
    </sheetView>
  </sheetViews>
  <sheetFormatPr defaultRowHeight="12.5"/>
  <cols>
    <col min="1" max="16384" width="8.6640625" style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F8AE1-FA7D-4ACD-A182-DB2E4839B6A3}">
  <dimension ref="A1:Q77"/>
  <sheetViews>
    <sheetView workbookViewId="0">
      <selection activeCell="H19" sqref="H19"/>
    </sheetView>
  </sheetViews>
  <sheetFormatPr defaultRowHeight="12.5"/>
  <cols>
    <col min="1" max="1" width="9.58203125" style="1" customWidth="1"/>
    <col min="2" max="2" width="49.58203125" style="1" customWidth="1"/>
    <col min="3" max="17" width="8.83203125" style="1" bestFit="1" customWidth="1"/>
    <col min="18" max="16384" width="8.6640625" style="1"/>
  </cols>
  <sheetData>
    <row r="1" spans="1:1" ht="13">
      <c r="A1" s="200" t="s">
        <v>586</v>
      </c>
    </row>
    <row r="2" spans="1:1" ht="13">
      <c r="A2" s="27"/>
    </row>
    <row r="25" spans="1:17" ht="13">
      <c r="A25" s="26" t="s">
        <v>626</v>
      </c>
    </row>
    <row r="26" spans="1:17" ht="13" thickBot="1"/>
    <row r="27" spans="1:17" ht="13">
      <c r="C27" s="33" t="s">
        <v>15</v>
      </c>
      <c r="D27" s="33" t="s">
        <v>14</v>
      </c>
      <c r="E27" s="33" t="s">
        <v>13</v>
      </c>
      <c r="F27" s="33" t="s">
        <v>12</v>
      </c>
      <c r="G27" s="33" t="s">
        <v>11</v>
      </c>
      <c r="H27" s="33" t="s">
        <v>10</v>
      </c>
      <c r="I27" s="33" t="s">
        <v>9</v>
      </c>
      <c r="J27" s="33" t="s">
        <v>8</v>
      </c>
      <c r="K27" s="33" t="s">
        <v>7</v>
      </c>
      <c r="L27" s="33" t="s">
        <v>6</v>
      </c>
      <c r="M27" s="33" t="s">
        <v>5</v>
      </c>
      <c r="N27" s="33" t="s">
        <v>4</v>
      </c>
      <c r="O27" s="33" t="s">
        <v>3</v>
      </c>
      <c r="P27" s="33" t="s">
        <v>2</v>
      </c>
      <c r="Q27" s="33" t="s">
        <v>1</v>
      </c>
    </row>
    <row r="28" spans="1:17">
      <c r="B28" s="1" t="s">
        <v>139</v>
      </c>
      <c r="C28" s="24">
        <f t="shared" ref="C28:Q36" si="0">SUMIFS(C$47:C$76,$A$47:$A$76,$B28)</f>
        <v>62</v>
      </c>
      <c r="D28" s="24">
        <f t="shared" si="0"/>
        <v>61.099999999999994</v>
      </c>
      <c r="E28" s="24">
        <f t="shared" si="0"/>
        <v>61.300000000000004</v>
      </c>
      <c r="F28" s="24">
        <f t="shared" si="0"/>
        <v>60.6</v>
      </c>
      <c r="G28" s="24">
        <f t="shared" si="0"/>
        <v>59.3</v>
      </c>
      <c r="H28" s="24">
        <f t="shared" si="0"/>
        <v>61.3</v>
      </c>
      <c r="I28" s="24">
        <f t="shared" si="0"/>
        <v>60.1</v>
      </c>
      <c r="J28" s="24">
        <f t="shared" si="0"/>
        <v>65.100000000000009</v>
      </c>
      <c r="K28" s="24">
        <f t="shared" si="0"/>
        <v>74.2</v>
      </c>
      <c r="L28" s="24">
        <f t="shared" si="0"/>
        <v>71.5</v>
      </c>
      <c r="M28" s="24">
        <f t="shared" si="0"/>
        <v>76.600000000000009</v>
      </c>
      <c r="N28" s="24">
        <f t="shared" si="0"/>
        <v>75.899999999999991</v>
      </c>
      <c r="O28" s="24">
        <f t="shared" si="0"/>
        <v>73.2</v>
      </c>
      <c r="P28" s="24">
        <f t="shared" si="0"/>
        <v>76.3</v>
      </c>
      <c r="Q28" s="24">
        <f t="shared" si="0"/>
        <v>80.500000000000014</v>
      </c>
    </row>
    <row r="29" spans="1:17">
      <c r="B29" s="1" t="s">
        <v>335</v>
      </c>
      <c r="C29" s="24">
        <f t="shared" si="0"/>
        <v>712.8</v>
      </c>
      <c r="D29" s="24">
        <f t="shared" si="0"/>
        <v>714</v>
      </c>
      <c r="E29" s="24">
        <f t="shared" si="0"/>
        <v>744.5</v>
      </c>
      <c r="F29" s="24">
        <f t="shared" si="0"/>
        <v>746.8</v>
      </c>
      <c r="G29" s="24">
        <f t="shared" si="0"/>
        <v>812.3</v>
      </c>
      <c r="H29" s="24">
        <f t="shared" si="0"/>
        <v>1075.8</v>
      </c>
      <c r="I29" s="24">
        <f t="shared" si="0"/>
        <v>1120.2</v>
      </c>
      <c r="J29" s="24">
        <f t="shared" si="0"/>
        <v>1167.5999999999999</v>
      </c>
      <c r="K29" s="24">
        <f t="shared" si="0"/>
        <v>1208.4000000000001</v>
      </c>
      <c r="L29" s="24">
        <f t="shared" si="0"/>
        <v>1268</v>
      </c>
      <c r="M29" s="24">
        <f t="shared" si="0"/>
        <v>1313.3</v>
      </c>
      <c r="N29" s="24">
        <f t="shared" si="0"/>
        <v>1270.3</v>
      </c>
      <c r="O29" s="24">
        <f t="shared" si="0"/>
        <v>1340.4</v>
      </c>
      <c r="P29" s="24">
        <f t="shared" si="0"/>
        <v>1464.1</v>
      </c>
      <c r="Q29" s="24">
        <f t="shared" si="0"/>
        <v>1567.1</v>
      </c>
    </row>
    <row r="30" spans="1:17">
      <c r="B30" s="1" t="s">
        <v>321</v>
      </c>
      <c r="C30" s="24">
        <f t="shared" si="0"/>
        <v>139.4</v>
      </c>
      <c r="D30" s="24">
        <f t="shared" si="0"/>
        <v>145.1</v>
      </c>
      <c r="E30" s="24">
        <f t="shared" si="0"/>
        <v>141.9</v>
      </c>
      <c r="F30" s="24">
        <f t="shared" si="0"/>
        <v>138.9</v>
      </c>
      <c r="G30" s="24">
        <f t="shared" si="0"/>
        <v>149.6</v>
      </c>
      <c r="H30" s="24">
        <f t="shared" si="0"/>
        <v>145.89999999999998</v>
      </c>
      <c r="I30" s="24">
        <f t="shared" si="0"/>
        <v>154.70000000000002</v>
      </c>
      <c r="J30" s="24">
        <f t="shared" si="0"/>
        <v>173.2</v>
      </c>
      <c r="K30" s="24">
        <f t="shared" si="0"/>
        <v>179.9</v>
      </c>
      <c r="L30" s="24">
        <f t="shared" si="0"/>
        <v>190.3</v>
      </c>
      <c r="M30" s="24">
        <f t="shared" si="0"/>
        <v>182</v>
      </c>
      <c r="N30" s="24">
        <f t="shared" si="0"/>
        <v>202.9</v>
      </c>
      <c r="O30" s="24">
        <f t="shared" si="0"/>
        <v>215.6</v>
      </c>
      <c r="P30" s="24">
        <f t="shared" si="0"/>
        <v>232.89999999999998</v>
      </c>
      <c r="Q30" s="24">
        <f t="shared" si="0"/>
        <v>239.1</v>
      </c>
    </row>
    <row r="31" spans="1:17">
      <c r="B31" s="1" t="s">
        <v>325</v>
      </c>
      <c r="C31" s="24">
        <f t="shared" si="0"/>
        <v>-177.1</v>
      </c>
      <c r="D31" s="24">
        <f t="shared" si="0"/>
        <v>-148.39999999999998</v>
      </c>
      <c r="E31" s="24">
        <f t="shared" si="0"/>
        <v>-158.9</v>
      </c>
      <c r="F31" s="24">
        <f t="shared" si="0"/>
        <v>-153.5</v>
      </c>
      <c r="G31" s="24">
        <f t="shared" si="0"/>
        <v>-173</v>
      </c>
      <c r="H31" s="24">
        <f t="shared" si="0"/>
        <v>-172.89999999999998</v>
      </c>
      <c r="I31" s="24">
        <f t="shared" si="0"/>
        <v>-180.2</v>
      </c>
      <c r="J31" s="24">
        <f t="shared" si="0"/>
        <v>-185.6</v>
      </c>
      <c r="K31" s="24">
        <f t="shared" si="0"/>
        <v>-191.2</v>
      </c>
      <c r="L31" s="24">
        <f t="shared" si="0"/>
        <v>-191.9</v>
      </c>
      <c r="M31" s="24">
        <f t="shared" si="0"/>
        <v>-201.1</v>
      </c>
      <c r="N31" s="24">
        <f t="shared" si="0"/>
        <v>-221.3</v>
      </c>
      <c r="O31" s="24">
        <f t="shared" si="0"/>
        <v>-212.60000000000002</v>
      </c>
      <c r="P31" s="24">
        <f t="shared" si="0"/>
        <v>-216.3</v>
      </c>
      <c r="Q31" s="24">
        <f t="shared" si="0"/>
        <v>-228.3</v>
      </c>
    </row>
    <row r="32" spans="1:17">
      <c r="B32" s="1" t="s">
        <v>319</v>
      </c>
      <c r="C32" s="24">
        <f t="shared" si="0"/>
        <v>335.3</v>
      </c>
      <c r="D32" s="24">
        <f t="shared" si="0"/>
        <v>314.10000000000002</v>
      </c>
      <c r="E32" s="24">
        <f t="shared" si="0"/>
        <v>322.89999999999998</v>
      </c>
      <c r="F32" s="24">
        <f t="shared" si="0"/>
        <v>351.2</v>
      </c>
      <c r="G32" s="24">
        <f t="shared" si="0"/>
        <v>393.7</v>
      </c>
      <c r="H32" s="24">
        <f t="shared" si="0"/>
        <v>400.3</v>
      </c>
      <c r="I32" s="24">
        <f t="shared" si="0"/>
        <v>407.40000000000003</v>
      </c>
      <c r="J32" s="24">
        <f t="shared" si="0"/>
        <v>497.09999999999997</v>
      </c>
      <c r="K32" s="24">
        <f t="shared" si="0"/>
        <v>551.29999999999995</v>
      </c>
      <c r="L32" s="24">
        <f t="shared" si="0"/>
        <v>569.00000000000011</v>
      </c>
      <c r="M32" s="24">
        <f t="shared" si="0"/>
        <v>566.6</v>
      </c>
      <c r="N32" s="24">
        <f t="shared" si="0"/>
        <v>657.6</v>
      </c>
      <c r="O32" s="24">
        <f t="shared" si="0"/>
        <v>785.1</v>
      </c>
      <c r="P32" s="24">
        <f t="shared" si="0"/>
        <v>781</v>
      </c>
      <c r="Q32" s="24">
        <f t="shared" si="0"/>
        <v>764.6</v>
      </c>
    </row>
    <row r="33" spans="1:17">
      <c r="B33" s="1" t="s">
        <v>322</v>
      </c>
      <c r="C33" s="24">
        <f t="shared" si="0"/>
        <v>-1134.7</v>
      </c>
      <c r="D33" s="24">
        <f t="shared" si="0"/>
        <v>-961</v>
      </c>
      <c r="E33" s="24">
        <f t="shared" si="0"/>
        <v>-1005.8</v>
      </c>
      <c r="F33" s="24">
        <f t="shared" si="0"/>
        <v>-1171.9000000000001</v>
      </c>
      <c r="G33" s="24">
        <f t="shared" si="0"/>
        <v>-1303.0999999999999</v>
      </c>
      <c r="H33" s="24">
        <f t="shared" si="0"/>
        <v>-1493.3</v>
      </c>
      <c r="I33" s="24">
        <f t="shared" si="0"/>
        <v>-1424.7</v>
      </c>
      <c r="J33" s="24">
        <f t="shared" si="0"/>
        <v>-1834.7</v>
      </c>
      <c r="K33" s="24">
        <f t="shared" si="0"/>
        <v>-1865.3</v>
      </c>
      <c r="L33" s="24">
        <f t="shared" si="0"/>
        <v>-1893.8504840000001</v>
      </c>
      <c r="M33" s="24">
        <f t="shared" si="0"/>
        <v>-2189.5</v>
      </c>
      <c r="N33" s="24">
        <f t="shared" si="0"/>
        <v>-2306.1999999999998</v>
      </c>
      <c r="O33" s="24">
        <f t="shared" si="0"/>
        <v>-2639.1</v>
      </c>
      <c r="P33" s="24">
        <f t="shared" si="0"/>
        <v>-1415</v>
      </c>
      <c r="Q33" s="24">
        <f t="shared" si="0"/>
        <v>-1311.9</v>
      </c>
    </row>
    <row r="34" spans="1:17">
      <c r="B34" s="1" t="s">
        <v>324</v>
      </c>
      <c r="C34" s="24">
        <f t="shared" si="0"/>
        <v>-281.60000000000002</v>
      </c>
      <c r="D34" s="24">
        <f t="shared" si="0"/>
        <v>-295.39999999999998</v>
      </c>
      <c r="E34" s="24">
        <f t="shared" si="0"/>
        <v>-374.3</v>
      </c>
      <c r="F34" s="24">
        <f t="shared" si="0"/>
        <v>-472.79999999999995</v>
      </c>
      <c r="G34" s="24">
        <f t="shared" si="0"/>
        <v>-528.70000000000005</v>
      </c>
      <c r="H34" s="24">
        <f t="shared" si="0"/>
        <v>-542.5</v>
      </c>
      <c r="I34" s="24">
        <f t="shared" si="0"/>
        <v>-557.4</v>
      </c>
      <c r="J34" s="24">
        <f t="shared" si="0"/>
        <v>-692.19999999999993</v>
      </c>
      <c r="K34" s="24">
        <f t="shared" si="0"/>
        <v>-752.8</v>
      </c>
      <c r="L34" s="24">
        <f t="shared" si="0"/>
        <v>-750.2</v>
      </c>
      <c r="M34" s="24">
        <f t="shared" si="0"/>
        <v>-761.9</v>
      </c>
      <c r="N34" s="24">
        <f t="shared" si="0"/>
        <v>-1118.8</v>
      </c>
      <c r="O34" s="24">
        <f t="shared" si="0"/>
        <v>-1334</v>
      </c>
      <c r="P34" s="24">
        <f t="shared" si="0"/>
        <v>-1251.2</v>
      </c>
      <c r="Q34" s="24">
        <f t="shared" si="0"/>
        <v>-1202.0999999999999</v>
      </c>
    </row>
    <row r="35" spans="1:17">
      <c r="B35" s="1" t="s">
        <v>336</v>
      </c>
      <c r="C35" s="24">
        <f t="shared" si="0"/>
        <v>-781.8</v>
      </c>
      <c r="D35" s="24">
        <f t="shared" si="0"/>
        <v>-908.2</v>
      </c>
      <c r="E35" s="24">
        <f t="shared" si="0"/>
        <v>-965.5</v>
      </c>
      <c r="F35" s="24">
        <f t="shared" si="0"/>
        <v>-996.2</v>
      </c>
      <c r="G35" s="24">
        <f t="shared" si="0"/>
        <v>-1096.1000000000001</v>
      </c>
      <c r="H35" s="24">
        <f t="shared" si="0"/>
        <v>-1174.5</v>
      </c>
      <c r="I35" s="24">
        <f t="shared" si="0"/>
        <v>-1260.5999999999999</v>
      </c>
      <c r="J35" s="24">
        <f t="shared" si="0"/>
        <v>-1289</v>
      </c>
      <c r="K35" s="24">
        <f t="shared" si="0"/>
        <v>-1347.4</v>
      </c>
      <c r="L35" s="24">
        <f t="shared" si="0"/>
        <v>-1407.2</v>
      </c>
      <c r="M35" s="24">
        <f t="shared" si="0"/>
        <v>-1445.4</v>
      </c>
      <c r="N35" s="24">
        <f t="shared" si="0"/>
        <v>-1520.3</v>
      </c>
      <c r="O35" s="24">
        <f t="shared" si="0"/>
        <v>-1575.7</v>
      </c>
      <c r="P35" s="24">
        <f t="shared" si="0"/>
        <v>-1754</v>
      </c>
      <c r="Q35" s="24">
        <f t="shared" si="0"/>
        <v>-2020</v>
      </c>
    </row>
    <row r="36" spans="1:17">
      <c r="B36" s="1" t="s">
        <v>337</v>
      </c>
      <c r="C36" s="24">
        <f t="shared" si="0"/>
        <v>-102.2</v>
      </c>
      <c r="D36" s="24">
        <f t="shared" si="0"/>
        <v>-107</v>
      </c>
      <c r="E36" s="24">
        <f t="shared" si="0"/>
        <v>-113</v>
      </c>
      <c r="F36" s="24">
        <f t="shared" si="0"/>
        <v>-131</v>
      </c>
      <c r="G36" s="24">
        <f t="shared" si="0"/>
        <v>-154.6</v>
      </c>
      <c r="H36" s="24">
        <f t="shared" si="0"/>
        <v>-175.3</v>
      </c>
      <c r="I36" s="24">
        <f t="shared" si="0"/>
        <v>-305.5</v>
      </c>
      <c r="J36" s="24">
        <f t="shared" si="0"/>
        <v>-322.20000000000005</v>
      </c>
      <c r="K36" s="24">
        <f t="shared" si="0"/>
        <v>-422.5</v>
      </c>
      <c r="L36" s="24">
        <f t="shared" si="0"/>
        <v>-311.39999999999998</v>
      </c>
      <c r="M36" s="24">
        <f t="shared" si="0"/>
        <v>-374.79999999999995</v>
      </c>
      <c r="N36" s="24">
        <f t="shared" si="0"/>
        <v>-366.4</v>
      </c>
      <c r="O36" s="24">
        <f t="shared" si="0"/>
        <v>-527.80000000000007</v>
      </c>
      <c r="P36" s="24">
        <f t="shared" si="0"/>
        <v>-306.90000000000003</v>
      </c>
      <c r="Q36" s="24">
        <f t="shared" si="0"/>
        <v>-262.2</v>
      </c>
    </row>
    <row r="37" spans="1:17" ht="13">
      <c r="B37" s="26" t="s">
        <v>338</v>
      </c>
      <c r="C37" s="225">
        <f t="shared" ref="C37:Q37" si="1">SUM(C28:C36)</f>
        <v>-1227.9000000000003</v>
      </c>
      <c r="D37" s="225">
        <f t="shared" si="1"/>
        <v>-1185.6999999999998</v>
      </c>
      <c r="E37" s="225">
        <f t="shared" si="1"/>
        <v>-1346.9</v>
      </c>
      <c r="F37" s="225">
        <f t="shared" si="1"/>
        <v>-1627.9</v>
      </c>
      <c r="G37" s="225">
        <f t="shared" si="1"/>
        <v>-1840.6000000000001</v>
      </c>
      <c r="H37" s="225">
        <f t="shared" si="1"/>
        <v>-1875.2</v>
      </c>
      <c r="I37" s="225">
        <f t="shared" si="1"/>
        <v>-1986</v>
      </c>
      <c r="J37" s="225">
        <f t="shared" si="1"/>
        <v>-2420.6999999999998</v>
      </c>
      <c r="K37" s="225">
        <f t="shared" si="1"/>
        <v>-2565.3999999999996</v>
      </c>
      <c r="L37" s="225">
        <f t="shared" si="1"/>
        <v>-2455.7504840000001</v>
      </c>
      <c r="M37" s="225">
        <f t="shared" si="1"/>
        <v>-2834.2</v>
      </c>
      <c r="N37" s="225">
        <f t="shared" si="1"/>
        <v>-3326.2999999999997</v>
      </c>
      <c r="O37" s="225">
        <f t="shared" si="1"/>
        <v>-3874.9000000000005</v>
      </c>
      <c r="P37" s="225">
        <f t="shared" si="1"/>
        <v>-2389.1</v>
      </c>
      <c r="Q37" s="225">
        <f t="shared" si="1"/>
        <v>-2373.1999999999998</v>
      </c>
    </row>
    <row r="38" spans="1:17"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7" ht="13">
      <c r="B39" s="239" t="s">
        <v>339</v>
      </c>
      <c r="C39" s="229">
        <f t="shared" ref="C39:Q39" si="2">C37-C77</f>
        <v>0</v>
      </c>
      <c r="D39" s="229">
        <f t="shared" si="2"/>
        <v>0</v>
      </c>
      <c r="E39" s="229">
        <f t="shared" si="2"/>
        <v>0</v>
      </c>
      <c r="F39" s="229">
        <f t="shared" si="2"/>
        <v>0</v>
      </c>
      <c r="G39" s="229">
        <f t="shared" si="2"/>
        <v>0</v>
      </c>
      <c r="H39" s="229">
        <f t="shared" si="2"/>
        <v>0</v>
      </c>
      <c r="I39" s="229">
        <f t="shared" si="2"/>
        <v>0</v>
      </c>
      <c r="J39" s="229">
        <f t="shared" si="2"/>
        <v>0</v>
      </c>
      <c r="K39" s="229">
        <f t="shared" si="2"/>
        <v>0</v>
      </c>
      <c r="L39" s="229">
        <f t="shared" si="2"/>
        <v>0</v>
      </c>
      <c r="M39" s="229">
        <f t="shared" si="2"/>
        <v>0</v>
      </c>
      <c r="N39" s="229">
        <f t="shared" si="2"/>
        <v>0</v>
      </c>
      <c r="O39" s="229">
        <f t="shared" si="2"/>
        <v>0</v>
      </c>
      <c r="P39" s="229">
        <f t="shared" si="2"/>
        <v>0</v>
      </c>
      <c r="Q39" s="229">
        <f t="shared" si="2"/>
        <v>0</v>
      </c>
    </row>
    <row r="40" spans="1:17">
      <c r="P40" s="15"/>
    </row>
    <row r="41" spans="1:17" ht="13">
      <c r="A41" s="26" t="s">
        <v>340</v>
      </c>
      <c r="M41" s="28"/>
      <c r="N41" s="29"/>
      <c r="P41" s="15"/>
    </row>
    <row r="42" spans="1:17" ht="13">
      <c r="M42" s="28"/>
      <c r="N42" s="29"/>
    </row>
    <row r="43" spans="1:17" ht="13.5" thickBot="1">
      <c r="A43" s="26" t="s">
        <v>341</v>
      </c>
      <c r="B43" s="27" t="s">
        <v>16</v>
      </c>
      <c r="L43" s="26"/>
      <c r="M43" s="30"/>
      <c r="N43" s="31"/>
      <c r="O43" s="26"/>
    </row>
    <row r="44" spans="1:17" ht="13">
      <c r="B44" s="32"/>
      <c r="C44" s="33" t="s">
        <v>15</v>
      </c>
      <c r="D44" s="33" t="s">
        <v>14</v>
      </c>
      <c r="E44" s="33" t="s">
        <v>13</v>
      </c>
      <c r="F44" s="33" t="s">
        <v>12</v>
      </c>
      <c r="G44" s="33" t="s">
        <v>11</v>
      </c>
      <c r="H44" s="33" t="s">
        <v>10</v>
      </c>
      <c r="I44" s="33" t="s">
        <v>9</v>
      </c>
      <c r="J44" s="33" t="s">
        <v>8</v>
      </c>
      <c r="K44" s="33" t="s">
        <v>7</v>
      </c>
      <c r="L44" s="33" t="s">
        <v>6</v>
      </c>
      <c r="M44" s="33" t="s">
        <v>5</v>
      </c>
      <c r="N44" s="33" t="s">
        <v>4</v>
      </c>
      <c r="O44" s="33" t="s">
        <v>3</v>
      </c>
      <c r="P44" s="33" t="s">
        <v>2</v>
      </c>
      <c r="Q44" s="33" t="s">
        <v>1</v>
      </c>
    </row>
    <row r="45" spans="1:17" ht="13">
      <c r="B45" s="34"/>
      <c r="C45" s="12" t="s">
        <v>17</v>
      </c>
      <c r="D45" s="12" t="s">
        <v>17</v>
      </c>
      <c r="E45" s="12" t="s">
        <v>17</v>
      </c>
      <c r="F45" s="12" t="s">
        <v>17</v>
      </c>
      <c r="G45" s="12" t="s">
        <v>17</v>
      </c>
      <c r="H45" s="12" t="s">
        <v>17</v>
      </c>
      <c r="I45" s="12" t="s">
        <v>17</v>
      </c>
      <c r="J45" s="12" t="s">
        <v>17</v>
      </c>
      <c r="K45" s="12" t="s">
        <v>17</v>
      </c>
      <c r="L45" s="12" t="s">
        <v>17</v>
      </c>
      <c r="M45" s="12" t="s">
        <v>17</v>
      </c>
      <c r="N45" s="12" t="s">
        <v>17</v>
      </c>
      <c r="O45" s="12" t="s">
        <v>17</v>
      </c>
      <c r="P45" s="12" t="s">
        <v>17</v>
      </c>
      <c r="Q45" s="12" t="s">
        <v>17</v>
      </c>
    </row>
    <row r="46" spans="1:17" ht="13">
      <c r="B46" s="35" t="s">
        <v>18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7"/>
      <c r="N46" s="37"/>
      <c r="O46" s="37"/>
      <c r="P46" s="37"/>
    </row>
    <row r="47" spans="1:17">
      <c r="A47" s="1" t="s">
        <v>335</v>
      </c>
      <c r="B47" s="38" t="s">
        <v>19</v>
      </c>
      <c r="C47" s="10">
        <v>712.8</v>
      </c>
      <c r="D47" s="10">
        <v>714</v>
      </c>
      <c r="E47" s="10">
        <v>744.5</v>
      </c>
      <c r="F47" s="10">
        <v>746.8</v>
      </c>
      <c r="G47" s="10">
        <v>812.3</v>
      </c>
      <c r="H47" s="10">
        <v>1075.8</v>
      </c>
      <c r="I47" s="10">
        <v>1120.2</v>
      </c>
      <c r="J47" s="10">
        <v>1167.5999999999999</v>
      </c>
      <c r="K47" s="10">
        <v>1208.4000000000001</v>
      </c>
      <c r="L47" s="39">
        <v>1268</v>
      </c>
      <c r="M47" s="40">
        <v>1313.3</v>
      </c>
      <c r="N47" s="40">
        <v>1270.3</v>
      </c>
      <c r="O47" s="41">
        <v>1340.4</v>
      </c>
      <c r="P47" s="42">
        <v>1435.3</v>
      </c>
      <c r="Q47" s="42">
        <v>1539.1</v>
      </c>
    </row>
    <row r="48" spans="1:17">
      <c r="A48" s="1" t="s">
        <v>335</v>
      </c>
      <c r="B48" s="43" t="s">
        <v>20</v>
      </c>
      <c r="C48" s="10" t="s">
        <v>21</v>
      </c>
      <c r="D48" s="10" t="s">
        <v>21</v>
      </c>
      <c r="E48" s="10" t="s">
        <v>21</v>
      </c>
      <c r="F48" s="44" t="s">
        <v>21</v>
      </c>
      <c r="G48" s="44" t="s">
        <v>21</v>
      </c>
      <c r="H48" s="44" t="s">
        <v>21</v>
      </c>
      <c r="I48" s="44" t="s">
        <v>21</v>
      </c>
      <c r="J48" s="44" t="s">
        <v>21</v>
      </c>
      <c r="K48" s="44" t="s">
        <v>21</v>
      </c>
      <c r="L48" s="44" t="s">
        <v>21</v>
      </c>
      <c r="M48" s="44" t="s">
        <v>21</v>
      </c>
      <c r="N48" s="44" t="s">
        <v>21</v>
      </c>
      <c r="O48" s="44" t="s">
        <v>21</v>
      </c>
      <c r="P48" s="42">
        <v>28.8</v>
      </c>
      <c r="Q48" s="1">
        <v>28</v>
      </c>
    </row>
    <row r="49" spans="1:17">
      <c r="A49" s="1" t="s">
        <v>139</v>
      </c>
      <c r="B49" s="38" t="s">
        <v>22</v>
      </c>
      <c r="C49" s="10">
        <v>12</v>
      </c>
      <c r="D49" s="10">
        <v>12.4</v>
      </c>
      <c r="E49" s="10">
        <v>12.6</v>
      </c>
      <c r="F49" s="10">
        <v>12.4</v>
      </c>
      <c r="G49" s="10">
        <v>13.9</v>
      </c>
      <c r="H49" s="10">
        <v>14.9</v>
      </c>
      <c r="I49" s="10">
        <v>15.8</v>
      </c>
      <c r="J49" s="10">
        <v>18.2</v>
      </c>
      <c r="K49" s="10">
        <v>20</v>
      </c>
      <c r="L49" s="39">
        <v>22.9</v>
      </c>
      <c r="M49" s="40">
        <v>24.1</v>
      </c>
      <c r="N49" s="40">
        <v>16.5</v>
      </c>
      <c r="O49" s="36">
        <v>14.8</v>
      </c>
      <c r="P49" s="40">
        <v>14.2</v>
      </c>
      <c r="Q49" s="1">
        <v>14.3</v>
      </c>
    </row>
    <row r="50" spans="1:17">
      <c r="A50" s="1" t="s">
        <v>139</v>
      </c>
      <c r="B50" s="38" t="s">
        <v>23</v>
      </c>
      <c r="C50" s="10">
        <v>36.299999999999997</v>
      </c>
      <c r="D50" s="10">
        <v>34.799999999999997</v>
      </c>
      <c r="E50" s="10">
        <v>35.200000000000003</v>
      </c>
      <c r="F50" s="10">
        <v>34.5</v>
      </c>
      <c r="G50" s="10">
        <v>31.9</v>
      </c>
      <c r="H50" s="10">
        <v>32.4</v>
      </c>
      <c r="I50" s="10">
        <v>33</v>
      </c>
      <c r="J50" s="10">
        <v>34.5</v>
      </c>
      <c r="K50" s="10">
        <v>36</v>
      </c>
      <c r="L50" s="39">
        <v>37.4</v>
      </c>
      <c r="M50" s="40">
        <v>40.200000000000003</v>
      </c>
      <c r="N50" s="40">
        <v>41</v>
      </c>
      <c r="O50" s="36">
        <v>43.7</v>
      </c>
      <c r="P50" s="40">
        <v>47.9</v>
      </c>
      <c r="Q50" s="1">
        <v>52.1</v>
      </c>
    </row>
    <row r="51" spans="1:17">
      <c r="A51" s="1" t="s">
        <v>321</v>
      </c>
      <c r="B51" s="38" t="s">
        <v>24</v>
      </c>
      <c r="C51" s="10">
        <v>14.4</v>
      </c>
      <c r="D51" s="10">
        <v>15.1</v>
      </c>
      <c r="E51" s="10">
        <v>15.9</v>
      </c>
      <c r="F51" s="10">
        <v>16.600000000000001</v>
      </c>
      <c r="G51" s="10">
        <v>17.7</v>
      </c>
      <c r="H51" s="10">
        <v>12.7</v>
      </c>
      <c r="I51" s="10">
        <v>14.4</v>
      </c>
      <c r="J51" s="10">
        <v>15.2</v>
      </c>
      <c r="K51" s="10">
        <v>19.100000000000001</v>
      </c>
      <c r="L51" s="39">
        <v>17.899999999999999</v>
      </c>
      <c r="M51" s="40">
        <v>22.3</v>
      </c>
      <c r="N51" s="40">
        <v>20.6</v>
      </c>
      <c r="O51" s="36">
        <v>22.4</v>
      </c>
      <c r="P51" s="40">
        <v>22.7</v>
      </c>
      <c r="Q51" s="1">
        <v>21.4</v>
      </c>
    </row>
    <row r="52" spans="1:17" ht="13" thickBot="1">
      <c r="A52" s="1" t="s">
        <v>319</v>
      </c>
      <c r="B52" s="38" t="s">
        <v>25</v>
      </c>
      <c r="C52" s="10">
        <v>180.3</v>
      </c>
      <c r="D52" s="10">
        <v>179.9</v>
      </c>
      <c r="E52" s="10">
        <v>165.8</v>
      </c>
      <c r="F52" s="10">
        <v>198.6</v>
      </c>
      <c r="G52" s="10">
        <v>207.6</v>
      </c>
      <c r="H52" s="10">
        <v>216.6</v>
      </c>
      <c r="I52" s="10">
        <v>208.8</v>
      </c>
      <c r="J52" s="10">
        <v>205.7</v>
      </c>
      <c r="K52" s="10">
        <v>323.3</v>
      </c>
      <c r="L52" s="39">
        <v>320.60000000000002</v>
      </c>
      <c r="M52" s="40">
        <v>299.2</v>
      </c>
      <c r="N52" s="40">
        <v>340.8</v>
      </c>
      <c r="O52" s="36">
        <v>456.9</v>
      </c>
      <c r="P52" s="40">
        <v>505.1</v>
      </c>
      <c r="Q52" s="1">
        <v>470</v>
      </c>
    </row>
    <row r="53" spans="1:17">
      <c r="B53" s="38"/>
      <c r="C53" s="45">
        <v>955.8</v>
      </c>
      <c r="D53" s="45">
        <v>956.19999999999993</v>
      </c>
      <c r="E53" s="45">
        <v>974</v>
      </c>
      <c r="F53" s="45">
        <v>1008.9</v>
      </c>
      <c r="G53" s="45">
        <v>1083.3999999999999</v>
      </c>
      <c r="H53" s="45">
        <v>1352.4</v>
      </c>
      <c r="I53" s="45">
        <v>1392.2</v>
      </c>
      <c r="J53" s="45">
        <v>1441.2</v>
      </c>
      <c r="K53" s="45">
        <v>1606.8</v>
      </c>
      <c r="L53" s="45">
        <v>1666.8000000000002</v>
      </c>
      <c r="M53" s="45">
        <v>1699.1</v>
      </c>
      <c r="N53" s="45">
        <v>1689.1999999999998</v>
      </c>
      <c r="O53" s="45">
        <v>1878.2000000000003</v>
      </c>
      <c r="P53" s="45">
        <v>2054</v>
      </c>
      <c r="Q53" s="45">
        <v>2124.8999999999996</v>
      </c>
    </row>
    <row r="54" spans="1:17" ht="13">
      <c r="B54" s="35" t="s">
        <v>26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37"/>
      <c r="N54" s="37"/>
      <c r="O54" s="37"/>
      <c r="P54" s="37"/>
    </row>
    <row r="55" spans="1:17">
      <c r="A55" s="1" t="s">
        <v>139</v>
      </c>
      <c r="B55" s="38" t="s">
        <v>27</v>
      </c>
      <c r="C55" s="10">
        <v>12</v>
      </c>
      <c r="D55" s="10">
        <v>12</v>
      </c>
      <c r="E55" s="10">
        <v>11.4</v>
      </c>
      <c r="F55" s="10">
        <v>12.1</v>
      </c>
      <c r="G55" s="10">
        <v>11.8</v>
      </c>
      <c r="H55" s="10">
        <v>11.3</v>
      </c>
      <c r="I55" s="10">
        <v>9.6</v>
      </c>
      <c r="J55" s="10">
        <v>9.1999999999999993</v>
      </c>
      <c r="K55" s="10">
        <v>9.9</v>
      </c>
      <c r="L55" s="46">
        <v>9.6999999999999993</v>
      </c>
      <c r="M55" s="40">
        <v>10.6</v>
      </c>
      <c r="N55" s="40">
        <v>15.3</v>
      </c>
      <c r="O55" s="36">
        <v>13.5</v>
      </c>
      <c r="P55" s="40">
        <v>13.2</v>
      </c>
      <c r="Q55" s="1">
        <v>13.2</v>
      </c>
    </row>
    <row r="56" spans="1:17">
      <c r="A56" s="1" t="s">
        <v>321</v>
      </c>
      <c r="B56" s="38" t="s">
        <v>24</v>
      </c>
      <c r="C56" s="10">
        <v>125</v>
      </c>
      <c r="D56" s="10">
        <v>130</v>
      </c>
      <c r="E56" s="10">
        <v>126</v>
      </c>
      <c r="F56" s="10">
        <v>122.3</v>
      </c>
      <c r="G56" s="10">
        <v>131.9</v>
      </c>
      <c r="H56" s="10">
        <v>133.19999999999999</v>
      </c>
      <c r="I56" s="10">
        <v>140.30000000000001</v>
      </c>
      <c r="J56" s="10">
        <v>158</v>
      </c>
      <c r="K56" s="10">
        <v>160.80000000000001</v>
      </c>
      <c r="L56" s="46">
        <v>172.4</v>
      </c>
      <c r="M56" s="40">
        <v>159.69999999999999</v>
      </c>
      <c r="N56" s="40">
        <v>182.3</v>
      </c>
      <c r="O56" s="36">
        <v>193.2</v>
      </c>
      <c r="P56" s="40">
        <v>210.2</v>
      </c>
      <c r="Q56" s="1">
        <v>217.7</v>
      </c>
    </row>
    <row r="57" spans="1:17">
      <c r="A57" s="1" t="s">
        <v>319</v>
      </c>
      <c r="B57" s="38" t="s">
        <v>25</v>
      </c>
      <c r="C57" s="10">
        <v>128</v>
      </c>
      <c r="D57" s="10">
        <v>102.7</v>
      </c>
      <c r="E57" s="10">
        <v>125.5</v>
      </c>
      <c r="F57" s="10">
        <v>117.6</v>
      </c>
      <c r="G57" s="10">
        <v>151.5</v>
      </c>
      <c r="H57" s="10">
        <v>148.9</v>
      </c>
      <c r="I57" s="10">
        <v>164.2</v>
      </c>
      <c r="J57" s="10">
        <v>253.2</v>
      </c>
      <c r="K57" s="10">
        <v>184.3</v>
      </c>
      <c r="L57" s="46">
        <v>194.3</v>
      </c>
      <c r="M57" s="40">
        <v>217</v>
      </c>
      <c r="N57" s="40">
        <v>264.89999999999998</v>
      </c>
      <c r="O57" s="36">
        <v>267.89999999999998</v>
      </c>
      <c r="P57" s="40">
        <v>216</v>
      </c>
      <c r="Q57" s="1">
        <v>237.6</v>
      </c>
    </row>
    <row r="58" spans="1:17">
      <c r="A58" s="1" t="s">
        <v>319</v>
      </c>
      <c r="B58" s="38" t="s">
        <v>28</v>
      </c>
      <c r="C58" s="10">
        <v>19.7</v>
      </c>
      <c r="D58" s="10">
        <v>22.5</v>
      </c>
      <c r="E58" s="10">
        <v>21.2</v>
      </c>
      <c r="F58" s="10">
        <v>24.5</v>
      </c>
      <c r="G58" s="10">
        <v>26.9</v>
      </c>
      <c r="H58" s="10">
        <v>26.8</v>
      </c>
      <c r="I58" s="10">
        <v>25.8</v>
      </c>
      <c r="J58" s="10">
        <v>28.3</v>
      </c>
      <c r="K58" s="10">
        <v>34.299999999999997</v>
      </c>
      <c r="L58" s="46">
        <v>44.2</v>
      </c>
      <c r="M58" s="40">
        <v>37.6</v>
      </c>
      <c r="N58" s="40">
        <v>39.6</v>
      </c>
      <c r="O58" s="36">
        <v>45.6</v>
      </c>
      <c r="P58" s="40">
        <v>43.9</v>
      </c>
      <c r="Q58" s="1">
        <v>39.5</v>
      </c>
    </row>
    <row r="59" spans="1:17">
      <c r="A59" s="1" t="s">
        <v>319</v>
      </c>
      <c r="B59" s="38" t="s">
        <v>29</v>
      </c>
      <c r="C59" s="10">
        <v>7.3</v>
      </c>
      <c r="D59" s="10">
        <v>9</v>
      </c>
      <c r="E59" s="10">
        <v>10.4</v>
      </c>
      <c r="F59" s="10">
        <v>10.5</v>
      </c>
      <c r="G59" s="10">
        <v>7.7</v>
      </c>
      <c r="H59" s="10">
        <v>8</v>
      </c>
      <c r="I59" s="10">
        <v>8.6</v>
      </c>
      <c r="J59" s="10">
        <v>9.9</v>
      </c>
      <c r="K59" s="10">
        <v>9.4</v>
      </c>
      <c r="L59" s="46">
        <v>9.9</v>
      </c>
      <c r="M59" s="40">
        <v>12.8</v>
      </c>
      <c r="N59" s="40">
        <v>12.3</v>
      </c>
      <c r="O59" s="36">
        <v>14.7</v>
      </c>
      <c r="P59" s="40">
        <v>16</v>
      </c>
      <c r="Q59" s="1">
        <v>17.5</v>
      </c>
    </row>
    <row r="60" spans="1:17" ht="13" thickBot="1">
      <c r="A60" s="1" t="s">
        <v>139</v>
      </c>
      <c r="B60" s="38" t="s">
        <v>30</v>
      </c>
      <c r="C60" s="10">
        <v>1.7</v>
      </c>
      <c r="D60" s="10">
        <v>1.9</v>
      </c>
      <c r="E60" s="10">
        <v>2.1</v>
      </c>
      <c r="F60" s="10">
        <v>1.6</v>
      </c>
      <c r="G60" s="10">
        <v>1.7</v>
      </c>
      <c r="H60" s="10">
        <v>2.7</v>
      </c>
      <c r="I60" s="10">
        <v>1.7</v>
      </c>
      <c r="J60" s="10">
        <v>3.2</v>
      </c>
      <c r="K60" s="10">
        <v>8.3000000000000007</v>
      </c>
      <c r="L60" s="47">
        <v>1.5</v>
      </c>
      <c r="M60" s="40">
        <v>1.7</v>
      </c>
      <c r="N60" s="40">
        <v>3.1</v>
      </c>
      <c r="O60" s="36">
        <v>1.2</v>
      </c>
      <c r="P60" s="40">
        <v>1</v>
      </c>
      <c r="Q60" s="1">
        <v>0.9</v>
      </c>
    </row>
    <row r="61" spans="1:17" ht="13.5" thickBot="1">
      <c r="B61" s="35"/>
      <c r="C61" s="45">
        <v>293.7</v>
      </c>
      <c r="D61" s="45">
        <v>278.09999999999997</v>
      </c>
      <c r="E61" s="45">
        <v>296.59999999999997</v>
      </c>
      <c r="F61" s="45">
        <v>288.60000000000002</v>
      </c>
      <c r="G61" s="45">
        <v>331.5</v>
      </c>
      <c r="H61" s="45">
        <v>330.9</v>
      </c>
      <c r="I61" s="45">
        <v>350.20000000000005</v>
      </c>
      <c r="J61" s="45">
        <v>461.79999999999995</v>
      </c>
      <c r="K61" s="45">
        <v>407</v>
      </c>
      <c r="L61" s="45">
        <v>431.99999999999994</v>
      </c>
      <c r="M61" s="45">
        <v>439.4</v>
      </c>
      <c r="N61" s="45">
        <v>517.5</v>
      </c>
      <c r="O61" s="45">
        <v>536.1</v>
      </c>
      <c r="P61" s="45">
        <v>500.29999999999995</v>
      </c>
      <c r="Q61" s="45">
        <v>526.4</v>
      </c>
    </row>
    <row r="62" spans="1:17" ht="13.5" thickBot="1">
      <c r="B62" s="35" t="s">
        <v>31</v>
      </c>
      <c r="C62" s="48">
        <v>1249.5</v>
      </c>
      <c r="D62" s="48">
        <v>1234.3</v>
      </c>
      <c r="E62" s="48">
        <v>1270.5999999999999</v>
      </c>
      <c r="F62" s="48">
        <v>1297.5</v>
      </c>
      <c r="G62" s="48">
        <v>1414.8999999999999</v>
      </c>
      <c r="H62" s="48">
        <v>1683.3000000000002</v>
      </c>
      <c r="I62" s="48">
        <v>1742.4</v>
      </c>
      <c r="J62" s="48">
        <v>1903</v>
      </c>
      <c r="K62" s="48">
        <v>2013.8</v>
      </c>
      <c r="L62" s="48">
        <v>2098.8000000000002</v>
      </c>
      <c r="M62" s="48">
        <v>2138.5</v>
      </c>
      <c r="N62" s="48">
        <v>2206.6999999999998</v>
      </c>
      <c r="O62" s="48">
        <v>2414.3000000000002</v>
      </c>
      <c r="P62" s="48">
        <v>2554.3000000000002</v>
      </c>
      <c r="Q62" s="48">
        <v>2651.2999999999997</v>
      </c>
    </row>
    <row r="63" spans="1:17" ht="13">
      <c r="B63" s="35" t="s">
        <v>32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37"/>
      <c r="N63" s="37"/>
      <c r="O63" s="37"/>
      <c r="P63" s="37"/>
      <c r="Q63" s="49"/>
    </row>
    <row r="64" spans="1:17">
      <c r="A64" s="1" t="s">
        <v>325</v>
      </c>
      <c r="B64" s="38" t="s">
        <v>34</v>
      </c>
      <c r="C64" s="10">
        <v>-103.1</v>
      </c>
      <c r="D64" s="10">
        <v>-98.6</v>
      </c>
      <c r="E64" s="10">
        <v>-103.7</v>
      </c>
      <c r="F64" s="10">
        <v>-98.3</v>
      </c>
      <c r="G64" s="10">
        <v>-107</v>
      </c>
      <c r="H64" s="10">
        <v>-108.8</v>
      </c>
      <c r="I64" s="10">
        <v>-114.7</v>
      </c>
      <c r="J64" s="10">
        <v>-122.5</v>
      </c>
      <c r="K64" s="10">
        <v>-126.8</v>
      </c>
      <c r="L64" s="49">
        <v>-133.30000000000001</v>
      </c>
      <c r="M64" s="10">
        <v>-143.19999999999999</v>
      </c>
      <c r="N64" s="10">
        <v>-169.3</v>
      </c>
      <c r="O64" s="49">
        <v>-160.80000000000001</v>
      </c>
      <c r="P64" s="49">
        <v>-168.6</v>
      </c>
      <c r="Q64" s="49">
        <v>-175</v>
      </c>
    </row>
    <row r="65" spans="1:17">
      <c r="A65" s="1" t="s">
        <v>323</v>
      </c>
      <c r="B65" s="38" t="s">
        <v>35</v>
      </c>
      <c r="C65" s="10">
        <v>-200.9</v>
      </c>
      <c r="D65" s="10">
        <v>-217</v>
      </c>
      <c r="E65" s="10">
        <v>-224.2</v>
      </c>
      <c r="F65" s="10">
        <v>-214.3</v>
      </c>
      <c r="G65" s="10">
        <v>-212.4</v>
      </c>
      <c r="H65" s="10">
        <v>-235.2</v>
      </c>
      <c r="I65" s="10">
        <v>-274.2</v>
      </c>
      <c r="J65" s="10">
        <v>-275.5</v>
      </c>
      <c r="K65" s="10">
        <v>-275.60000000000002</v>
      </c>
      <c r="L65" s="49">
        <v>-307.2</v>
      </c>
      <c r="M65" s="10">
        <v>-344.7</v>
      </c>
      <c r="N65" s="10">
        <v>-274</v>
      </c>
      <c r="O65" s="49">
        <v>-340</v>
      </c>
      <c r="P65" s="49">
        <v>-371.9</v>
      </c>
      <c r="Q65" s="49">
        <v>-407</v>
      </c>
    </row>
    <row r="66" spans="1:17">
      <c r="A66" s="1" t="s">
        <v>324</v>
      </c>
      <c r="B66" s="38" t="s">
        <v>36</v>
      </c>
      <c r="C66" s="10">
        <v>-270.10000000000002</v>
      </c>
      <c r="D66" s="10">
        <v>-259.39999999999998</v>
      </c>
      <c r="E66" s="10">
        <v>-341.1</v>
      </c>
      <c r="F66" s="10">
        <v>-408.4</v>
      </c>
      <c r="G66" s="10">
        <v>-432.8</v>
      </c>
      <c r="H66" s="10">
        <v>-444.2</v>
      </c>
      <c r="I66" s="10">
        <v>-452.5</v>
      </c>
      <c r="J66" s="10">
        <v>-584.9</v>
      </c>
      <c r="K66" s="10">
        <v>-654</v>
      </c>
      <c r="L66" s="49">
        <v>-652.1</v>
      </c>
      <c r="M66" s="10">
        <v>-656.8</v>
      </c>
      <c r="N66" s="10">
        <v>-943.3</v>
      </c>
      <c r="O66" s="49">
        <v>-1030.4000000000001</v>
      </c>
      <c r="P66" s="49">
        <v>-948</v>
      </c>
      <c r="Q66" s="49">
        <v>-868.5</v>
      </c>
    </row>
    <row r="67" spans="1:17" ht="13" thickBot="1">
      <c r="A67" s="1" t="s">
        <v>337</v>
      </c>
      <c r="B67" s="38" t="s">
        <v>37</v>
      </c>
      <c r="C67" s="10">
        <v>-15.7</v>
      </c>
      <c r="D67" s="10">
        <v>-11.6</v>
      </c>
      <c r="E67" s="10">
        <v>-13.6</v>
      </c>
      <c r="F67" s="10">
        <v>-13.4</v>
      </c>
      <c r="G67" s="10">
        <v>-17.100000000000001</v>
      </c>
      <c r="H67" s="10">
        <v>-14.9</v>
      </c>
      <c r="I67" s="10">
        <v>-14.7</v>
      </c>
      <c r="J67" s="10">
        <v>-15.6</v>
      </c>
      <c r="K67" s="10">
        <v>-16.399999999999999</v>
      </c>
      <c r="L67" s="52">
        <v>-17.7</v>
      </c>
      <c r="M67" s="10">
        <v>-30.4</v>
      </c>
      <c r="N67" s="10">
        <v>-28.4</v>
      </c>
      <c r="O67" s="49">
        <v>-29.7</v>
      </c>
      <c r="P67" s="49">
        <v>-29.8</v>
      </c>
      <c r="Q67" s="49">
        <v>-22.2</v>
      </c>
    </row>
    <row r="68" spans="1:17" ht="13">
      <c r="B68" s="35"/>
      <c r="C68" s="45">
        <v>-589.80000000000007</v>
      </c>
      <c r="D68" s="45">
        <v>-586.6</v>
      </c>
      <c r="E68" s="45">
        <v>-682.6</v>
      </c>
      <c r="F68" s="45">
        <v>-734.4</v>
      </c>
      <c r="G68" s="45">
        <v>-769.30000000000007</v>
      </c>
      <c r="H68" s="45">
        <v>-803.1</v>
      </c>
      <c r="I68" s="45">
        <v>-856.1</v>
      </c>
      <c r="J68" s="45">
        <v>-998.5</v>
      </c>
      <c r="K68" s="45">
        <v>-1072.8000000000002</v>
      </c>
      <c r="L68" s="45">
        <v>-1110.3</v>
      </c>
      <c r="M68" s="45">
        <v>-1175.0999999999999</v>
      </c>
      <c r="N68" s="45">
        <v>-1415</v>
      </c>
      <c r="O68" s="45">
        <v>-1560.9</v>
      </c>
      <c r="P68" s="45">
        <v>-1518.3</v>
      </c>
      <c r="Q68" s="45">
        <v>-1472.7</v>
      </c>
    </row>
    <row r="69" spans="1:17" ht="13">
      <c r="B69" s="35" t="s">
        <v>38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37"/>
      <c r="N69" s="37"/>
      <c r="O69" s="37"/>
      <c r="P69" s="37"/>
    </row>
    <row r="70" spans="1:17">
      <c r="A70" s="1" t="s">
        <v>325</v>
      </c>
      <c r="B70" s="38" t="s">
        <v>34</v>
      </c>
      <c r="C70" s="10">
        <v>-74</v>
      </c>
      <c r="D70" s="10">
        <v>-49.8</v>
      </c>
      <c r="E70" s="10">
        <v>-55.2</v>
      </c>
      <c r="F70" s="10">
        <v>-55.2</v>
      </c>
      <c r="G70" s="10">
        <v>-66</v>
      </c>
      <c r="H70" s="10">
        <v>-64.099999999999994</v>
      </c>
      <c r="I70" s="10">
        <v>-65.5</v>
      </c>
      <c r="J70" s="10">
        <v>-63.1</v>
      </c>
      <c r="K70" s="10">
        <v>-64.400000000000006</v>
      </c>
      <c r="L70" s="49">
        <v>-58.6</v>
      </c>
      <c r="M70" s="10">
        <v>-57.9</v>
      </c>
      <c r="N70" s="10">
        <v>-52</v>
      </c>
      <c r="O70" s="10">
        <v>-51.8</v>
      </c>
      <c r="P70" s="10">
        <v>-47.7</v>
      </c>
      <c r="Q70" s="10">
        <v>-53.3</v>
      </c>
    </row>
    <row r="71" spans="1:17">
      <c r="A71" s="1" t="s">
        <v>323</v>
      </c>
      <c r="B71" s="38" t="s">
        <v>35</v>
      </c>
      <c r="C71" s="10">
        <v>-580.9</v>
      </c>
      <c r="D71" s="10">
        <v>-691.2</v>
      </c>
      <c r="E71" s="10">
        <v>-741.3</v>
      </c>
      <c r="F71" s="10">
        <v>-781.9</v>
      </c>
      <c r="G71" s="10">
        <v>-883.7</v>
      </c>
      <c r="H71" s="10">
        <v>-939.3</v>
      </c>
      <c r="I71" s="10">
        <v>-986.4</v>
      </c>
      <c r="J71" s="10">
        <v>-1013.5</v>
      </c>
      <c r="K71" s="10">
        <v>-1071.8</v>
      </c>
      <c r="L71" s="49">
        <v>-1100</v>
      </c>
      <c r="M71" s="10">
        <v>-1100.7</v>
      </c>
      <c r="N71" s="10">
        <v>-1246.3</v>
      </c>
      <c r="O71" s="10">
        <v>-1235.7</v>
      </c>
      <c r="P71" s="10">
        <v>-1382.1</v>
      </c>
      <c r="Q71" s="10">
        <v>-1613</v>
      </c>
    </row>
    <row r="72" spans="1:17">
      <c r="A72" s="1" t="s">
        <v>324</v>
      </c>
      <c r="B72" s="38" t="s">
        <v>36</v>
      </c>
      <c r="C72" s="10">
        <v>-11.5</v>
      </c>
      <c r="D72" s="10">
        <v>-36</v>
      </c>
      <c r="E72" s="10">
        <v>-33.200000000000003</v>
      </c>
      <c r="F72" s="10">
        <v>-64.400000000000006</v>
      </c>
      <c r="G72" s="10">
        <v>-95.9</v>
      </c>
      <c r="H72" s="10">
        <v>-98.3</v>
      </c>
      <c r="I72" s="10">
        <v>-104.9</v>
      </c>
      <c r="J72" s="10">
        <v>-107.3</v>
      </c>
      <c r="K72" s="10">
        <v>-98.8</v>
      </c>
      <c r="L72" s="49">
        <v>-98.1</v>
      </c>
      <c r="M72" s="10">
        <v>-105.1</v>
      </c>
      <c r="N72" s="10">
        <v>-175.5</v>
      </c>
      <c r="O72" s="10">
        <v>-303.60000000000002</v>
      </c>
      <c r="P72" s="10">
        <v>-303.2</v>
      </c>
      <c r="Q72" s="10">
        <v>-333.6</v>
      </c>
    </row>
    <row r="73" spans="1:17">
      <c r="A73" s="1" t="s">
        <v>337</v>
      </c>
      <c r="B73" s="38" t="s">
        <v>37</v>
      </c>
      <c r="C73" s="10">
        <v>-86.5</v>
      </c>
      <c r="D73" s="10">
        <v>-95.4</v>
      </c>
      <c r="E73" s="10">
        <v>-99.4</v>
      </c>
      <c r="F73" s="10">
        <v>-117.6</v>
      </c>
      <c r="G73" s="10">
        <v>-137.5</v>
      </c>
      <c r="H73" s="10">
        <v>-160.4</v>
      </c>
      <c r="I73" s="10">
        <v>-290.8</v>
      </c>
      <c r="J73" s="10">
        <v>-306.60000000000002</v>
      </c>
      <c r="K73" s="10">
        <v>-406.1</v>
      </c>
      <c r="L73" s="49">
        <v>-293.7</v>
      </c>
      <c r="M73" s="10">
        <v>-344.4</v>
      </c>
      <c r="N73" s="10">
        <v>-338</v>
      </c>
      <c r="O73" s="10">
        <v>-498.1</v>
      </c>
      <c r="P73" s="10">
        <v>-277.10000000000002</v>
      </c>
      <c r="Q73" s="10">
        <v>-240</v>
      </c>
    </row>
    <row r="74" spans="1:17" ht="13" thickBot="1">
      <c r="A74" s="1" t="s">
        <v>322</v>
      </c>
      <c r="B74" s="38" t="s">
        <v>39</v>
      </c>
      <c r="C74" s="10">
        <v>-1134.7</v>
      </c>
      <c r="D74" s="10">
        <v>-961</v>
      </c>
      <c r="E74" s="10">
        <v>-1005.8</v>
      </c>
      <c r="F74" s="10">
        <v>-1171.9000000000001</v>
      </c>
      <c r="G74" s="10">
        <v>-1303.0999999999999</v>
      </c>
      <c r="H74" s="10">
        <v>-1493.3</v>
      </c>
      <c r="I74" s="10">
        <v>-1424.7</v>
      </c>
      <c r="J74" s="10">
        <v>-1834.7</v>
      </c>
      <c r="K74" s="10">
        <v>-1865.3</v>
      </c>
      <c r="L74" s="49">
        <v>-1893.8504840000001</v>
      </c>
      <c r="M74" s="10">
        <v>-2189.5</v>
      </c>
      <c r="N74" s="10">
        <v>-2306.1999999999998</v>
      </c>
      <c r="O74" s="10">
        <v>-2639.1</v>
      </c>
      <c r="P74" s="10">
        <v>-1415</v>
      </c>
      <c r="Q74" s="10">
        <v>-1311.9</v>
      </c>
    </row>
    <row r="75" spans="1:17" ht="13.5" thickBot="1">
      <c r="B75" s="35"/>
      <c r="C75" s="45">
        <v>-1887.6</v>
      </c>
      <c r="D75" s="45">
        <v>-1833.4</v>
      </c>
      <c r="E75" s="45">
        <v>-1934.9</v>
      </c>
      <c r="F75" s="45">
        <v>-2191</v>
      </c>
      <c r="G75" s="45">
        <v>-2486.1999999999998</v>
      </c>
      <c r="H75" s="45">
        <v>-2755.4</v>
      </c>
      <c r="I75" s="45">
        <v>-2872.3</v>
      </c>
      <c r="J75" s="45">
        <v>-3325.2</v>
      </c>
      <c r="K75" s="45">
        <v>-3506.3999999999996</v>
      </c>
      <c r="L75" s="45">
        <v>-3444.2504840000001</v>
      </c>
      <c r="M75" s="45">
        <v>-3797.6</v>
      </c>
      <c r="N75" s="45">
        <v>-4118</v>
      </c>
      <c r="O75" s="45">
        <v>-4728.2999999999993</v>
      </c>
      <c r="P75" s="45">
        <v>-3425.1</v>
      </c>
      <c r="Q75" s="45">
        <v>-3551.8</v>
      </c>
    </row>
    <row r="76" spans="1:17" ht="13.5" thickBot="1">
      <c r="B76" s="35" t="s">
        <v>40</v>
      </c>
      <c r="C76" s="53">
        <v>-2477.4</v>
      </c>
      <c r="D76" s="53">
        <v>-2420</v>
      </c>
      <c r="E76" s="53">
        <v>-2617.5</v>
      </c>
      <c r="F76" s="53">
        <v>-2925.4</v>
      </c>
      <c r="G76" s="53">
        <v>-3255.5</v>
      </c>
      <c r="H76" s="53">
        <v>-3558.5</v>
      </c>
      <c r="I76" s="53">
        <v>-3728.4</v>
      </c>
      <c r="J76" s="53">
        <v>-4323.7</v>
      </c>
      <c r="K76" s="53">
        <v>-4579.2</v>
      </c>
      <c r="L76" s="53">
        <v>-4554.5504840000003</v>
      </c>
      <c r="M76" s="53">
        <v>-4972.7</v>
      </c>
      <c r="N76" s="53">
        <v>-5533</v>
      </c>
      <c r="O76" s="53">
        <v>-6289.1999999999989</v>
      </c>
      <c r="P76" s="53">
        <v>-4943.3999999999996</v>
      </c>
      <c r="Q76" s="53">
        <v>-5024.5</v>
      </c>
    </row>
    <row r="77" spans="1:17" ht="13.5" thickBot="1">
      <c r="B77" s="35" t="s">
        <v>41</v>
      </c>
      <c r="C77" s="54">
        <v>-1227.9000000000001</v>
      </c>
      <c r="D77" s="54">
        <v>-1185.7</v>
      </c>
      <c r="E77" s="54">
        <v>-1346.9</v>
      </c>
      <c r="F77" s="54">
        <v>-1627.9</v>
      </c>
      <c r="G77" s="54">
        <v>-1840.6000000000001</v>
      </c>
      <c r="H77" s="54">
        <v>-1875.1999999999998</v>
      </c>
      <c r="I77" s="54">
        <v>-1986</v>
      </c>
      <c r="J77" s="54">
        <v>-2420.6999999999998</v>
      </c>
      <c r="K77" s="54">
        <v>-2565.3999999999996</v>
      </c>
      <c r="L77" s="54">
        <v>-2455.7504840000001</v>
      </c>
      <c r="M77" s="54">
        <v>-2834.2</v>
      </c>
      <c r="N77" s="54">
        <v>-3326.3</v>
      </c>
      <c r="O77" s="54">
        <v>-3874.8999999999987</v>
      </c>
      <c r="P77" s="54">
        <v>-2389.0999999999995</v>
      </c>
      <c r="Q77" s="54">
        <v>-2373.2000000000003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26A1-E007-4E6A-A0BD-5151C0895A26}">
  <dimension ref="A1:P8"/>
  <sheetViews>
    <sheetView workbookViewId="0">
      <selection activeCell="N22" sqref="N22"/>
    </sheetView>
  </sheetViews>
  <sheetFormatPr defaultRowHeight="14"/>
  <cols>
    <col min="1" max="1" width="24.83203125" style="3" bestFit="1" customWidth="1"/>
    <col min="2" max="6" width="8.75" style="3" bestFit="1" customWidth="1"/>
    <col min="7" max="16" width="8.9140625" style="3" bestFit="1" customWidth="1"/>
    <col min="17" max="16384" width="8.6640625" style="3"/>
  </cols>
  <sheetData>
    <row r="1" spans="1:16">
      <c r="A1" s="264" t="s">
        <v>587</v>
      </c>
    </row>
    <row r="3" spans="1:16" ht="14.5" thickBot="1"/>
    <row r="4" spans="1:16">
      <c r="B4" s="245" t="s">
        <v>15</v>
      </c>
      <c r="C4" s="245" t="s">
        <v>14</v>
      </c>
      <c r="D4" s="245" t="s">
        <v>13</v>
      </c>
      <c r="E4" s="245" t="s">
        <v>12</v>
      </c>
      <c r="F4" s="245" t="s">
        <v>11</v>
      </c>
      <c r="G4" s="245" t="s">
        <v>10</v>
      </c>
      <c r="H4" s="245" t="s">
        <v>9</v>
      </c>
      <c r="I4" s="245" t="s">
        <v>8</v>
      </c>
      <c r="J4" s="245" t="s">
        <v>7</v>
      </c>
      <c r="K4" s="245" t="s">
        <v>6</v>
      </c>
      <c r="L4" s="245" t="s">
        <v>5</v>
      </c>
      <c r="M4" s="245" t="s">
        <v>4</v>
      </c>
      <c r="N4" s="245" t="s">
        <v>3</v>
      </c>
      <c r="O4" s="245" t="s">
        <v>2</v>
      </c>
      <c r="P4" s="245" t="s">
        <v>1</v>
      </c>
    </row>
    <row r="5" spans="1:16">
      <c r="A5" s="3" t="s">
        <v>319</v>
      </c>
      <c r="B5" s="265">
        <f>'Data for charts 09-24'!B31+'Data for charts 09-24'!B36</f>
        <v>308.3</v>
      </c>
      <c r="C5" s="265">
        <f>'Data for charts 09-24'!C31+'Data for charts 09-24'!C36</f>
        <v>282.60000000000002</v>
      </c>
      <c r="D5" s="265">
        <f>'Data for charts 09-24'!D31+'Data for charts 09-24'!D36</f>
        <v>291.3</v>
      </c>
      <c r="E5" s="265">
        <f>'Data for charts 09-24'!E31+'Data for charts 09-24'!E36</f>
        <v>316.2</v>
      </c>
      <c r="F5" s="265">
        <f>'Data for charts 09-24'!F31+'Data for charts 09-24'!F36</f>
        <v>359.1</v>
      </c>
      <c r="G5" s="265">
        <f>'Data for charts 09-24'!G31+'Data for charts 09-24'!G36</f>
        <v>365.5</v>
      </c>
      <c r="H5" s="265">
        <f>'Data for charts 09-24'!H31+'Data for charts 09-24'!H36</f>
        <v>373</v>
      </c>
      <c r="I5" s="265">
        <f>'Data for charts 09-24'!I31+'Data for charts 09-24'!I36</f>
        <v>458.9</v>
      </c>
      <c r="J5" s="265">
        <f>'Data for charts 09-24'!J31+'Data for charts 09-24'!J36</f>
        <v>507.6</v>
      </c>
      <c r="K5" s="265">
        <f>'Data for charts 09-24'!K31+'Data for charts 09-24'!K36</f>
        <v>514.90000000000009</v>
      </c>
      <c r="L5" s="265">
        <f>'Data for charts 09-24'!L31+'Data for charts 09-24'!L36</f>
        <v>516.20000000000005</v>
      </c>
      <c r="M5" s="265">
        <f>'Data for charts 09-24'!M31+'Data for charts 09-24'!M36</f>
        <v>605.70000000000005</v>
      </c>
      <c r="N5" s="265">
        <f>'Data for charts 09-24'!N31+'Data for charts 09-24'!N36</f>
        <v>724.8</v>
      </c>
      <c r="O5" s="265">
        <f>'Data for charts 09-24'!O31+'Data for charts 09-24'!O36</f>
        <v>721.1</v>
      </c>
      <c r="P5" s="265">
        <f>'Data for charts 09-24'!P31+'Data for charts 09-24'!P36</f>
        <v>707.6</v>
      </c>
    </row>
    <row r="6" spans="1:16">
      <c r="A6" s="3" t="s">
        <v>321</v>
      </c>
      <c r="B6" s="265">
        <f>'Data for charts 09-24'!B30</f>
        <v>14.4</v>
      </c>
      <c r="C6" s="265">
        <f>'Data for charts 09-24'!C30</f>
        <v>15.1</v>
      </c>
      <c r="D6" s="265">
        <f>'Data for charts 09-24'!D30</f>
        <v>15.9</v>
      </c>
      <c r="E6" s="265">
        <f>'Data for charts 09-24'!E30</f>
        <v>16.600000000000001</v>
      </c>
      <c r="F6" s="265">
        <f>'Data for charts 09-24'!F30</f>
        <v>17.7</v>
      </c>
      <c r="G6" s="265">
        <f>'Data for charts 09-24'!G30</f>
        <v>12.7</v>
      </c>
      <c r="H6" s="265">
        <f>'Data for charts 09-24'!H30</f>
        <v>14.4</v>
      </c>
      <c r="I6" s="265">
        <f>'Data for charts 09-24'!I30</f>
        <v>15.2</v>
      </c>
      <c r="J6" s="265">
        <f>'Data for charts 09-24'!J30</f>
        <v>19.100000000000001</v>
      </c>
      <c r="K6" s="265">
        <f>'Data for charts 09-24'!K30</f>
        <v>17.899999999999999</v>
      </c>
      <c r="L6" s="265">
        <f>'Data for charts 09-24'!L30</f>
        <v>22.3</v>
      </c>
      <c r="M6" s="265">
        <f>'Data for charts 09-24'!M30</f>
        <v>20.6</v>
      </c>
      <c r="N6" s="265">
        <f>'Data for charts 09-24'!N30</f>
        <v>22.4</v>
      </c>
      <c r="O6" s="265">
        <f>'Data for charts 09-24'!O30</f>
        <v>22.7</v>
      </c>
      <c r="P6" s="265">
        <f>'Data for charts 09-24'!P30</f>
        <v>21.4</v>
      </c>
    </row>
    <row r="7" spans="1:16">
      <c r="A7" s="3" t="s">
        <v>139</v>
      </c>
      <c r="B7" s="265">
        <f>'Data for charts 09-24'!B41-B8-B6-B5</f>
        <v>214.00000000000006</v>
      </c>
      <c r="C7" s="265">
        <f>'Data for charts 09-24'!C41-C8-C6-C5</f>
        <v>222.59999999999991</v>
      </c>
      <c r="D7" s="265">
        <f>'Data for charts 09-24'!D41-D8-D6-D5</f>
        <v>218.89999999999992</v>
      </c>
      <c r="E7" s="265">
        <f>'Data for charts 09-24'!E41-E8-E6-E5</f>
        <v>217.90000000000003</v>
      </c>
      <c r="F7" s="265">
        <f>'Data for charts 09-24'!F41-F8-F6-F5</f>
        <v>225.79999999999984</v>
      </c>
      <c r="G7" s="265">
        <f>'Data for charts 09-24'!G41-G8-G6-G5</f>
        <v>229.30000000000018</v>
      </c>
      <c r="H7" s="265">
        <f>'Data for charts 09-24'!H41-H8-H6-H5</f>
        <v>234.80000000000007</v>
      </c>
      <c r="I7" s="265">
        <f>'Data for charts 09-24'!I41-I8-I6-I5</f>
        <v>261.30000000000007</v>
      </c>
      <c r="J7" s="265">
        <f>'Data for charts 09-24'!J41-J8-J6-J5</f>
        <v>278.69999999999982</v>
      </c>
      <c r="K7" s="265">
        <f>'Data for charts 09-24'!K41-K8-K6-K5</f>
        <v>298.00000000000011</v>
      </c>
      <c r="L7" s="265">
        <f>'Data for charts 09-24'!L41-L8-L6-L5</f>
        <v>286.70000000000005</v>
      </c>
      <c r="M7" s="265">
        <f>'Data for charts 09-24'!M41-M8-M6-M5</f>
        <v>310.0999999999998</v>
      </c>
      <c r="N7" s="265">
        <f>'Data for charts 09-24'!N41-N8-N6-N5</f>
        <v>326.70000000000005</v>
      </c>
      <c r="O7" s="265">
        <f>'Data for charts 09-24'!O41-O8-O6-O5</f>
        <v>375.20000000000016</v>
      </c>
      <c r="P7" s="265">
        <f>'Data for charts 09-24'!P41-P8-P6-P5</f>
        <v>383.1999999999997</v>
      </c>
    </row>
    <row r="8" spans="1:16">
      <c r="A8" s="3" t="s">
        <v>335</v>
      </c>
      <c r="B8" s="265">
        <f>'Data for charts 09-24'!B26</f>
        <v>712.8</v>
      </c>
      <c r="C8" s="265">
        <f>'Data for charts 09-24'!C26</f>
        <v>714</v>
      </c>
      <c r="D8" s="265">
        <f>'Data for charts 09-24'!D26</f>
        <v>744.5</v>
      </c>
      <c r="E8" s="265">
        <f>'Data for charts 09-24'!E26</f>
        <v>746.8</v>
      </c>
      <c r="F8" s="265">
        <f>'Data for charts 09-24'!F26</f>
        <v>812.3</v>
      </c>
      <c r="G8" s="265">
        <f>'Data for charts 09-24'!G26</f>
        <v>1075.8</v>
      </c>
      <c r="H8" s="265">
        <f>'Data for charts 09-24'!H26</f>
        <v>1120.2</v>
      </c>
      <c r="I8" s="265">
        <f>'Data for charts 09-24'!I26</f>
        <v>1167.5999999999999</v>
      </c>
      <c r="J8" s="265">
        <f>'Data for charts 09-24'!J26</f>
        <v>1208.4000000000001</v>
      </c>
      <c r="K8" s="265">
        <f>'Data for charts 09-24'!K26</f>
        <v>1268</v>
      </c>
      <c r="L8" s="265">
        <f>'Data for charts 09-24'!L26</f>
        <v>1313.3</v>
      </c>
      <c r="M8" s="265">
        <f>'Data for charts 09-24'!M26</f>
        <v>1270.3</v>
      </c>
      <c r="N8" s="265">
        <f>'Data for charts 09-24'!N26</f>
        <v>1340.4</v>
      </c>
      <c r="O8" s="265">
        <f>'Data for charts 09-24'!O26</f>
        <v>1435.3</v>
      </c>
      <c r="P8" s="265">
        <f>'Data for charts 09-24'!P26</f>
        <v>1539.1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K74"/>
  <sheetViews>
    <sheetView zoomScaleNormal="100" workbookViewId="0">
      <selection activeCell="K29" sqref="K29"/>
    </sheetView>
  </sheetViews>
  <sheetFormatPr defaultColWidth="9" defaultRowHeight="12.5"/>
  <cols>
    <col min="1" max="1" width="9" style="2" customWidth="1"/>
    <col min="2" max="2" width="9.83203125" style="2" customWidth="1"/>
    <col min="3" max="16384" width="9" style="2"/>
  </cols>
  <sheetData>
    <row r="1" spans="1:1" ht="13">
      <c r="A1" s="244" t="s">
        <v>588</v>
      </c>
    </row>
    <row r="28" spans="1:11" ht="13">
      <c r="A28" s="148" t="s">
        <v>342</v>
      </c>
    </row>
    <row r="29" spans="1:11" ht="50">
      <c r="A29" s="149"/>
      <c r="B29" s="17" t="s">
        <v>135</v>
      </c>
      <c r="C29" s="17" t="s">
        <v>136</v>
      </c>
      <c r="D29" s="17" t="s">
        <v>137</v>
      </c>
      <c r="E29" s="17" t="s">
        <v>138</v>
      </c>
      <c r="F29" s="17" t="s">
        <v>139</v>
      </c>
      <c r="G29" s="17" t="s">
        <v>80</v>
      </c>
      <c r="H29" s="176"/>
      <c r="I29" s="176"/>
      <c r="J29" s="176"/>
      <c r="K29" s="176"/>
    </row>
    <row r="30" spans="1:11">
      <c r="A30" s="195" t="str">
        <f>'Data for charts 09-24'!B16</f>
        <v>2009-10</v>
      </c>
      <c r="B30" s="23">
        <f>'Data for charts 09-24'!B191</f>
        <v>234.3</v>
      </c>
      <c r="C30" s="23">
        <f>'Data for charts 09-24'!B192</f>
        <v>357.2</v>
      </c>
      <c r="D30" s="23">
        <f>'Data for charts 09-24'!B193</f>
        <v>43.8</v>
      </c>
      <c r="E30" s="23">
        <f>'Data for charts 09-24'!B194</f>
        <v>36</v>
      </c>
      <c r="F30" s="23">
        <f>'Data for charts 09-24'!B195</f>
        <v>41.5</v>
      </c>
      <c r="G30" s="23">
        <f t="shared" ref="G30:G43" si="0">SUM(B30:F30)</f>
        <v>712.8</v>
      </c>
      <c r="H30" s="176"/>
      <c r="I30" s="176"/>
      <c r="J30" s="176"/>
      <c r="K30" s="176"/>
    </row>
    <row r="31" spans="1:11">
      <c r="A31" s="195" t="str">
        <f>'Data for charts 09-24'!B15</f>
        <v>2010-11</v>
      </c>
      <c r="B31" s="23">
        <f>'Data for charts 09-24'!C191</f>
        <v>254.1</v>
      </c>
      <c r="C31" s="23">
        <f>'Data for charts 09-24'!C192</f>
        <v>335.1</v>
      </c>
      <c r="D31" s="23">
        <f>'Data for charts 09-24'!C193</f>
        <v>41.6</v>
      </c>
      <c r="E31" s="23">
        <f>'Data for charts 09-24'!C194</f>
        <v>35.700000000000003</v>
      </c>
      <c r="F31" s="23">
        <f>'Data for charts 09-24'!C195</f>
        <v>47.5</v>
      </c>
      <c r="G31" s="23">
        <f t="shared" si="0"/>
        <v>714.00000000000011</v>
      </c>
      <c r="H31" s="176"/>
      <c r="I31" s="176"/>
      <c r="J31" s="176"/>
      <c r="K31" s="176"/>
    </row>
    <row r="32" spans="1:11">
      <c r="A32" s="195" t="str">
        <f>'Data for charts 09-24'!B14</f>
        <v>2011-12</v>
      </c>
      <c r="B32" s="23">
        <f>'Data for charts 09-24'!D191</f>
        <v>269.10000000000002</v>
      </c>
      <c r="C32" s="23">
        <f>'Data for charts 09-24'!D192</f>
        <v>347.8</v>
      </c>
      <c r="D32" s="23">
        <f>'Data for charts 09-24'!D193</f>
        <v>43.8</v>
      </c>
      <c r="E32" s="23">
        <f>'Data for charts 09-24'!D194</f>
        <v>34.6</v>
      </c>
      <c r="F32" s="23">
        <f>'Data for charts 09-24'!D195</f>
        <v>49.2</v>
      </c>
      <c r="G32" s="23">
        <f t="shared" si="0"/>
        <v>744.50000000000011</v>
      </c>
      <c r="H32" s="176"/>
      <c r="I32" s="176"/>
      <c r="J32" s="176"/>
      <c r="K32" s="176"/>
    </row>
    <row r="33" spans="1:11">
      <c r="A33" s="195" t="str">
        <f>'Data for charts 09-24'!B13</f>
        <v>2012-13</v>
      </c>
      <c r="B33" s="23">
        <f>'Data for charts 09-24'!E191</f>
        <v>273.39999999999998</v>
      </c>
      <c r="C33" s="23">
        <f>'Data for charts 09-24'!E192</f>
        <v>348</v>
      </c>
      <c r="D33" s="23">
        <f>'Data for charts 09-24'!E193</f>
        <v>39</v>
      </c>
      <c r="E33" s="23">
        <f>'Data for charts 09-24'!E194</f>
        <v>35.700000000000003</v>
      </c>
      <c r="F33" s="23">
        <f>'Data for charts 09-24'!E195</f>
        <v>50.7</v>
      </c>
      <c r="G33" s="23">
        <f t="shared" si="0"/>
        <v>746.80000000000007</v>
      </c>
      <c r="H33" s="176"/>
      <c r="I33" s="176"/>
    </row>
    <row r="34" spans="1:11">
      <c r="A34" s="195" t="str">
        <f>'Data for charts 09-24'!B12</f>
        <v>2013-14</v>
      </c>
      <c r="B34" s="23">
        <f>'Data for charts 09-24'!F191</f>
        <v>327.9</v>
      </c>
      <c r="C34" s="23">
        <f>'Data for charts 09-24'!F192</f>
        <v>357.8</v>
      </c>
      <c r="D34" s="23">
        <f>'Data for charts 09-24'!F193</f>
        <v>42.5</v>
      </c>
      <c r="E34" s="23">
        <f>'Data for charts 09-24'!F194</f>
        <v>33.299999999999997</v>
      </c>
      <c r="F34" s="23">
        <f>'Data for charts 09-24'!F195</f>
        <v>50.8</v>
      </c>
      <c r="G34" s="23">
        <f t="shared" si="0"/>
        <v>812.3</v>
      </c>
      <c r="H34" s="178"/>
      <c r="I34" s="176"/>
    </row>
    <row r="35" spans="1:11">
      <c r="A35" s="195" t="str">
        <f>'Data for charts 09-24'!B11</f>
        <v>2014-15</v>
      </c>
      <c r="B35" s="23">
        <f>'Data for charts 09-24'!G191</f>
        <v>561.20000000000005</v>
      </c>
      <c r="C35" s="23">
        <f>'Data for charts 09-24'!G192</f>
        <v>379.9</v>
      </c>
      <c r="D35" s="23">
        <f>'Data for charts 09-24'!G193</f>
        <v>48.8</v>
      </c>
      <c r="E35" s="23">
        <f>'Data for charts 09-24'!G194</f>
        <v>31.8</v>
      </c>
      <c r="F35" s="23">
        <f>'Data for charts 09-24'!G195</f>
        <v>54.1</v>
      </c>
      <c r="G35" s="23">
        <f t="shared" si="0"/>
        <v>1075.8</v>
      </c>
      <c r="H35" s="178"/>
      <c r="I35" s="176"/>
    </row>
    <row r="36" spans="1:11">
      <c r="A36" s="195" t="str">
        <f>'Data for charts 09-24'!B10</f>
        <v>2015-16</v>
      </c>
      <c r="B36" s="23">
        <f>'Data for charts 09-24'!H191</f>
        <v>572.6</v>
      </c>
      <c r="C36" s="23">
        <f>'Data for charts 09-24'!H192</f>
        <v>405.9</v>
      </c>
      <c r="D36" s="23">
        <f>'Data for charts 09-24'!H193</f>
        <v>53.3</v>
      </c>
      <c r="E36" s="23">
        <f>'Data for charts 09-24'!H194</f>
        <v>33.799999999999997</v>
      </c>
      <c r="F36" s="23">
        <f>'Data for charts 09-24'!H195</f>
        <v>54.6</v>
      </c>
      <c r="G36" s="23">
        <f t="shared" si="0"/>
        <v>1120.1999999999998</v>
      </c>
      <c r="H36" s="178"/>
      <c r="I36" s="176"/>
    </row>
    <row r="37" spans="1:11">
      <c r="A37" s="195" t="str">
        <f>'Data for charts 09-24'!B9</f>
        <v>2016-17</v>
      </c>
      <c r="B37" s="23">
        <f>'Data for charts 09-24'!I191</f>
        <v>595.6</v>
      </c>
      <c r="C37" s="23">
        <f>'Data for charts 09-24'!I192</f>
        <v>419.6</v>
      </c>
      <c r="D37" s="23">
        <f>'Data for charts 09-24'!I193</f>
        <v>63.1</v>
      </c>
      <c r="E37" s="23">
        <f>'Data for charts 09-24'!I194</f>
        <v>33.1</v>
      </c>
      <c r="F37" s="23">
        <f>'Data for charts 09-24'!I195</f>
        <v>56.2</v>
      </c>
      <c r="G37" s="23">
        <f t="shared" si="0"/>
        <v>1167.5999999999999</v>
      </c>
      <c r="H37" s="178"/>
      <c r="I37" s="176"/>
    </row>
    <row r="38" spans="1:11">
      <c r="A38" s="195" t="str">
        <f>'Data for charts 09-24'!B8</f>
        <v>2017-18</v>
      </c>
      <c r="B38" s="23">
        <f>'Data for charts 09-24'!J191</f>
        <v>616.6</v>
      </c>
      <c r="C38" s="23">
        <f>'Data for charts 09-24'!J192</f>
        <v>431.2</v>
      </c>
      <c r="D38" s="23">
        <f>'Data for charts 09-24'!J193</f>
        <v>65.2</v>
      </c>
      <c r="E38" s="23">
        <f>'Data for charts 09-24'!J194</f>
        <v>37.700000000000003</v>
      </c>
      <c r="F38" s="23">
        <f>'Data for charts 09-24'!J195</f>
        <v>57.7</v>
      </c>
      <c r="G38" s="23">
        <f t="shared" si="0"/>
        <v>1208.4000000000001</v>
      </c>
      <c r="H38" s="178"/>
      <c r="I38" s="176"/>
    </row>
    <row r="39" spans="1:11">
      <c r="A39" s="195" t="str">
        <f>'Data for charts 09-24'!B7</f>
        <v>2018-19</v>
      </c>
      <c r="B39" s="23">
        <f>'Data for charts 09-24'!K191</f>
        <v>656.7</v>
      </c>
      <c r="C39" s="23">
        <f>'Data for charts 09-24'!K192</f>
        <v>442.7</v>
      </c>
      <c r="D39" s="23">
        <f>'Data for charts 09-24'!K193</f>
        <v>72.3</v>
      </c>
      <c r="E39" s="23">
        <f>'Data for charts 09-24'!K194</f>
        <v>37.799999999999997</v>
      </c>
      <c r="F39" s="23">
        <f>'Data for charts 09-24'!K195</f>
        <v>58.5</v>
      </c>
      <c r="G39" s="23">
        <f t="shared" si="0"/>
        <v>1268</v>
      </c>
      <c r="H39" s="176"/>
      <c r="I39" s="176"/>
    </row>
    <row r="40" spans="1:11">
      <c r="A40" s="195" t="str">
        <f>'Data for charts 09-24'!B6</f>
        <v>2019-20</v>
      </c>
      <c r="B40" s="23">
        <f>'Data for charts 09-24'!L191</f>
        <v>675.9</v>
      </c>
      <c r="C40" s="23">
        <f>'Data for charts 09-24'!L192</f>
        <v>459.2</v>
      </c>
      <c r="D40" s="23">
        <f>'Data for charts 09-24'!L193</f>
        <v>76.5</v>
      </c>
      <c r="E40" s="23">
        <f>'Data for charts 09-24'!L194</f>
        <v>41.3</v>
      </c>
      <c r="F40" s="23">
        <f>'Data for charts 09-24'!L195</f>
        <v>60.4</v>
      </c>
      <c r="G40" s="23">
        <f t="shared" si="0"/>
        <v>1313.3</v>
      </c>
      <c r="H40" s="176"/>
      <c r="I40" s="176"/>
    </row>
    <row r="41" spans="1:11">
      <c r="A41" s="195" t="str">
        <f>'Data for charts 09-24'!B5</f>
        <v>2020-21</v>
      </c>
      <c r="B41" s="23">
        <f>'Data for charts 09-24'!M191</f>
        <v>676.7</v>
      </c>
      <c r="C41" s="23">
        <f>'Data for charts 09-24'!M192</f>
        <v>409.3</v>
      </c>
      <c r="D41" s="23">
        <f>'Data for charts 09-24'!M193</f>
        <v>87.9</v>
      </c>
      <c r="E41" s="23">
        <f>'Data for charts 09-24'!M194</f>
        <v>40.6</v>
      </c>
      <c r="F41" s="23">
        <f>'Data for charts 09-24'!M195</f>
        <v>55.8</v>
      </c>
      <c r="G41" s="23">
        <f t="shared" si="0"/>
        <v>1270.3</v>
      </c>
      <c r="H41" s="176"/>
      <c r="I41" s="176"/>
      <c r="J41" s="176"/>
      <c r="K41" s="176"/>
    </row>
    <row r="42" spans="1:11">
      <c r="A42" s="195" t="str">
        <f>'Data for charts 09-24'!B4</f>
        <v>2021-22</v>
      </c>
      <c r="B42" s="23">
        <f>'Data for charts 09-24'!N191</f>
        <v>734.4</v>
      </c>
      <c r="C42" s="23">
        <f>'Data for charts 09-24'!N192</f>
        <v>411.1</v>
      </c>
      <c r="D42" s="23">
        <f>'Data for charts 09-24'!N193</f>
        <v>97.2</v>
      </c>
      <c r="E42" s="23">
        <f>'Data for charts 09-24'!N194</f>
        <v>44</v>
      </c>
      <c r="F42" s="23">
        <f>'Data for charts 09-24'!N195</f>
        <v>53.7</v>
      </c>
      <c r="G42" s="23">
        <f t="shared" si="0"/>
        <v>1340.4</v>
      </c>
      <c r="H42" s="176"/>
      <c r="I42" s="176"/>
      <c r="J42" s="176"/>
      <c r="K42" s="176"/>
    </row>
    <row r="43" spans="1:11">
      <c r="A43" s="195" t="str">
        <f>'Data for charts 09-24'!B3</f>
        <v>2022-23</v>
      </c>
      <c r="B43" s="23">
        <f>'Data for charts 09-24'!O191</f>
        <v>831</v>
      </c>
      <c r="C43" s="23">
        <f>'Data for charts 09-24'!O192</f>
        <v>403.5</v>
      </c>
      <c r="D43" s="23">
        <f>'Data for charts 09-24'!O193</f>
        <v>97.3</v>
      </c>
      <c r="E43" s="23">
        <f>'Data for charts 09-24'!O194</f>
        <v>44.8</v>
      </c>
      <c r="F43" s="23">
        <f>'Data for charts 09-24'!O195</f>
        <v>58.7</v>
      </c>
      <c r="G43" s="23">
        <f t="shared" si="0"/>
        <v>1435.3</v>
      </c>
    </row>
    <row r="44" spans="1:11">
      <c r="A44" s="201" t="s">
        <v>1</v>
      </c>
      <c r="B44" s="23">
        <f>'Data for charts 09-24'!P191</f>
        <v>915.9</v>
      </c>
      <c r="C44" s="23">
        <f>'Data for charts 09-24'!P192</f>
        <v>403.5</v>
      </c>
      <c r="D44" s="23">
        <f>'Data for charts 09-24'!P193</f>
        <v>114</v>
      </c>
      <c r="E44" s="23">
        <f>'Data for charts 09-24'!P194</f>
        <v>46.5</v>
      </c>
      <c r="F44" s="23">
        <f>'Data for charts 09-24'!P195</f>
        <v>59.2</v>
      </c>
      <c r="G44" s="23">
        <f>'Data for charts 09-24'!P196</f>
        <v>1539.1000000000001</v>
      </c>
    </row>
    <row r="74" spans="1:1" ht="13">
      <c r="A74" s="2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3CE7-0CE7-4D25-8790-9C16DB17BE42}">
  <dimension ref="A1:Q40"/>
  <sheetViews>
    <sheetView zoomScale="91" zoomScaleNormal="55" workbookViewId="0">
      <selection activeCell="K24" sqref="K24"/>
    </sheetView>
  </sheetViews>
  <sheetFormatPr defaultColWidth="9" defaultRowHeight="12.5"/>
  <cols>
    <col min="1" max="1" width="14.83203125" style="2" bestFit="1" customWidth="1"/>
    <col min="2" max="16384" width="9" style="2"/>
  </cols>
  <sheetData>
    <row r="1" spans="1:1" ht="13">
      <c r="A1" s="244" t="s">
        <v>589</v>
      </c>
    </row>
    <row r="24" spans="1:2" ht="13">
      <c r="A24" s="148" t="s">
        <v>343</v>
      </c>
    </row>
    <row r="25" spans="1:2">
      <c r="A25" s="199" t="s">
        <v>344</v>
      </c>
      <c r="B25" s="173">
        <v>702.2</v>
      </c>
    </row>
    <row r="26" spans="1:2">
      <c r="A26" s="172" t="s">
        <v>142</v>
      </c>
      <c r="B26" s="173">
        <v>798.4</v>
      </c>
    </row>
    <row r="27" spans="1:2">
      <c r="A27" s="172" t="s">
        <v>143</v>
      </c>
      <c r="B27" s="173">
        <v>424.2</v>
      </c>
    </row>
    <row r="28" spans="1:2">
      <c r="A28" s="172" t="s">
        <v>144</v>
      </c>
      <c r="B28" s="174">
        <v>-429</v>
      </c>
    </row>
    <row r="29" spans="1:2">
      <c r="A29" s="175" t="s">
        <v>58</v>
      </c>
      <c r="B29" s="174">
        <v>43.3</v>
      </c>
    </row>
    <row r="30" spans="1:2">
      <c r="A30" s="199" t="s">
        <v>345</v>
      </c>
      <c r="B30" s="174">
        <v>1539.1</v>
      </c>
    </row>
    <row r="32" spans="1:2" ht="13" thickBot="1"/>
    <row r="33" spans="1:17" ht="13">
      <c r="A33" s="147" t="str">
        <f>'Data for charts 09-24'!A198</f>
        <v>PPE (Note 12)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</row>
    <row r="34" spans="1:17" ht="13">
      <c r="A34" s="244"/>
      <c r="B34" s="2" t="str">
        <f>'Data for charts 09-24'!B199</f>
        <v>2009-10</v>
      </c>
      <c r="C34" s="2" t="str">
        <f>'Data for charts 09-24'!C199</f>
        <v>2010-11</v>
      </c>
      <c r="D34" s="2" t="str">
        <f>'Data for charts 09-24'!D199</f>
        <v>2011-12</v>
      </c>
      <c r="E34" s="2" t="str">
        <f>'Data for charts 09-24'!E199</f>
        <v>2012-13</v>
      </c>
      <c r="F34" s="2" t="str">
        <f>'Data for charts 09-24'!F199</f>
        <v>2013-14</v>
      </c>
      <c r="G34" s="2" t="str">
        <f>'Data for charts 09-24'!G199</f>
        <v>2014-15</v>
      </c>
      <c r="H34" s="2" t="str">
        <f>'Data for charts 09-24'!H199</f>
        <v>2015-16</v>
      </c>
      <c r="I34" s="2" t="str">
        <f>'Data for charts 09-24'!I199</f>
        <v>2016-17</v>
      </c>
      <c r="J34" s="2" t="str">
        <f>'Data for charts 09-24'!J199</f>
        <v>2017-18</v>
      </c>
      <c r="K34" s="2" t="str">
        <f>'Data for charts 09-24'!K199</f>
        <v>2018-19</v>
      </c>
      <c r="L34" s="2" t="str">
        <f>'Data for charts 09-24'!L199</f>
        <v>2019-20</v>
      </c>
      <c r="M34" s="2" t="str">
        <f>'Data for charts 09-24'!M199</f>
        <v>2020-21</v>
      </c>
      <c r="N34" s="2" t="str">
        <f>'Data for charts 09-24'!N199</f>
        <v>2021-22</v>
      </c>
      <c r="O34" s="2" t="str">
        <f>'Data for charts 09-24'!O199</f>
        <v>2022-23</v>
      </c>
      <c r="P34" s="2" t="str">
        <f>'Data for charts 09-24'!P199</f>
        <v>2023-24</v>
      </c>
      <c r="Q34" s="2" t="s">
        <v>590</v>
      </c>
    </row>
    <row r="35" spans="1:17" ht="13">
      <c r="A35" s="244" t="str">
        <f>'Data for charts 09-24'!A201</f>
        <v>Initial position</v>
      </c>
      <c r="B35" s="2">
        <f>'Data for charts 09-24'!B201</f>
        <v>702.2</v>
      </c>
      <c r="C35" s="2">
        <f>'Data for charts 09-24'!C201</f>
        <v>712.8</v>
      </c>
      <c r="D35" s="2">
        <f>'Data for charts 09-24'!D201</f>
        <v>714.00000000000011</v>
      </c>
      <c r="E35" s="2">
        <f>'Data for charts 09-24'!E201</f>
        <v>744.50000000000011</v>
      </c>
      <c r="F35" s="2">
        <f>'Data for charts 09-24'!F201</f>
        <v>746.80000000000007</v>
      </c>
      <c r="G35" s="2">
        <f>'Data for charts 09-24'!G201</f>
        <v>812.3</v>
      </c>
      <c r="H35" s="2">
        <f>'Data for charts 09-24'!H201</f>
        <v>1075.8</v>
      </c>
      <c r="I35" s="2">
        <f>'Data for charts 09-24'!I201</f>
        <v>1120.1999999999998</v>
      </c>
      <c r="J35" s="2">
        <f>'Data for charts 09-24'!J201</f>
        <v>1167.5999999999999</v>
      </c>
      <c r="K35" s="2">
        <f>'Data for charts 09-24'!K201</f>
        <v>1208.4000000000001</v>
      </c>
      <c r="L35" s="2">
        <f>'Data for charts 09-24'!L201</f>
        <v>1268</v>
      </c>
      <c r="M35" s="2">
        <f>'Data for charts 09-24'!M201</f>
        <v>1313.3</v>
      </c>
      <c r="N35" s="2">
        <f>'Data for charts 09-24'!N201</f>
        <v>1270.3</v>
      </c>
      <c r="O35" s="2">
        <f>'Data for charts 09-24'!O201</f>
        <v>1340.4</v>
      </c>
      <c r="P35" s="2">
        <f>'Data for charts 09-24'!P201</f>
        <v>1435.3</v>
      </c>
    </row>
    <row r="36" spans="1:17" ht="13">
      <c r="A36" s="244" t="str">
        <f>'Data for charts 09-24'!A202</f>
        <v>Additions</v>
      </c>
      <c r="B36" s="2">
        <f>'Data for charts 09-24'!B202</f>
        <v>46.7</v>
      </c>
      <c r="C36" s="2">
        <f>'Data for charts 09-24'!C202</f>
        <v>47.2</v>
      </c>
      <c r="D36" s="2">
        <f>'Data for charts 09-24'!D202</f>
        <v>50.1</v>
      </c>
      <c r="E36" s="2">
        <f>'Data for charts 09-24'!E202</f>
        <v>39.700000000000003</v>
      </c>
      <c r="F36" s="2">
        <f>'Data for charts 09-24'!F202</f>
        <v>36.1</v>
      </c>
      <c r="G36" s="2">
        <f>'Data for charts 09-24'!G202</f>
        <v>50.1</v>
      </c>
      <c r="H36" s="2">
        <f>'Data for charts 09-24'!H202</f>
        <v>51.1</v>
      </c>
      <c r="I36" s="2">
        <f>'Data for charts 09-24'!I202</f>
        <v>51.5</v>
      </c>
      <c r="J36" s="2">
        <f>'Data for charts 09-24'!J202</f>
        <v>55.8</v>
      </c>
      <c r="K36" s="2">
        <f>'Data for charts 09-24'!K202</f>
        <v>56.1</v>
      </c>
      <c r="L36" s="2">
        <f>'Data for charts 09-24'!L202</f>
        <v>60</v>
      </c>
      <c r="M36" s="2">
        <f>'Data for charts 09-24'!M202</f>
        <v>57.8</v>
      </c>
      <c r="N36" s="2">
        <f>'Data for charts 09-24'!N202</f>
        <v>62.4</v>
      </c>
      <c r="O36" s="2">
        <f>'Data for charts 09-24'!O202</f>
        <v>64.8</v>
      </c>
      <c r="P36" s="2">
        <f>'Data for charts 09-24'!P202</f>
        <v>69</v>
      </c>
      <c r="Q36" s="2">
        <f>SUM(B36:P36)</f>
        <v>798.4</v>
      </c>
    </row>
    <row r="37" spans="1:17" ht="13">
      <c r="A37" s="244" t="str">
        <f>'Data for charts 09-24'!A203</f>
        <v>Revaluations</v>
      </c>
      <c r="B37" s="2">
        <f>'Data for charts 09-24'!B203</f>
        <v>-13.6</v>
      </c>
      <c r="C37" s="2">
        <f>'Data for charts 09-24'!C203</f>
        <v>-18.399999999999999</v>
      </c>
      <c r="D37" s="2">
        <f>'Data for charts 09-24'!D203</f>
        <v>10.4</v>
      </c>
      <c r="E37" s="2">
        <f>'Data for charts 09-24'!E203</f>
        <v>-2</v>
      </c>
      <c r="F37" s="2">
        <f>'Data for charts 09-24'!F203</f>
        <v>5.9</v>
      </c>
      <c r="G37" s="2">
        <f>'Data for charts 09-24'!G203</f>
        <v>17.7</v>
      </c>
      <c r="H37" s="2">
        <f>'Data for charts 09-24'!H203</f>
        <v>25.5</v>
      </c>
      <c r="I37" s="2">
        <f>'Data for charts 09-24'!I203</f>
        <v>31.3</v>
      </c>
      <c r="J37" s="2">
        <f>'Data for charts 09-24'!J203</f>
        <v>21.3</v>
      </c>
      <c r="K37" s="2">
        <f>'Data for charts 09-24'!K203</f>
        <v>40.200000000000003</v>
      </c>
      <c r="L37" s="2">
        <f>'Data for charts 09-24'!L203</f>
        <v>23.5</v>
      </c>
      <c r="M37" s="2">
        <f>'Data for charts 09-24'!M203</f>
        <v>14.5</v>
      </c>
      <c r="N37" s="2">
        <f>'Data for charts 09-24'!N203</f>
        <v>74.5</v>
      </c>
      <c r="O37" s="2">
        <f>'Data for charts 09-24'!O203</f>
        <v>105.4</v>
      </c>
      <c r="P37" s="2">
        <f>'Data for charts 09-24'!P203</f>
        <v>88</v>
      </c>
      <c r="Q37" s="2">
        <f t="shared" ref="Q37:Q39" si="0">SUM(B37:P37)</f>
        <v>424.20000000000005</v>
      </c>
    </row>
    <row r="38" spans="1:17" ht="13">
      <c r="A38" s="244" t="str">
        <f>'Data for charts 09-24'!A204</f>
        <v>Depreciation</v>
      </c>
      <c r="B38" s="2">
        <f>'Data for charts 09-24'!B204</f>
        <v>-23</v>
      </c>
      <c r="C38" s="2">
        <f>'Data for charts 09-24'!C204</f>
        <v>-23.7</v>
      </c>
      <c r="D38" s="2">
        <f>'Data for charts 09-24'!D204</f>
        <v>-23.9</v>
      </c>
      <c r="E38" s="2">
        <f>'Data for charts 09-24'!E204</f>
        <v>-25.5</v>
      </c>
      <c r="F38" s="2">
        <f>'Data for charts 09-24'!F204</f>
        <v>-24.4</v>
      </c>
      <c r="G38" s="2">
        <f>'Data for charts 09-24'!G204</f>
        <v>-26.5</v>
      </c>
      <c r="H38" s="2">
        <f>'Data for charts 09-24'!H204</f>
        <v>-29.8</v>
      </c>
      <c r="I38" s="2">
        <f>'Data for charts 09-24'!I204</f>
        <v>-29</v>
      </c>
      <c r="J38" s="2">
        <f>'Data for charts 09-24'!J204</f>
        <v>-29.8</v>
      </c>
      <c r="K38" s="2">
        <f>'Data for charts 09-24'!K204</f>
        <v>-31.1</v>
      </c>
      <c r="L38" s="2">
        <f>'Data for charts 09-24'!L204</f>
        <v>-31.9</v>
      </c>
      <c r="M38" s="2">
        <f>'Data for charts 09-24'!M204</f>
        <v>-30.6</v>
      </c>
      <c r="N38" s="2">
        <f>'Data for charts 09-24'!N204</f>
        <v>-32</v>
      </c>
      <c r="O38" s="2">
        <f>'Data for charts 09-24'!O204</f>
        <v>-32.5</v>
      </c>
      <c r="P38" s="2">
        <f>'Data for charts 09-24'!P204</f>
        <v>-35.299999999999997</v>
      </c>
      <c r="Q38" s="2">
        <f t="shared" si="0"/>
        <v>-429.00000000000006</v>
      </c>
    </row>
    <row r="39" spans="1:17" ht="13">
      <c r="A39" s="244" t="str">
        <f>'Data for charts 09-24'!A205</f>
        <v>Other</v>
      </c>
      <c r="B39" s="2">
        <f>'Data for charts 09-24'!B205</f>
        <v>0.5</v>
      </c>
      <c r="C39" s="2">
        <f>'Data for charts 09-24'!C205</f>
        <v>-3.9</v>
      </c>
      <c r="D39" s="2">
        <f>'Data for charts 09-24'!D205</f>
        <v>-6.1</v>
      </c>
      <c r="E39" s="2">
        <f>'Data for charts 09-24'!E205</f>
        <v>-9.9</v>
      </c>
      <c r="F39" s="2">
        <f>'Data for charts 09-24'!F205</f>
        <v>47.9</v>
      </c>
      <c r="G39" s="2">
        <f>'Data for charts 09-24'!G205</f>
        <v>222.2</v>
      </c>
      <c r="H39" s="2">
        <f>'Data for charts 09-24'!H205</f>
        <v>-2.4</v>
      </c>
      <c r="I39" s="2">
        <f>'Data for charts 09-24'!I205</f>
        <v>-6.4</v>
      </c>
      <c r="J39" s="2">
        <f>'Data for charts 09-24'!J205</f>
        <v>-6.5</v>
      </c>
      <c r="K39" s="2">
        <f>'Data for charts 09-24'!K205</f>
        <v>-5.6</v>
      </c>
      <c r="L39" s="2">
        <f>'Data for charts 09-24'!L205</f>
        <v>-6.3</v>
      </c>
      <c r="M39" s="2">
        <f>'Data for charts 09-24'!M205</f>
        <v>-84.7</v>
      </c>
      <c r="N39" s="2">
        <f>'Data for charts 09-24'!N205</f>
        <v>-34.799999999999997</v>
      </c>
      <c r="O39" s="2">
        <f>'Data for charts 09-24'!O205</f>
        <v>-42.8</v>
      </c>
      <c r="P39" s="2">
        <f>'Data for charts 09-24'!P205</f>
        <v>-17.899999999999999</v>
      </c>
      <c r="Q39" s="2">
        <f t="shared" si="0"/>
        <v>43.299999999999962</v>
      </c>
    </row>
    <row r="40" spans="1:17" ht="13">
      <c r="A40" s="244" t="str">
        <f>'Data for charts 09-24'!A206</f>
        <v>Final position</v>
      </c>
      <c r="B40" s="2">
        <f>'Data for charts 09-24'!B206</f>
        <v>712.80000000000007</v>
      </c>
      <c r="C40" s="2">
        <f>'Data for charts 09-24'!C206</f>
        <v>714</v>
      </c>
      <c r="D40" s="2">
        <f>'Data for charts 09-24'!D206</f>
        <v>744.50000000000011</v>
      </c>
      <c r="E40" s="2">
        <f>'Data for charts 09-24'!E206</f>
        <v>746.80000000000018</v>
      </c>
      <c r="F40" s="2">
        <f>'Data for charts 09-24'!F206</f>
        <v>812.30000000000007</v>
      </c>
      <c r="G40" s="2">
        <f>'Data for charts 09-24'!G206</f>
        <v>1075.8</v>
      </c>
      <c r="H40" s="2">
        <f>'Data for charts 09-24'!H206</f>
        <v>1120.1999999999998</v>
      </c>
      <c r="I40" s="2">
        <f>'Data for charts 09-24'!I206</f>
        <v>1167.5999999999997</v>
      </c>
      <c r="J40" s="2">
        <f>'Data for charts 09-24'!J206</f>
        <v>1208.3999999999999</v>
      </c>
      <c r="K40" s="2">
        <f>'Data for charts 09-24'!K206</f>
        <v>1268.0000000000002</v>
      </c>
      <c r="L40" s="2">
        <f>'Data for charts 09-24'!L206</f>
        <v>1313.3</v>
      </c>
      <c r="M40" s="2">
        <f>'Data for charts 09-24'!M206</f>
        <v>1270.3</v>
      </c>
      <c r="N40" s="2">
        <f>'Data for charts 09-24'!N206</f>
        <v>1340.4</v>
      </c>
      <c r="O40" s="2">
        <f>'Data for charts 09-24'!O206</f>
        <v>1435.3000000000002</v>
      </c>
      <c r="P40" s="2">
        <f>'Data for charts 09-24'!P206</f>
        <v>1539.1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HMT Document" ma:contentTypeID="0x010100672A3FCA98991645BE083C320B7539B70073E2331C55A74AA0969608FB8C0629F6005D675EE3B1EBD34398F9084EE5E175EC" ma:contentTypeVersion="2633" ma:contentTypeDescription="Create an InfoStore Document" ma:contentTypeScope="" ma:versionID="cf7c802e1b1a4e94e842e12fab37eb5c">
  <xsd:schema xmlns:xsd="http://www.w3.org/2001/XMLSchema" xmlns:xs="http://www.w3.org/2001/XMLSchema" xmlns:p="http://schemas.microsoft.com/office/2006/metadata/properties" xmlns:ns1="8485635d-cf54-460b-8438-0e2015e08040" xmlns:ns2="http://schemas.microsoft.com/sharepoint/v3" xmlns:ns3="2aca26d8-bb17-4b01-a6d3-62ca56987c37" targetNamespace="http://schemas.microsoft.com/office/2006/metadata/properties" ma:root="true" ma:fieldsID="aed41e79138f60c1d6a453963ca56d41" ns1:_="" ns2:_="" ns3:_="">
    <xsd:import namespace="8485635d-cf54-460b-8438-0e2015e08040"/>
    <xsd:import namespace="http://schemas.microsoft.com/sharepoint/v3"/>
    <xsd:import namespace="2aca26d8-bb17-4b01-a6d3-62ca56987c37"/>
    <xsd:element name="properties">
      <xsd:complexType>
        <xsd:sequence>
          <xsd:element name="documentManagement">
            <xsd:complexType>
              <xsd:all>
                <xsd:element ref="ns1:HMT_DocumentTypeHTField0" minOccurs="0"/>
                <xsd:element ref="ns1:HMT_Record" minOccurs="0"/>
                <xsd:element ref="ns1:HMT_GroupHTField0" minOccurs="0"/>
                <xsd:element ref="ns1:HMT_TeamHTField0" minOccurs="0"/>
                <xsd:element ref="ns1:HMT_SubTeamHTField0" minOccurs="0"/>
                <xsd:element ref="ns1:HMT_Theme" minOccurs="0"/>
                <xsd:element ref="ns1:HMT_Topic" minOccurs="0"/>
                <xsd:element ref="ns1:HMT_SubTopic" minOccurs="0"/>
                <xsd:element ref="ns1:HMT_CategoryHTField0" minOccurs="0"/>
                <xsd:element ref="ns1:HMT_ClosedOn" minOccurs="0"/>
                <xsd:element ref="ns1:HMT_DeletedOn" minOccurs="0"/>
                <xsd:element ref="ns1:HMT_ArchivedOn" minOccurs="0"/>
                <xsd:element ref="ns1:HMT_LegacyItemID" minOccurs="0"/>
                <xsd:element ref="ns1:HMT_LegacyCreatedBy" minOccurs="0"/>
                <xsd:element ref="ns1:HMT_LegacyModifiedBy" minOccurs="0"/>
                <xsd:element ref="ns1:HMT_LegacyOrigSource" minOccurs="0"/>
                <xsd:element ref="ns1:HMT_LegacyExtRef" minOccurs="0"/>
                <xsd:element ref="ns1:HMT_LegacySensitive" minOccurs="0"/>
                <xsd:element ref="ns1:HMT_LegacyRecord" minOccurs="0"/>
                <xsd:element ref="ns1:HMT_Audit" minOccurs="0"/>
                <xsd:element ref="ns1:HMT_ClosedBy" minOccurs="0"/>
                <xsd:element ref="ns1:HMT_ArchivedBy" minOccurs="0"/>
                <xsd:element ref="ns1:HMT_ClosedArchive" minOccurs="0"/>
                <xsd:element ref="ns1:HMT_ClosedOnOrig" minOccurs="0"/>
                <xsd:element ref="ns1:HMT_ClosedbyOrig" minOccurs="0"/>
                <xsd:element ref="ns1:_dlc_DocId" minOccurs="0"/>
                <xsd:element ref="ns1:_dlc_DocIdUrl" minOccurs="0"/>
                <xsd:element ref="ns1:_dlc_DocIdPersistId" minOccurs="0"/>
                <xsd:element ref="ns1:TaxCatchAll" minOccurs="0"/>
                <xsd:element ref="ns1:TaxCatchAllLabel" minOccurs="0"/>
                <xsd:element ref="ns2:dlc_EmailSubject" minOccurs="0"/>
                <xsd:element ref="ns2:dlc_EmailMailbox" minOccurs="0"/>
                <xsd:element ref="ns2:dlc_EmailTo" minOccurs="0"/>
                <xsd:element ref="ns2:dlc_EmailFrom" minOccurs="0"/>
                <xsd:element ref="ns2:dlc_EmailBCC" minOccurs="0"/>
                <xsd:element ref="ns2:dlc_EmailCC" minOccurs="0"/>
                <xsd:element ref="ns1:b9c42a306c8b47fcbaf8a41a71352f3a" minOccurs="0"/>
                <xsd:element ref="ns2:dlc_EmailSentUTC" minOccurs="0"/>
                <xsd:element ref="ns2:dlc_EmailReceivedUTC" minOccurs="0"/>
                <xsd:element ref="ns3:MediaServiceAutoKeyPoints" minOccurs="0"/>
                <xsd:element ref="ns3:MediaServiceKeyPoints" minOccurs="0"/>
                <xsd:element ref="ns1:SharedWithUsers" minOccurs="0"/>
                <xsd:element ref="ns1:SharedWithDetails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85635d-cf54-460b-8438-0e2015e08040" elementFormDefault="qualified">
    <xsd:import namespace="http://schemas.microsoft.com/office/2006/documentManagement/types"/>
    <xsd:import namespace="http://schemas.microsoft.com/office/infopath/2007/PartnerControls"/>
    <xsd:element name="HMT_DocumentTypeHTField0" ma:index="1" nillable="true" ma:taxonomy="true" ma:internalName="HMT_DocumentTypeHTField0" ma:taxonomyFieldName="HMT_DocumentType" ma:displayName="Document Type" ma:indexed="true" ma:default="1;#Other|c235b5c2-f697-427b-a70a-43d69599f998" ma:fieldId="{64e205a0-0872-4e26-9aef-64ca7bdb5848}" ma:sspId="9002b6cd-6bc3-456d-8dd0-19fe32dddaf9" ma:termSetId="b6f1e53f-947f-4b4b-98bb-41ceeb10f910" ma:anchorId="bd4325a7-7f6a-48f9-b0dc-cc3aef626e65" ma:open="false" ma:isKeyword="false">
      <xsd:complexType>
        <xsd:sequence>
          <xsd:element ref="pc:Terms" minOccurs="0" maxOccurs="1"/>
        </xsd:sequence>
      </xsd:complexType>
    </xsd:element>
    <xsd:element name="HMT_Record" ma:index="2" nillable="true" ma:displayName="Record" ma:description="Is this document a record?" ma:hidden="true" ma:internalName="HMT_Record" ma:readOnly="true">
      <xsd:simpleType>
        <xsd:restriction base="dms:Boolean"/>
      </xsd:simpleType>
    </xsd:element>
    <xsd:element name="HMT_GroupHTField0" ma:index="4" nillable="true" ma:taxonomy="true" ma:internalName="HMT_GroupHTField0" ma:taxonomyFieldName="HMT_Group" ma:displayName="Organisation unit" ma:indexed="true" ma:readOnly="true" ma:default="" ma:fieldId="{0727aac2-e220-4289-aa2b-5b6dcdadae03}" ma:sspId="9002b6cd-6bc3-456d-8dd0-19fe32dddaf9" ma:termSetId="bfb00256-4f71-4b34-808b-e2a5e274e1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MT_TeamHTField0" ma:index="6" nillable="true" ma:taxonomy="true" ma:internalName="HMT_TeamHTField0" ma:taxonomyFieldName="HMT_Team" ma:displayName="Team" ma:indexed="true" ma:readOnly="true" ma:default="" ma:fieldId="{2eefa5c6-211a-4a5e-9a50-7e1c1c1599ef}" ma:sspId="9002b6cd-6bc3-456d-8dd0-19fe32dddaf9" ma:termSetId="bfb00256-4f71-4b34-808b-e2a5e274e1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MT_SubTeamHTField0" ma:index="8" nillable="true" ma:taxonomy="true" ma:internalName="HMT_SubTeamHTField0" ma:taxonomyFieldName="HMT_SubTeam" ma:displayName="Sub Team" ma:indexed="true" ma:readOnly="true" ma:default="" ma:fieldId="{1b8bc039-1a2e-4089-a24d-47de9e4a6672}" ma:sspId="9002b6cd-6bc3-456d-8dd0-19fe32dddaf9" ma:termSetId="bfb00256-4f71-4b34-808b-e2a5e274e1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MT_Theme" ma:index="9" nillable="true" ma:displayName="Library" ma:description="Document library theme" ma:hidden="true" ma:internalName="HMT_Theme" ma:readOnly="true">
      <xsd:simpleType>
        <xsd:restriction base="dms:Text"/>
      </xsd:simpleType>
    </xsd:element>
    <xsd:element name="HMT_Topic" ma:index="10" nillable="true" ma:displayName="Topic" ma:description="Topic" ma:hidden="true" ma:indexed="true" ma:internalName="HMT_Topic" ma:readOnly="true">
      <xsd:simpleType>
        <xsd:restriction base="dms:Text"/>
      </xsd:simpleType>
    </xsd:element>
    <xsd:element name="HMT_SubTopic" ma:index="11" nillable="true" ma:displayName="Sub Topic" ma:description="Sub topic" ma:hidden="true" ma:internalName="HMT_SubTopic" ma:readOnly="true">
      <xsd:simpleType>
        <xsd:restriction base="dms:Text"/>
      </xsd:simpleType>
    </xsd:element>
    <xsd:element name="HMT_CategoryHTField0" ma:index="13" nillable="true" ma:taxonomy="true" ma:internalName="HMT_CategoryHTField0" ma:taxonomyFieldName="HMT_Category" ma:displayName="Category" ma:indexed="true" ma:readOnly="true" ma:default="" ma:fieldId="{03bf77b0-a02d-47ea-8bec-4fb357d1f3ee}" ma:sspId="9002b6cd-6bc3-456d-8dd0-19fe32dddaf9" ma:termSetId="b6f1e53f-947f-4b4b-98bb-41ceeb10f9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MT_ClosedOn" ma:index="15" nillable="true" ma:displayName="Closed On" ma:description="The date this item was closed on" ma:format="DateTime" ma:hidden="true" ma:internalName="HMT_ClosedOn" ma:readOnly="true">
      <xsd:simpleType>
        <xsd:restriction base="dms:DateTime"/>
      </xsd:simpleType>
    </xsd:element>
    <xsd:element name="HMT_DeletedOn" ma:index="16" nillable="true" ma:displayName="Deleted On" ma:description="The date this item was deleted on" ma:format="DateTime" ma:hidden="true" ma:internalName="HMT_DeletedOn" ma:readOnly="true">
      <xsd:simpleType>
        <xsd:restriction base="dms:DateTime"/>
      </xsd:simpleType>
    </xsd:element>
    <xsd:element name="HMT_ArchivedOn" ma:index="17" nillable="true" ma:displayName="Archived On" ma:description="The date this item was archived on" ma:format="DateTime" ma:hidden="true" ma:internalName="HMT_ArchivedOn" ma:readOnly="true">
      <xsd:simpleType>
        <xsd:restriction base="dms:DateTime"/>
      </xsd:simpleType>
    </xsd:element>
    <xsd:element name="HMT_LegacyItemID" ma:index="18" nillable="true" ma:displayName="Legacy Item ID" ma:hidden="true" ma:internalName="HMT_LegacyItemID" ma:readOnly="true">
      <xsd:simpleType>
        <xsd:restriction base="dms:Text"/>
      </xsd:simpleType>
    </xsd:element>
    <xsd:element name="HMT_LegacyCreatedBy" ma:index="19" nillable="true" ma:displayName="Legacy Created By" ma:hidden="true" ma:internalName="HMT_LegacyCreatedBy" ma:readOnly="true">
      <xsd:simpleType>
        <xsd:restriction base="dms:Text"/>
      </xsd:simpleType>
    </xsd:element>
    <xsd:element name="HMT_LegacyModifiedBy" ma:index="20" nillable="true" ma:displayName="Legacy Modified By" ma:hidden="true" ma:internalName="HMT_LegacyModifiedBy" ma:readOnly="true">
      <xsd:simpleType>
        <xsd:restriction base="dms:Text"/>
      </xsd:simpleType>
    </xsd:element>
    <xsd:element name="HMT_LegacyOrigSource" ma:index="21" nillable="true" ma:displayName="Original Source" ma:hidden="true" ma:internalName="HMT_LegacyOrigSource" ma:readOnly="true">
      <xsd:simpleType>
        <xsd:restriction base="dms:Text"/>
      </xsd:simpleType>
    </xsd:element>
    <xsd:element name="HMT_LegacyExtRef" ma:index="22" nillable="true" ma:displayName="External Reference" ma:hidden="true" ma:internalName="HMT_LegacyExtRef" ma:readOnly="true">
      <xsd:simpleType>
        <xsd:restriction base="dms:Text"/>
      </xsd:simpleType>
    </xsd:element>
    <xsd:element name="HMT_LegacySensitive" ma:index="23" nillable="true" ma:displayName="Sensitive Item" ma:default="0" ma:hidden="true" ma:internalName="HMT_LegacySensitive" ma:readOnly="true">
      <xsd:simpleType>
        <xsd:restriction base="dms:Boolean"/>
      </xsd:simpleType>
    </xsd:element>
    <xsd:element name="HMT_LegacyRecord" ma:index="24" nillable="true" ma:displayName="Legacy Record" ma:default="0" ma:hidden="true" ma:internalName="HMT_LegacyRecord" ma:readOnly="true">
      <xsd:simpleType>
        <xsd:restriction base="dms:Boolean"/>
      </xsd:simpleType>
    </xsd:element>
    <xsd:element name="HMT_Audit" ma:index="25" nillable="true" ma:displayName="Audit Log" ma:description="Audit Log" ma:internalName="HMT_Audit" ma:readOnly="true">
      <xsd:simpleType>
        <xsd:restriction base="dms:Note">
          <xsd:maxLength value="255"/>
        </xsd:restriction>
      </xsd:simpleType>
    </xsd:element>
    <xsd:element name="HMT_ClosedBy" ma:index="26" nillable="true" ma:displayName="Closed By" ma:description="Who closed this item" ma:hidden="true" ma:list="UserInfo" ma:internalName="HMT_ClosedBy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HMT_ArchivedBy" ma:index="27" nillable="true" ma:displayName="Archived By" ma:description="Who archived this item" ma:hidden="true" ma:list="UserInfo" ma:internalName="HMT_ArchivedBy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HMT_ClosedArchive" ma:index="28" nillable="true" ma:displayName="Closed Archive" ma:default="0" ma:description="Item sent to closed archive" ma:hidden="true" ma:internalName="HMT_ClosedArchive" ma:readOnly="true">
      <xsd:simpleType>
        <xsd:restriction base="dms:Boolean"/>
      </xsd:simpleType>
    </xsd:element>
    <xsd:element name="HMT_ClosedOnOrig" ma:index="29" nillable="true" ma:displayName="Original Closed On" ma:description="The date this item was originally closed on" ma:format="DateTime" ma:hidden="true" ma:internalName="HMT_ClosedOnOrig" ma:readOnly="true">
      <xsd:simpleType>
        <xsd:restriction base="dms:DateTime"/>
      </xsd:simpleType>
    </xsd:element>
    <xsd:element name="HMT_ClosedbyOrig" ma:index="30" nillable="true" ma:displayName="Original Closed By" ma:description="Who originally closed this item" ma:hidden="true" ma:list="UserInfo" ma:internalName="HMT_ClosedbyOrig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dlc_DocId" ma:index="31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35" nillable="true" ma:displayName="Taxonomy Catch All Column" ma:hidden="true" ma:list="{c6b8adde-5f31-4510-aaa6-4c0fabf83970}" ma:internalName="TaxCatchAll" ma:showField="CatchAllData" ma:web="8485635d-cf54-460b-8438-0e2015e080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6" nillable="true" ma:displayName="Taxonomy Catch All Column1" ma:hidden="true" ma:list="{c6b8adde-5f31-4510-aaa6-4c0fabf83970}" ma:internalName="TaxCatchAllLabel" ma:readOnly="true" ma:showField="CatchAllDataLabel" ma:web="8485635d-cf54-460b-8438-0e2015e080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9c42a306c8b47fcbaf8a41a71352f3a" ma:index="50" nillable="true" ma:taxonomy="true" ma:internalName="b9c42a306c8b47fcbaf8a41a71352f3a" ma:taxonomyFieldName="HMT_Classification" ma:displayName="Classification" ma:indexed="true" ma:readOnly="true" ma:default="" ma:fieldId="{b9c42a30-6c8b-47fc-baf8-a41a71352f3a}" ma:sspId="9002b6cd-6bc3-456d-8dd0-19fe32dddaf9" ma:termSetId="7a69d7dc-39ad-4ce6-95e5-a2714f1574d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5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lc_EmailSubject" ma:index="43" nillable="true" ma:displayName="Subject" ma:internalName="dlc_EmailSubject">
      <xsd:simpleType>
        <xsd:restriction base="dms:Text">
          <xsd:maxLength value="255"/>
        </xsd:restriction>
      </xsd:simpleType>
    </xsd:element>
    <xsd:element name="dlc_EmailMailbox" ma:index="45" nillable="true" ma:displayName="Submitter" ma:description="" ma:internalName="dlc_EmailMailbox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lc_EmailTo" ma:index="46" nillable="true" ma:displayName="To" ma:internalName="dlc_EmailTo">
      <xsd:simpleType>
        <xsd:restriction base="dms:Text">
          <xsd:maxLength value="255"/>
        </xsd:restriction>
      </xsd:simpleType>
    </xsd:element>
    <xsd:element name="dlc_EmailFrom" ma:index="47" nillable="true" ma:displayName="From" ma:internalName="dlc_EmailFrom">
      <xsd:simpleType>
        <xsd:restriction base="dms:Text">
          <xsd:maxLength value="255"/>
        </xsd:restriction>
      </xsd:simpleType>
    </xsd:element>
    <xsd:element name="dlc_EmailBCC" ma:index="48" nillable="true" ma:displayName="BCC" ma:internalName="dlc_EmailBCC">
      <xsd:simpleType>
        <xsd:restriction base="dms:Note">
          <xsd:maxLength value="1024"/>
        </xsd:restriction>
      </xsd:simpleType>
    </xsd:element>
    <xsd:element name="dlc_EmailCC" ma:index="49" nillable="true" ma:displayName="CC" ma:internalName="dlc_EmailCC">
      <xsd:simpleType>
        <xsd:restriction base="dms:Note">
          <xsd:maxLength value="1024"/>
        </xsd:restriction>
      </xsd:simpleType>
    </xsd:element>
    <xsd:element name="dlc_EmailSentUTC" ma:index="51" nillable="true" ma:displayName="Date Sent" ma:internalName="dlc_EmailSentUTC">
      <xsd:simpleType>
        <xsd:restriction base="dms:DateTime"/>
      </xsd:simpleType>
    </xsd:element>
    <xsd:element name="dlc_EmailReceivedUTC" ma:index="52" nillable="true" ma:displayName="Date Received" ma:internalName="dlc_EmailReceivedUTC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ca26d8-bb17-4b01-a6d3-62ca56987c37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5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5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5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5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5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61" nillable="true" ma:taxonomy="true" ma:internalName="lcf76f155ced4ddcb4097134ff3c332f" ma:taxonomyFieldName="MediaServiceImageTags" ma:displayName="Image Tags" ma:readOnly="false" ma:fieldId="{5cf76f15-5ced-4ddc-b409-7134ff3c332f}" ma:taxonomyMulti="true" ma:sspId="9002b6cd-6bc3-456d-8dd0-19fe32ddda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7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lc_EmailBCC xmlns="http://schemas.microsoft.com/sharepoint/v3" xsi:nil="true"/>
    <TaxCatchAll xmlns="8485635d-cf54-460b-8438-0e2015e08040">
      <Value>5</Value>
      <Value>4</Value>
      <Value>3</Value>
      <Value>2</Value>
      <Value>1</Value>
    </TaxCatchAll>
    <lcf76f155ced4ddcb4097134ff3c332f xmlns="2aca26d8-bb17-4b01-a6d3-62ca56987c37">
      <Terms xmlns="http://schemas.microsoft.com/office/infopath/2007/PartnerControls"/>
    </lcf76f155ced4ddcb4097134ff3c332f>
    <dlc_EmailReceivedUTC xmlns="http://schemas.microsoft.com/sharepoint/v3" xsi:nil="true"/>
    <HMT_ClosedbyOrig xmlns="8485635d-cf54-460b-8438-0e2015e08040">
      <UserInfo>
        <DisplayName/>
        <AccountId xsi:nil="true"/>
        <AccountType/>
      </UserInfo>
    </HMT_ClosedbyOrig>
    <dlc_EmailSentUTC xmlns="http://schemas.microsoft.com/sharepoint/v3" xsi:nil="true"/>
    <dlc_EmailSubject xmlns="http://schemas.microsoft.com/sharepoint/v3" xsi:nil="true"/>
    <HMT_DocumentTypeHTField0 xmlns="8485635d-cf54-460b-8438-0e2015e08040">
      <Terms xmlns="http://schemas.microsoft.com/office/infopath/2007/PartnerControls">
        <TermInfo xmlns="http://schemas.microsoft.com/office/infopath/2007/PartnerControls">
          <TermName xmlns="http://schemas.microsoft.com/office/infopath/2007/PartnerControls">Other</TermName>
          <TermId xmlns="http://schemas.microsoft.com/office/infopath/2007/PartnerControls">c235b5c2-f697-427b-a70a-43d69599f998</TermId>
        </TermInfo>
      </Terms>
    </HMT_DocumentTypeHTField0>
    <dlc_EmailTo xmlns="http://schemas.microsoft.com/sharepoint/v3" xsi:nil="true"/>
    <dlc_EmailFrom xmlns="http://schemas.microsoft.com/sharepoint/v3" xsi:nil="true"/>
    <dlc_EmailCC xmlns="http://schemas.microsoft.com/sharepoint/v3" xsi:nil="true"/>
    <dlc_EmailMailbox xmlns="http://schemas.microsoft.com/sharepoint/v3">
      <UserInfo>
        <DisplayName/>
        <AccountId xsi:nil="true"/>
        <AccountType/>
      </UserInfo>
    </dlc_EmailMailbox>
    <HMT_Topic xmlns="8485635d-cf54-460b-8438-0e2015e08040">WGA Archive 2023-24</HMT_Topic>
    <HMT_SubTeamHTField0 xmlns="8485635d-cf54-460b-8438-0e2015e08040">
      <Terms xmlns="http://schemas.microsoft.com/office/infopath/2007/PartnerControls"/>
    </HMT_SubTeamHTField0>
    <HMT_Record xmlns="8485635d-cf54-460b-8438-0e2015e08040">true</HMT_Record>
    <HMT_TeamHTField0 xmlns="8485635d-cf54-460b-8438-0e2015e08040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Government Financial Reporting</TermName>
          <TermId xmlns="http://schemas.microsoft.com/office/infopath/2007/PartnerControls">cf43247f-7ea9-43c0-b0b7-d8dd571f7bec</TermId>
        </TermInfo>
      </Terms>
    </HMT_TeamHTField0>
    <HMT_CategoryHTField0 xmlns="8485635d-cf54-460b-8438-0e2015e08040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Policy Document Types</TermName>
          <TermId xmlns="http://schemas.microsoft.com/office/infopath/2007/PartnerControls">bd4325a7-7f6a-48f9-b0dc-cc3aef626e65</TermId>
        </TermInfo>
      </Terms>
    </HMT_CategoryHTField0>
    <HMT_Theme xmlns="8485635d-cf54-460b-8438-0e2015e08040">WGA</HMT_Theme>
    <HMT_SubTopic xmlns="8485635d-cf54-460b-8438-0e2015e08040">Accounts production</HMT_SubTopic>
    <HMT_ClosedArchive xmlns="8485635d-cf54-460b-8438-0e2015e08040">false</HMT_ClosedArchive>
    <b9c42a306c8b47fcbaf8a41a71352f3a xmlns="8485635d-cf54-460b-8438-0e2015e08040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0c3401bb-744b-4660-997f-fc50d910db48</TermId>
        </TermInfo>
      </Terms>
    </b9c42a306c8b47fcbaf8a41a71352f3a>
    <HMT_GroupHTField0 xmlns="8485635d-cf54-460b-8438-0e2015e08040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Spending</TermName>
          <TermId xmlns="http://schemas.microsoft.com/office/infopath/2007/PartnerControls">0f654411-7d5f-45ce-a09d-a0ea67f4b905</TermId>
        </TermInfo>
      </Terms>
    </HMT_GroupHTField0>
    <HMT_LegacyRecord xmlns="8485635d-cf54-460b-8438-0e2015e08040">false</HMT_LegacyRecord>
    <HMT_LegacySensitive xmlns="8485635d-cf54-460b-8438-0e2015e08040">false</HMT_LegacySensitive>
  </documentManagement>
</p:properties>
</file>

<file path=customXml/item3.xml><?xml version="1.0" encoding="utf-8"?>
<label version="1.0">
  <element uid="id_unclassified"/>
  <element uid="id_newpolicy" value=""/>
</label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924DE0-6F7F-4926-B091-F053BD5374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85635d-cf54-460b-8438-0e2015e08040"/>
    <ds:schemaRef ds:uri="http://schemas.microsoft.com/sharepoint/v3"/>
    <ds:schemaRef ds:uri="2aca26d8-bb17-4b01-a6d3-62ca56987c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2CCA42-55FF-41F4-BF28-C30D605468B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8485635d-cf54-460b-8438-0e2015e08040"/>
    <ds:schemaRef ds:uri="http://schemas.microsoft.com/office/2006/metadata/properties"/>
    <ds:schemaRef ds:uri="2aca26d8-bb17-4b01-a6d3-62ca56987c37"/>
    <ds:schemaRef ds:uri="http://schemas.microsoft.com/sharepoint/v3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FE55D01-931C-4253-A509-936DBE7CA665}">
  <ds:schemaRefs/>
</ds:datastoreItem>
</file>

<file path=customXml/itemProps4.xml><?xml version="1.0" encoding="utf-8"?>
<ds:datastoreItem xmlns:ds="http://schemas.openxmlformats.org/officeDocument/2006/customXml" ds:itemID="{4F19B5FA-9068-47DD-BD19-0AC8990C2E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</vt:i4>
      </vt:variant>
    </vt:vector>
  </HeadingPairs>
  <TitlesOfParts>
    <vt:vector size="48" baseType="lpstr">
      <vt:lpstr>Data for charts 09-24</vt:lpstr>
      <vt:lpstr>Intro&gt;&gt;&gt;</vt:lpstr>
      <vt:lpstr>A.7 Entities</vt:lpstr>
      <vt:lpstr>A.9 Inflation 15-y</vt:lpstr>
      <vt:lpstr>Balance Sheet&gt;&gt;&gt;</vt:lpstr>
      <vt:lpstr>A.10 Assets Liabilities</vt:lpstr>
      <vt:lpstr>A.11 Assets</vt:lpstr>
      <vt:lpstr>A.12 PPE</vt:lpstr>
      <vt:lpstr>A.13 PPE Movements</vt:lpstr>
      <vt:lpstr>A.14 PPE by sector</vt:lpstr>
      <vt:lpstr>A.15 Yr - Infrastructure Assets</vt:lpstr>
      <vt:lpstr>A.16 IA 2</vt:lpstr>
      <vt:lpstr>A.17 - L&amp;B</vt:lpstr>
      <vt:lpstr>A.18 L&amp;B 2</vt:lpstr>
      <vt:lpstr>A.19 Other financial assets</vt:lpstr>
      <vt:lpstr>A.20 Student Loan</vt:lpstr>
      <vt:lpstr>A.21 SL</vt:lpstr>
      <vt:lpstr>A.22 Equity Invest</vt:lpstr>
      <vt:lpstr>A.23 Natwest</vt:lpstr>
      <vt:lpstr>A.24 Intangibles</vt:lpstr>
      <vt:lpstr>A.25 Cash</vt:lpstr>
      <vt:lpstr>A.26 Liabilities</vt:lpstr>
      <vt:lpstr>A.27 Gov borrow</vt:lpstr>
      <vt:lpstr>A.28 Pensions</vt:lpstr>
      <vt:lpstr>A.29 Pensions DR</vt:lpstr>
      <vt:lpstr>A.30 Provisions</vt:lpstr>
      <vt:lpstr>A.31 Prov b'dn</vt:lpstr>
      <vt:lpstr>A.32 Cont Liabilities</vt:lpstr>
      <vt:lpstr>A.33 Nuclear</vt:lpstr>
      <vt:lpstr>A.33 (3) Nuclear</vt:lpstr>
      <vt:lpstr>A.34 (1) Clinical neg</vt:lpstr>
      <vt:lpstr>A.34 (2) Clinical neg</vt:lpstr>
      <vt:lpstr>A.35 Deposits by banks</vt:lpstr>
      <vt:lpstr>I and E &gt;&gt;&gt;</vt:lpstr>
      <vt:lpstr>A.36 I&amp;E</vt:lpstr>
      <vt:lpstr>A.37 Income</vt:lpstr>
      <vt:lpstr>A.38 Tax revenue</vt:lpstr>
      <vt:lpstr>A.44 Expenditure on PS</vt:lpstr>
      <vt:lpstr>A.45 A.46 Social Benefits</vt:lpstr>
      <vt:lpstr>A.47 State Pension</vt:lpstr>
      <vt:lpstr>A.48 Disability</vt:lpstr>
      <vt:lpstr>A.49 Working Age</vt:lpstr>
      <vt:lpstr>A.50 Staff Cost</vt:lpstr>
      <vt:lpstr>A.51 Staff Total Expenditure</vt:lpstr>
      <vt:lpstr>A.52 Staff costs by sector </vt:lpstr>
      <vt:lpstr>A.53 Staff Numbers</vt:lpstr>
      <vt:lpstr>'Data for charts 09-24'!_Hlt503681840</vt:lpstr>
      <vt:lpstr>'Data for charts 09-24'!Print_Area</vt:lpstr>
    </vt:vector>
  </TitlesOfParts>
  <Manager/>
  <Company>Flex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 Jager, Tanya - HMT</dc:creator>
  <cp:keywords/>
  <dc:description/>
  <cp:lastModifiedBy>Mackay, Andrew - HMT</cp:lastModifiedBy>
  <cp:revision/>
  <dcterms:created xsi:type="dcterms:W3CDTF">2012-07-04T10:32:11Z</dcterms:created>
  <dcterms:modified xsi:type="dcterms:W3CDTF">2025-07-15T10:43:34Z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jDocumentSecurityLabel">
    <vt:lpwstr>UNCLASSIFIED</vt:lpwstr>
  </property>
  <property fmtid="{D5CDD505-2E9C-101B-9397-08002B2CF9AE}" pid="3" name="Document Security Label">
    <vt:lpwstr>UNCLASSIFIED</vt:lpwstr>
  </property>
  <property fmtid="{D5CDD505-2E9C-101B-9397-08002B2CF9AE}" pid="4" name="bjDocumentSecurityXML">
    <vt:lpwstr>&lt;label version="1.0"&gt;&lt;element uid="id_unclassified"/&gt;&lt;element uid="id_newpolicy" value=""/&gt;&lt;/label&gt;</vt:lpwstr>
  </property>
  <property fmtid="{D5CDD505-2E9C-101B-9397-08002B2CF9AE}" pid="5" name="bjDocumentSecurityPolicyProp">
    <vt:lpwstr>UK</vt:lpwstr>
  </property>
  <property fmtid="{D5CDD505-2E9C-101B-9397-08002B2CF9AE}" pid="6" name="bjDocumentSecurityPolicyPropID">
    <vt:lpwstr>id_newpolicy</vt:lpwstr>
  </property>
  <property fmtid="{D5CDD505-2E9C-101B-9397-08002B2CF9AE}" pid="7" name="bjDocumentSecurityProp1">
    <vt:lpwstr>UNCLASSIFIED</vt:lpwstr>
  </property>
  <property fmtid="{D5CDD505-2E9C-101B-9397-08002B2CF9AE}" pid="8" name="bjSecLabelProp1ID">
    <vt:lpwstr>id_unclassified</vt:lpwstr>
  </property>
  <property fmtid="{D5CDD505-2E9C-101B-9397-08002B2CF9AE}" pid="9" name="bjDocumentSecurityProp2">
    <vt:lpwstr/>
  </property>
  <property fmtid="{D5CDD505-2E9C-101B-9397-08002B2CF9AE}" pid="10" name="bjSecLabelProp2ID">
    <vt:lpwstr/>
  </property>
  <property fmtid="{D5CDD505-2E9C-101B-9397-08002B2CF9AE}" pid="11" name="bjDocumentSecurityProp3">
    <vt:lpwstr/>
  </property>
  <property fmtid="{D5CDD505-2E9C-101B-9397-08002B2CF9AE}" pid="12" name="bjSecLabelProp3ID">
    <vt:lpwstr/>
  </property>
  <property fmtid="{D5CDD505-2E9C-101B-9397-08002B2CF9AE}" pid="13" name="eGMS.protectiveMarking">
    <vt:lpwstr/>
  </property>
  <property fmtid="{D5CDD505-2E9C-101B-9397-08002B2CF9AE}" pid="14" name="docIndexRef">
    <vt:lpwstr>db0a253d-61ce-4a62-8a77-d87d008dd95e</vt:lpwstr>
  </property>
  <property fmtid="{D5CDD505-2E9C-101B-9397-08002B2CF9AE}" pid="15" name="ContentTypeId">
    <vt:lpwstr>0x010100672A3FCA98991645BE083C320B7539B70073E2331C55A74AA0969608FB8C0629F6005D675EE3B1EBD34398F9084EE5E175EC</vt:lpwstr>
  </property>
  <property fmtid="{D5CDD505-2E9C-101B-9397-08002B2CF9AE}" pid="16" name="HMT_Group">
    <vt:lpwstr>2;#Public Spending|0f654411-7d5f-45ce-a09d-a0ea67f4b905</vt:lpwstr>
  </property>
  <property fmtid="{D5CDD505-2E9C-101B-9397-08002B2CF9AE}" pid="17" name="MediaServiceImageTags">
    <vt:lpwstr/>
  </property>
  <property fmtid="{D5CDD505-2E9C-101B-9397-08002B2CF9AE}" pid="18" name="HMT_SubTeam">
    <vt:lpwstr/>
  </property>
  <property fmtid="{D5CDD505-2E9C-101B-9397-08002B2CF9AE}" pid="19" name="HMT_DocumentType">
    <vt:lpwstr>1;#Other|c235b5c2-f697-427b-a70a-43d69599f998</vt:lpwstr>
  </property>
  <property fmtid="{D5CDD505-2E9C-101B-9397-08002B2CF9AE}" pid="20" name="HMT_Team">
    <vt:lpwstr>3;#Government Financial Reporting|cf43247f-7ea9-43c0-b0b7-d8dd571f7bec</vt:lpwstr>
  </property>
  <property fmtid="{D5CDD505-2E9C-101B-9397-08002B2CF9AE}" pid="21" name="HMT_Category">
    <vt:lpwstr>4;#Policy Document Types|bd4325a7-7f6a-48f9-b0dc-cc3aef626e65</vt:lpwstr>
  </property>
  <property fmtid="{D5CDD505-2E9C-101B-9397-08002B2CF9AE}" pid="22" name="HMT_Classification">
    <vt:lpwstr>5;#Official|0c3401bb-744b-4660-997f-fc50d910db48</vt:lpwstr>
  </property>
  <property fmtid="{D5CDD505-2E9C-101B-9397-08002B2CF9AE}" pid="23" name="HMT_Review">
    <vt:bool>false</vt:bool>
  </property>
</Properties>
</file>