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14" documentId="8_{B0745922-2F67-46DE-A07B-E6DB6828A303}" xr6:coauthVersionLast="47" xr6:coauthVersionMax="47" xr10:uidLastSave="{93090717-29B8-4791-B32A-BB9DF5EB47C0}"/>
  <workbookProtection workbookAlgorithmName="SHA-512" workbookHashValue="JuvoL4vuWcg6x/iIe0F1pGBZEOeEDq8aOkHweyfXLNM814M7VHF4sp9Cp7de3NFzXF3YXEXqZW5EBdVvJaTIvg==" workbookSaltValue="6JSK70e/CbB10HNSEQRf7A==" workbookSpinCount="100000" lockStructure="1"/>
  <bookViews>
    <workbookView xWindow="28680" yWindow="-120" windowWidth="29040" windowHeight="15720" tabRatio="801"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1" l="1"/>
  <c r="A18" i="21"/>
  <c r="A13" i="10" s="1"/>
  <c r="A23" i="21" l="1"/>
  <c r="A27" i="21"/>
  <c r="A28" i="21"/>
  <c r="A25" i="21" l="1"/>
  <c r="A24" i="21"/>
  <c r="C6" i="9" l="1"/>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E11" i="8"/>
  <c r="D11" i="8"/>
  <c r="C11" i="8"/>
  <c r="B11" i="21"/>
  <c r="B28" i="21" s="1"/>
  <c r="A16" i="10"/>
  <c r="A18" i="10" s="1"/>
  <c r="A14" i="21"/>
  <c r="B10" i="21"/>
  <c r="B27" i="21" s="1"/>
  <c r="A17" i="10" l="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15" i="21"/>
  <c r="B14" i="21"/>
  <c r="B13" i="21"/>
  <c r="B25" i="21" s="1"/>
  <c r="B12" i="21"/>
  <c r="B24" i="21" s="1"/>
  <c r="A15" i="21"/>
  <c r="A13" i="21"/>
  <c r="A12" i="21"/>
  <c r="B19" i="21"/>
  <c r="B20" i="21" s="1"/>
  <c r="B21" i="21" l="1"/>
  <c r="B22" i="21"/>
  <c r="A19" i="10" l="1"/>
  <c r="A21" i="10" l="1"/>
  <c r="A20" i="10"/>
  <c r="B20" i="10"/>
  <c r="H232" i="3"/>
  <c r="G232" i="3"/>
  <c r="A326" i="3" l="1" a="1"/>
  <c r="A326" i="3" s="1"/>
  <c r="B30" i="22" l="1"/>
  <c r="H238" i="3" l="1"/>
  <c r="H237" i="3"/>
  <c r="G238" i="3"/>
  <c r="G237" i="3"/>
  <c r="H236" i="3"/>
  <c r="G236" i="3"/>
  <c r="B5" i="10" l="1"/>
  <c r="F238" i="3"/>
  <c r="F237" i="3"/>
  <c r="F236" i="3"/>
  <c r="F235" i="3"/>
  <c r="F234" i="3"/>
  <c r="F233" i="3"/>
  <c r="F232" i="3"/>
  <c r="F231" i="3"/>
  <c r="B9" i="10" l="1"/>
  <c r="I30" i="22"/>
  <c r="E30" i="22"/>
  <c r="C22" i="9"/>
  <c r="D30" i="22" l="1"/>
  <c r="J30" i="22"/>
  <c r="D28" i="8"/>
  <c r="D22" i="9"/>
  <c r="C28" i="8"/>
  <c r="B10" i="10" l="1"/>
  <c r="B11" i="10" s="1"/>
  <c r="B12" i="10" s="1"/>
  <c r="B15" i="10" s="1"/>
  <c r="B6" i="10"/>
  <c r="B7" i="10" s="1"/>
  <c r="B8" i="10" s="1"/>
  <c r="B14" i="10" s="1"/>
  <c r="B18" i="10" l="1"/>
  <c r="B21" i="10" s="1"/>
  <c r="B17"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<sst xmlns="http://schemas.openxmlformats.org/spreadsheetml/2006/main" count="1490" uniqueCount="481">
  <si>
    <t>Natural England Nutrient Neutrality budget calculator for the Stodmarsh SAC and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</si>
  <si>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</si>
  <si>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</si>
  <si>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</si>
  <si>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</si>
  <si>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</si>
  <si>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</si>
  <si>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</si>
  <si>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</si>
  <si>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</si>
  <si>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</si>
  <si>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</si>
  <si>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</si>
  <si>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</si>
  <si>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</si>
  <si>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</si>
  <si>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</si>
  <si>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</si>
  <si>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</si>
  <si>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</si>
  <si>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</si>
  <si>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</si>
  <si>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</si>
  <si>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</si>
  <si>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</si>
  <si>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</si>
  <si>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</si>
  <si>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</si>
  <si>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</si>
  <si>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</si>
  <si>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</si>
  <si>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</si>
  <si>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</si>
  <si>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</si>
  <si>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</si>
  <si>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</si>
  <si>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</si>
  <si>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</si>
  <si>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</si>
  <si>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</si>
  <si>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</si>
  <si>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</si>
  <si>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Notes about the nutrients from current land use worksheet</t>
  </si>
  <si>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</si>
  <si>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</si>
  <si>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</si>
  <si>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</si>
  <si>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</si>
  <si>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</si>
  <si>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</si>
  <si>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'40011 - Great Stour at Horton'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</si>
  <si>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</si>
  <si>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</si>
  <si>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</si>
  <si>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</si>
  <si>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</si>
  <si>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</si>
  <si>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</si>
  <si>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</si>
  <si>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</si>
  <si>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</si>
  <si>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</si>
  <si>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</si>
  <si>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color theme="1"/>
        <rFont val="Arial"/>
        <family val="2"/>
      </rPr>
      <t>Note</t>
    </r>
    <r>
      <rPr>
        <sz val="12"/>
        <color theme="1"/>
        <rFont val="Arial"/>
        <family val="2"/>
      </rPr>
      <t xml:space="preserve">: You will need to fill in cells B5 to B9 in the first table 'Water infrastructure information'. Cells B10 to B11 are automatically calculated and will state '0.00' unless the user inputs have been entered. Cells A12 to A15 and B12 to B15 are automatically generated and will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</si>
  <si>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</si>
  <si>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</si>
  <si>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</si>
  <si>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</si>
  <si>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</si>
  <si>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</si>
  <si>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</si>
  <si>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</si>
  <si>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</si>
  <si>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</si>
  <si>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</si>
  <si>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</si>
  <si>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</si>
  <si>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</si>
  <si>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</si>
  <si>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</si>
  <si>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</si>
  <si>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</si>
  <si>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</si>
  <si>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</si>
  <si>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</si>
  <si>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</si>
  <si>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</si>
  <si>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</si>
  <si>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</si>
  <si>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</si>
  <si>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</si>
  <si>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nutrient export  
(kg TP/yr)</t>
  </si>
  <si>
    <t>Annual nitrogen nutrient export  
(kg TN/yr)</t>
  </si>
  <si>
    <t>Notes on data</t>
  </si>
  <si>
    <t>Totals:</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</si>
  <si>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</si>
  <si>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t>Future land uses</t>
  </si>
  <si>
    <t>New land use type(s) - user inputs required</t>
  </si>
  <si>
    <t>Annual phosphorus nutrient export 
(kg TP/yr)</t>
  </si>
  <si>
    <t>Annual nitrogen nutrient export
(kg TN/yr)</t>
  </si>
  <si>
    <t>Nutrients from future land use after sustainable urban drainage system (SuDS) treatment</t>
  </si>
  <si>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</si>
  <si>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t>SuDS information</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</si>
  <si>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</si>
  <si>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</si>
  <si>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</si>
  <si>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</si>
  <si>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</si>
  <si>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</si>
  <si>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</si>
  <si>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</si>
  <si>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Annual phosphorus load removed by SuDS
(kg TP/yr)</t>
  </si>
  <si>
    <t>Annual nitrogen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</si>
  <si>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</si>
  <si>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</si>
  <si>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</si>
  <si>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</si>
  <si>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</si>
  <si>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</si>
  <si>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</si>
  <si>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</si>
  <si>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</si>
  <si>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</si>
  <si>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</si>
  <si>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</si>
  <si>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</si>
  <si>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</si>
  <si>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</si>
  <si>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</si>
  <si>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</si>
  <si>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</si>
  <si>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</si>
  <si>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</si>
  <si>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</si>
  <si>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</si>
  <si>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Ashford WwTW</t>
  </si>
  <si>
    <t>Brook Sewage Disposal Works</t>
  </si>
  <si>
    <t>Canterbury WwTW</t>
  </si>
  <si>
    <t>Charing WwTW</t>
  </si>
  <si>
    <t>Chartham STW</t>
  </si>
  <si>
    <t>Chilham WwTW</t>
  </si>
  <si>
    <t>Good Intent Cottages STW</t>
  </si>
  <si>
    <t>Herne Bay WwTW</t>
  </si>
  <si>
    <t>Lenham WwTW</t>
  </si>
  <si>
    <t>Newnham Valley WwTW</t>
  </si>
  <si>
    <t>Sellindge WwTW</t>
  </si>
  <si>
    <t>Westbere WwTW</t>
  </si>
  <si>
    <t>Westwell STW</t>
  </si>
  <si>
    <t>Wye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</si>
  <si>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</si>
  <si>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</si>
  <si>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</si>
  <si>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</si>
  <si>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</si>
  <si>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</si>
  <si>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</si>
  <si>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</si>
  <si>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</si>
  <si>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</si>
  <si>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</si>
  <si>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</si>
  <si>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</si>
  <si>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</si>
  <si>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</si>
  <si>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</si>
  <si>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</si>
  <si>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</si>
  <si>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Upper Stour</t>
  </si>
  <si>
    <t>Cereals</t>
  </si>
  <si>
    <t>700to900</t>
  </si>
  <si>
    <t>FreeDrain</t>
  </si>
  <si>
    <t>Upper Stour|Cereals|TRUE|700to900|FreeDrain</t>
  </si>
  <si>
    <t>Cereals|700to900</t>
  </si>
  <si>
    <t>DrainedAr</t>
  </si>
  <si>
    <t>Upper Stour|Cereals|TRUE|700to900|DrainedAr</t>
  </si>
  <si>
    <t>DrainedArGr</t>
  </si>
  <si>
    <t>Upper Stour|Cereals|TRUE|700to900|DrainedArGr</t>
  </si>
  <si>
    <t>General</t>
  </si>
  <si>
    <t>Upper Stour|General|TRUE|700to900|FreeDrain</t>
  </si>
  <si>
    <t>General|700to900</t>
  </si>
  <si>
    <t>Upper Stour|General|TRUE|700to900|DrainedAr</t>
  </si>
  <si>
    <t>Upper Stour|General|TRUE|700to900|DrainedArGr</t>
  </si>
  <si>
    <t>Horticulture</t>
  </si>
  <si>
    <t>Upper Stour|Horticulture|TRUE|700to900|FreeDrain</t>
  </si>
  <si>
    <t>Horticulture|700to900</t>
  </si>
  <si>
    <t>Upper Stour|Horticulture|TRUE|700to900|DrainedAr</t>
  </si>
  <si>
    <t>Upper Stour|Horticulture|FALSE|700to900|DrainedArGr</t>
  </si>
  <si>
    <t>Poultry</t>
  </si>
  <si>
    <t>Upper Stour|Poultry|TRUE|700to900|FreeDrain</t>
  </si>
  <si>
    <t>Poultry|700to900</t>
  </si>
  <si>
    <t>Upper Stour|Poultry|TRUE|700to900|DrainedAr</t>
  </si>
  <si>
    <t>Upper Stour|Poultry|TRUE|700to900|DrainedArGr</t>
  </si>
  <si>
    <t>Lowland</t>
  </si>
  <si>
    <t>Upper Stour|Lowland|TRUE|700to900|FreeDrain</t>
  </si>
  <si>
    <t>Lowland|700to900</t>
  </si>
  <si>
    <t>Upper Stour|Lowland|TRUE|700to900|DrainedAr</t>
  </si>
  <si>
    <t>Upper Stour|Lowland|FALSE|700to900|DrainedArGr</t>
  </si>
  <si>
    <t>Upper Stour|Lowland|TRUE|700to900|DrainedArGr</t>
  </si>
  <si>
    <t>Mixed</t>
  </si>
  <si>
    <t>Upper Stour|Mixed|TRUE|700to900|FreeDrain</t>
  </si>
  <si>
    <t>Mixed|700to900</t>
  </si>
  <si>
    <t>Upper Stour|Mixed|TRUE|700to900|DrainedAr</t>
  </si>
  <si>
    <t>Upper Stour|Mixed|FALSE|700to900|DrainedArGr</t>
  </si>
  <si>
    <t>Upper Stour|Mixed|TRUE|700to900|DrainedArGr</t>
  </si>
  <si>
    <t>Lower Stour</t>
  </si>
  <si>
    <t>600to700</t>
  </si>
  <si>
    <t>Lower Stour|Cereals|TRUE|600to700|FreeDrain</t>
  </si>
  <si>
    <t>Cereals|600to700</t>
  </si>
  <si>
    <t>Lower Stour|Cereals|FALSE|600to700|DrainedAr</t>
  </si>
  <si>
    <t>Lower Stour|Cereals|TRUE|600to700|DrainedArGr</t>
  </si>
  <si>
    <t>Lower Stour|Cereals|TRUE|700to900|FreeDrain</t>
  </si>
  <si>
    <t>Lower Stour|Cereals|TRUE|700to900|DrainedAr</t>
  </si>
  <si>
    <t>Lower Stour|General|FALSE|600to700|FreeDrain</t>
  </si>
  <si>
    <t>General|600to700</t>
  </si>
  <si>
    <t>Lower Stour|General|TRUE|600to700|FreeDrain</t>
  </si>
  <si>
    <t>Lower Stour|General|FALSE|600to700|DrainedAr</t>
  </si>
  <si>
    <t>Lower Stour|General|TRUE|600to700|DrainedAr</t>
  </si>
  <si>
    <t>Lower Stour|General|TRUE|600to700|DrainedArGr</t>
  </si>
  <si>
    <t>Lower Stour|General|FALSE|700to900|FreeDrain</t>
  </si>
  <si>
    <t>Lower Stour|General|TRUE|700to900|FreeDrain</t>
  </si>
  <si>
    <t>Lower Stour|General|TRUE|700to900|DrainedAr</t>
  </si>
  <si>
    <t>Lower Stour|Horticulture|TRUE|600to700|FreeDrain</t>
  </si>
  <si>
    <t>Horticulture|600to700</t>
  </si>
  <si>
    <t>Lower Stour|Horticulture|FALSE|700to900|FreeDrain</t>
  </si>
  <si>
    <t>Lower Stour|Horticulture|TRUE|700to900|FreeDrain</t>
  </si>
  <si>
    <t>Lower Stour|Horticulture|TRUE|700to900|DrainedAr</t>
  </si>
  <si>
    <t>Lower Stour|Lowland|FALSE|600to700|FreeDrain</t>
  </si>
  <si>
    <t>Lowland|600to700</t>
  </si>
  <si>
    <t>Lower Stour|Lowland|TRUE|600to700|FreeDrain</t>
  </si>
  <si>
    <t>Lower Stour|Lowland|TRUE|700to900|FreeDrain</t>
  </si>
  <si>
    <t>Lower Stour|Lowland|FALSE|700to900|DrainedAr</t>
  </si>
  <si>
    <t>Lower Stour|Lowland|TRUE|700to900|DrainedAr</t>
  </si>
  <si>
    <t>Lower Stour|Lowland|TRUE|700to900|DrainedArGr</t>
  </si>
  <si>
    <t>Lower Stour|Mixed|TRUE|600to700|FreeDrain</t>
  </si>
  <si>
    <t>Mixed|600to700</t>
  </si>
  <si>
    <t>Lower Stour|Mixed|FALSE|600to700|DrainedArGr</t>
  </si>
  <si>
    <t>Lower Stour|Mixed|TRUE|700to900|FreeDrain</t>
  </si>
  <si>
    <t>Lower Stour|Mixed|TRUE|700to900|DrainedAr</t>
  </si>
  <si>
    <t>Little Stour and Wingham</t>
  </si>
  <si>
    <t>Little Stour and Wingham|Cereals|FALSE|600to700|FreeDrain</t>
  </si>
  <si>
    <t>Little Stour and Wingham|Cereals|TRUE|600to700|FreeDrain</t>
  </si>
  <si>
    <t>Little Stour and Wingham|Cereals|FALSE|600to700|DrainedAr</t>
  </si>
  <si>
    <t>Little Stour and Wingham|Cereals|FALSE|700to900|FreeDrain</t>
  </si>
  <si>
    <t>Little Stour and Wingham|Cereals|TRUE|700to900|FreeDrain</t>
  </si>
  <si>
    <t>Little Stour and Wingham|Cereals|FALSE|700to900|DrainedAr</t>
  </si>
  <si>
    <t>Little Stour and Wingham|Cereals|TRUE|700to900|DrainedAr</t>
  </si>
  <si>
    <t>Little Stour and Wingham|General|FALSE|600to700|FreeDrain</t>
  </si>
  <si>
    <t>Little Stour and Wingham|General|TRUE|600to700|FreeDrain</t>
  </si>
  <si>
    <t>Little Stour and Wingham|General|FALSE|700to900|FreeDrain</t>
  </si>
  <si>
    <t>Little Stour and Wingham|General|TRUE|700to900|FreeDrain</t>
  </si>
  <si>
    <t>Little Stour and Wingham|General|FALSE|700to900|DrainedAr</t>
  </si>
  <si>
    <t>Little Stour and Wingham|General|TRUE|700to900|DrainedAr</t>
  </si>
  <si>
    <t>Little Stour and Wingham|Horticulture|FALSE|600to700|FreeDrain</t>
  </si>
  <si>
    <t>Little Stour and Wingham|Horticulture|TRUE|600to700|FreeDrain</t>
  </si>
  <si>
    <t>Little Stour and Wingham|Horticulture|FALSE|600to700|DrainedAr</t>
  </si>
  <si>
    <t>Little Stour and Wingham|Horticulture|FALSE|700to900|FreeDrain</t>
  </si>
  <si>
    <t>Little Stour and Wingham|Horticulture|TRUE|700to900|FreeDrain</t>
  </si>
  <si>
    <t>Little Stour and Wingham|Horticulture|FALSE|700to900|DrainedAr</t>
  </si>
  <si>
    <t>Little Stour and Wingham|Horticulture|TRUE|700to900|DrainedAr</t>
  </si>
  <si>
    <t>Little Stour and Wingham|Lowland|FALSE|600to700|FreeDrain</t>
  </si>
  <si>
    <t>Little Stour and Wingham|Lowland|TRUE|600to700|FreeDrain</t>
  </si>
  <si>
    <t>Little Stour and Wingham|Lowland|FALSE|600to700|DrainedAr</t>
  </si>
  <si>
    <t>Little Stour and Wingham|Lowland|TRUE|600to700|DrainedAr</t>
  </si>
  <si>
    <t>Little Stour and Wingham|Lowland|FALSE|700to900|FreeDrain</t>
  </si>
  <si>
    <t>Little Stour and Wingham|Lowland|TRUE|700to900|FreeDrain</t>
  </si>
  <si>
    <t>Little Stour and Wingham|Lowland|FALSE|700to900|DrainedAr</t>
  </si>
  <si>
    <t>Little Stour and Wingham|Lowland|TRUE|700to900|DrainedAr</t>
  </si>
  <si>
    <t>900to1200</t>
  </si>
  <si>
    <t>Little Stour and Wingham|Lowland|FALSE|900to1200|FreeDrain</t>
  </si>
  <si>
    <t>Lowland|900to1200</t>
  </si>
  <si>
    <t>Little Stour and Wingham|Lowland|TRUE|900to1200|FreeDrain</t>
  </si>
  <si>
    <t>Little Stour and Wingham|Lowland|FALSE|900to1200|DrainedAr</t>
  </si>
  <si>
    <t>Little Stour and Wingham|Mixed|TRUE|600to700|FreeDrain</t>
  </si>
  <si>
    <t>Little Stour and Wingham|Mixed|FALSE|700to900|FreeDrain</t>
  </si>
  <si>
    <t>Little Stour and Wingham|Mixed|TRUE|700to900|FreeDrain</t>
  </si>
  <si>
    <t>Little Stour and Wingham|Mixed|FALSE|700to900|DrainedAr</t>
  </si>
  <si>
    <t>Little Stour and Wingham|Mixed|TRUE|700to900|DrainedAr</t>
  </si>
  <si>
    <t>Little Stour and Wingham|Poultry|TRUE|700to900|FreeDrain</t>
  </si>
  <si>
    <t>Little Stour and Wingham|Poultry|FALSE|700to900|FreeDrain</t>
  </si>
  <si>
    <t>Little Stour and Wingham|Poultry|FALSE|700to900|DrainedAr</t>
  </si>
  <si>
    <t>Little Stour and Wingham|Poultry|TRUE|700to900|DrainedAr</t>
  </si>
  <si>
    <t>Stour Marshes</t>
  </si>
  <si>
    <t>Under600</t>
  </si>
  <si>
    <t>Stour Marshes|Cereals|FALSE|Under600|FreeDrain</t>
  </si>
  <si>
    <t>Cereals|Under600</t>
  </si>
  <si>
    <t>Stour Marshes|Cereals|FALSE|Under600|DrainedAr</t>
  </si>
  <si>
    <t>Stour Marshes|Cereals|FALSE|Under600|DrainedArGr</t>
  </si>
  <si>
    <t>Stour Marshes|Cereals|FALSE|600to700|FreeDrain</t>
  </si>
  <si>
    <t>Stour Marshes|Cereals|TRUE|600to700|FreeDrain</t>
  </si>
  <si>
    <t>Stour Marshes|Cereals|FALSE|600to700|DrainedAr</t>
  </si>
  <si>
    <t>Stour Marshes|Cereals|FALSE|600to700|DrainedArGr</t>
  </si>
  <si>
    <t>Stour Marshes|Cereals|FALSE|700to900|DrainedArGr</t>
  </si>
  <si>
    <t>Over1500</t>
  </si>
  <si>
    <t>Stour Marshes|Cereals|FALSE|Over1500|FreeDrain</t>
  </si>
  <si>
    <t>Cereals|Over1500</t>
  </si>
  <si>
    <t>Stour Marshes|Cereals|TRUE|Over1500|FreeDrain</t>
  </si>
  <si>
    <t>Stour Marshes|General|FALSE|Under600|DrainedAr</t>
  </si>
  <si>
    <t>General|Under600</t>
  </si>
  <si>
    <t>Stour Marshes|General|FALSE|600to700|FreeDrain</t>
  </si>
  <si>
    <t>Stour Marshes|General|TRUE|600to700|FreeDrain</t>
  </si>
  <si>
    <t>Stour Marshes|General|FALSE|600to700|DrainedAr</t>
  </si>
  <si>
    <t>Stour Marshes|General|FALSE|600to700|DrainedArGr</t>
  </si>
  <si>
    <t>Stour Marshes|General|FALSE|700to900|DrainedArGr</t>
  </si>
  <si>
    <t>Stour Marshes|Horticulture|FALSE|Under600|FreeDrain</t>
  </si>
  <si>
    <t>Horticulture|Under600</t>
  </si>
  <si>
    <t>Stour Marshes|Horticulture|FALSE|600to700|FreeDrain</t>
  </si>
  <si>
    <t>Stour Marshes|Horticulture|FALSE|600to700|DrainedAr</t>
  </si>
  <si>
    <t>Stour Marshes|Horticulture|FALSE|600to700|DrainedArGr</t>
  </si>
  <si>
    <t>Stour Marshes|Lowland|FALSE|600to700|FreeDrain</t>
  </si>
  <si>
    <t>Stour Marshes|Lowland|FALSE|600to700|DrainedAr</t>
  </si>
  <si>
    <t>Stour Marshes|Lowland|FALSE|600to700|DrainedArGr</t>
  </si>
  <si>
    <t>Stour Marshes|Mixed|FALSE|Under600|FreeDrain</t>
  </si>
  <si>
    <t>Mixed|Under600</t>
  </si>
  <si>
    <t>Stour Marshes|Mixed|FALSE|600to700|FreeDrain</t>
  </si>
  <si>
    <t>Stour Marshes|Mixed|FALSE|600to700|DrainedArGr</t>
  </si>
  <si>
    <t>Stour</t>
  </si>
  <si>
    <t>Cereals|FALSE|Under600|FreeDrain</t>
  </si>
  <si>
    <t>Cereals|FALSE|Under600|DrainedAr</t>
  </si>
  <si>
    <t>Cereals|FALSE|Under600|DrainedArGr</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</si>
  <si>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</si>
  <si>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</si>
  <si>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</si>
  <si>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</si>
  <si>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</si>
  <si>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</si>
  <si>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</si>
  <si>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</si>
  <si>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</si>
  <si>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</si>
  <si>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</si>
  <si>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</si>
  <si>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</si>
  <si>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Cereals|FALSE|900to1200|DrainedAr</t>
  </si>
  <si>
    <t>Cereals|FALSE|Over1500|FreeDrain</t>
  </si>
  <si>
    <t>Cereals|TRUE|Over1500|FreeDrain</t>
  </si>
  <si>
    <t>General|FALSE|Under600|DrainedAr</t>
  </si>
  <si>
    <t>General|FALSE|Under600|DrainedArGr</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</si>
  <si>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</si>
  <si>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</si>
  <si>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</si>
  <si>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</si>
  <si>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</si>
  <si>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</si>
  <si>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</si>
  <si>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</si>
  <si>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</si>
  <si>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</si>
  <si>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</si>
  <si>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</si>
  <si>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General|FALSE|900to1200|DrainedAr</t>
  </si>
  <si>
    <t>Horticulture|FALSE|Under600|FreeDrain</t>
  </si>
  <si>
    <t>Horticulture|FALSE|Under600|DrainedAr</t>
  </si>
  <si>
    <t>Horticulture|FALSE|600to700|FreeDrain</t>
  </si>
  <si>
    <t>Horticulture|TRUE|600to700|FreeDrain</t>
  </si>
  <si>
    <t>Horticulture|FALSE|600to700|DrainedAr</t>
  </si>
  <si>
    <t>Horticulture|FALSE|600to700|DrainedArGr</t>
  </si>
  <si>
    <t>Horticulture|FALSE|700to900|FreeDrain</t>
  </si>
  <si>
    <t>Horticulture|TRUE|700to900|FreeDrain</t>
  </si>
  <si>
    <t>Horticulture|FALSE|700to900|DrainedAr</t>
  </si>
  <si>
    <t>Horticulture|TRUE|700to900|DrainedAr</t>
  </si>
  <si>
    <t>Horticulture|FALSE|700to900|DrainedArGr</t>
  </si>
  <si>
    <t>Pig</t>
  </si>
  <si>
    <t>Pig|FALSE|600to700|FreeDrain</t>
  </si>
  <si>
    <t>Pig|FALSE|600to700|DrainedAr</t>
  </si>
  <si>
    <t>Pig|FALSE|600to700|DrainedArGr</t>
  </si>
  <si>
    <t>Pig|FALSE|700to900|FreeDrain</t>
  </si>
  <si>
    <t>Pig|TRUE|700to900|FreeDrain</t>
  </si>
  <si>
    <t>Pig|FALSE|700to900|DrainedAr</t>
  </si>
  <si>
    <t>Pig|TRUE|700to900|DrainedAr</t>
  </si>
  <si>
    <t>Poultry|TRUE|600to700|FreeDrain</t>
  </si>
  <si>
    <t>Poultry|TRUE|600to700|DrainedAr</t>
  </si>
  <si>
    <t>Poultry|FALSE|600to700|DrainedArGr</t>
  </si>
  <si>
    <t>Poultry|FALSE|700to900|FreeDrain</t>
  </si>
  <si>
    <t>Poultry|TRUE|700to900|FreeDrain</t>
  </si>
  <si>
    <t>Poultry|FALSE|700to900|DrainedAr</t>
  </si>
  <si>
    <t>Poultry|TRUE|700to900|DrainedAr</t>
  </si>
  <si>
    <t>Poultry|TRUE|700to900|DrainedArGr</t>
  </si>
  <si>
    <t>Dairy</t>
  </si>
  <si>
    <t>Dairy|TRUE|600to700|FreeDrain</t>
  </si>
  <si>
    <t>Dairy|FALSE|700to900|FreeDrain</t>
  </si>
  <si>
    <t>Dairy|TRUE|700to900|FreeDrain</t>
  </si>
  <si>
    <t>Dairy|FALSE|700to900|DrainedAr</t>
  </si>
  <si>
    <t>Dairy|TRUE|700to900|DrainedArGr</t>
  </si>
  <si>
    <t>Lowland|FALSE|Under600|DrainedArGr</t>
  </si>
  <si>
    <t>Lowland|FALSE|600to700|FreeDrain</t>
  </si>
  <si>
    <t>Lowland|TRUE|600to700|FreeDrain</t>
  </si>
  <si>
    <t>Lowland|FALSE|600to700|DrainedAr</t>
  </si>
  <si>
    <t>Lowland|TRUE|600to700|DrainedAr</t>
  </si>
  <si>
    <t>Lowland|FALSE|600to700|DrainedArGr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</si>
  <si>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</si>
  <si>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</si>
  <si>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</si>
  <si>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</si>
  <si>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</si>
  <si>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</si>
  <si>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</si>
  <si>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</si>
  <si>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</si>
  <si>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Lowland|TRUE|Over1500|FreeDrain</t>
  </si>
  <si>
    <t>Mixed|FALSE|Under600|FreeDrain</t>
  </si>
  <si>
    <t>Mixed|FALSE|600to700|FreeDrain</t>
  </si>
  <si>
    <t>Mixed|TRUE|600to700|FreeDrain</t>
  </si>
  <si>
    <t>Mixed|TRUE|600to700|DrainedAr</t>
  </si>
  <si>
    <t>Mixed|FALSE|600to700|DrainedArGr</t>
  </si>
  <si>
    <t>Mixed|FALSE|700to900|FreeDrain</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</si>
  <si>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</si>
  <si>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</si>
  <si>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</si>
  <si>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</si>
  <si>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</si>
  <si>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</si>
  <si>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</si>
  <si>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</si>
  <si>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</si>
  <si>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</si>
  <si>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</si>
  <si>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</si>
  <si>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</si>
  <si>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</si>
  <si>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</si>
  <si>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</si>
  <si>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</si>
  <si>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</si>
  <si>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</si>
  <si>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</si>
  <si>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</si>
  <si>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</si>
  <si>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</si>
  <si>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</si>
  <si>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</si>
  <si>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</si>
  <si>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</si>
  <si>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</si>
  <si>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</si>
  <si>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</si>
  <si>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</si>
  <si>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</si>
  <si>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</si>
  <si>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</si>
  <si>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</si>
  <si>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</si>
  <si>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</si>
  <si>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</si>
  <si>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</si>
  <si>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</si>
  <si>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</si>
  <si>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</si>
  <si>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</si>
  <si>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</si>
  <si>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</si>
  <si>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</si>
  <si>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</si>
  <si>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</si>
  <si>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</si>
  <si>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</si>
  <si>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</si>
  <si>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</si>
  <si>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</si>
  <si>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</si>
  <si>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</si>
  <si>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</si>
  <si>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</si>
  <si>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</si>
  <si>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</si>
  <si>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</si>
  <si>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</si>
  <si>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</si>
  <si>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</si>
  <si>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</si>
  <si>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</si>
  <si>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</si>
  <si>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</si>
  <si>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</si>
  <si>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</si>
  <si>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</si>
  <si>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</si>
  <si>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</si>
  <si>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</si>
  <si>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Stodmarsh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</si>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</sst>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2" borderId="1" xfId="2" applyFill="1" applyBorder="1" applyAlignment="1" applyProtection="1">
      <alignment horizontal="left" vertical="center"/>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xf numFmtId="0" fontId="19" fillId="3" borderId="1" xfId="1" applyFont="1"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8">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27" dataDxfId="126">
  <autoFilter ref="A10:B15" xr:uid="{34C1CC3E-CC17-4674-B779-2D18F1229621}">
    <filterColumn colId="0" hiddenButton="1"/>
    <filterColumn colId="1" hiddenButton="1"/>
  </autoFilter>
  <tableColumns count="2">
    <tableColumn id="1" xr3:uid="{2E8B3BDB-AF5A-40DA-90D0-CD14A4F25AE4}" name="Topic of each table" dataDxfId="125"/>
    <tableColumn id="2" xr3:uid="{4D14E4CA-0756-44B9-85C2-C6AB57CA0473}" name="Link to each worksheet" dataDxfId="124"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88:A305" totalsRowShown="0" headerRowDxfId="59" dataDxfId="57" headerRowBorderDxfId="58" tableBorderDxfId="56" totalsRowBorderDxfId="55">
  <autoFilter ref="A288:A305" xr:uid="{27E373C5-D0CE-42F2-9526-68F6C3493A4E}">
    <filterColumn colId="0" hiddenButton="1"/>
  </autoFilter>
  <tableColumns count="1">
    <tableColumn id="1" xr3:uid="{53B368C1-8BC9-40BE-BF12-2BD44CBABE8A}" name="All Possible Landcover Types" dataDxfId="54"/>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83:B285" totalsRowShown="0" headerRowDxfId="53" dataDxfId="52" tableBorderDxfId="51">
  <autoFilter ref="A283:B285"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74:C280" totalsRowShown="0" headerRowDxfId="48" dataDxfId="47" tableBorderDxfId="46">
  <autoFilter ref="A274:C280" xr:uid="{1A6CB2E1-69B4-4AD4-994C-659133C27DDB}">
    <filterColumn colId="0" hiddenButton="1"/>
    <filterColumn colId="1" hiddenButton="1"/>
    <filterColumn colId="2" hiddenButton="1"/>
  </autoFilter>
  <tableColumns count="3">
    <tableColumn id="1" xr3:uid="{22766906-A0A6-4E97-AF30-1597153F0350}" name="Soilscape drainage term" dataDxfId="45"/>
    <tableColumn id="2" xr3:uid="{F002BB36-823A-4836-A21B-B579E90BABD3}" name="Farmscoper term" dataDxfId="44"/>
    <tableColumn id="3" xr3:uid="{9175DC56-F38C-4D28-A172-11226D1D23E9}" name="Definition" dataDxfId="43"/>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41:K264" totalsRowShown="0" headerRowDxfId="42" dataDxfId="41" tableBorderDxfId="40">
  <autoFilter ref="A241:K26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9"/>
    <tableColumn id="2" xr3:uid="{6314E66D-7991-4DDA-9A1D-1FE2961CCE28}" name="Mid" dataDxfId="38"/>
    <tableColumn id="3" xr3:uid="{0B72D170-B3FB-410B-B94E-238D55DCBE68}" name="Farmscoper Equivalent" dataDxfId="37"/>
    <tableColumn id="4" xr3:uid="{0F992BC0-BDCD-49A0-800D-DE9390E83D4D}" name="P Urban Runoff Coefficient " dataDxfId="36"/>
    <tableColumn id="5" xr3:uid="{CC4E8ED1-10B1-497F-85BB-B21C5930A734}" name="N Urban Runoff Coefficient (kg/ha/yr)" dataDxfId="35"/>
    <tableColumn id="6" xr3:uid="{8AA02858-4B6E-42E1-8EB2-D3C4BAB72698}" name="Residential P export coefficient (kg/ha/yr)" dataDxfId="34"/>
    <tableColumn id="7" xr3:uid="{24BE5444-EEC8-44A1-8B49-79261DDC1D84}" name="Commercial / industrial P export coefficient (kg/ha/yr)" dataDxfId="33"/>
    <tableColumn id="8" xr3:uid="{3D907FB1-AFBD-4D65-A7C1-7FCBDBA7E010}" name="Open urban P export coefficient (kg/ha/yr)" dataDxfId="32"/>
    <tableColumn id="9" xr3:uid="{659D953B-CEE1-475B-B79F-09EDE2124F89}" name="Residential N export coefficient (kg/ha/yr)" dataDxfId="31"/>
    <tableColumn id="10" xr3:uid="{B077E248-9579-43F2-9FD4-BCCA722D6FC1}" name="Commercial / industrial N export coefficient (kg/ha/yr)" dataDxfId="30"/>
    <tableColumn id="11" xr3:uid="{106BF2CF-BA30-4A6D-AF89-E886BEBDE8D6}" name="Open urban N export coefficient (kg/ha/yr)" dataDxfId="29"/>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5:M238" totalsRowShown="0" headerRowDxfId="28" dataDxfId="27" tableBorderDxfId="26">
  <autoFilter ref="A25:M23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"|"&amp;"|"&amp;"|"&amp;E26</calculatedColumnFormula>
    </tableColumn>
    <tableColumn id="7" xr3:uid="{CF6B9BF0-3AFB-4049-8321-66DDFD8F9508}" name="Phosphorus export coefficient" dataDxfId="19"/>
    <tableColumn id="8" xr3:uid="{EBD2571A-6A4E-4448-BEB2-CCC5A7E48254}" name="Nitrogen export coefficient" dataDxfId="18"/>
    <tableColumn id="9" xr3:uid="{96CC571C-13E4-474B-8016-76B1B26E6BAE}" name="Farm Lookup" dataDxfId="17"/>
    <tableColumn id="10" xr3:uid="{511A3753-F9BA-45C6-B34A-6CC17D10251D}" name="Mean P export of farm type and climate combination" dataDxfId="16"/>
    <tableColumn id="11" xr3:uid="{A4A4CA5F-B40A-4D96-B1F7-2F58E7D4D811}" name="Mean N export of farm type and climate combination" dataDxfId="15"/>
    <tableColumn id="12" xr3:uid="{6A6F3AA5-4A40-440E-9BBC-E26F5AF39750}" name="Mean P export of farm type" dataDxfId="14"/>
    <tableColumn id="13" xr3:uid="{EF05C3C7-DB49-4B8E-8C81-E6CFAC3E3633}" name="Mean N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22" totalsRowShown="0" headerRowDxfId="12" dataDxfId="11" tableBorderDxfId="10">
  <autoFilter ref="A4:G22"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3" dataDxfId="121" headerRowBorderDxfId="122" tableBorderDxfId="120" totalsRowBorderDxfId="119">
  <autoFilter ref="A42:A46" xr:uid="{B49F145B-E832-4F46-A3EF-21C615395A75}">
    <filterColumn colId="0" hiddenButton="1"/>
  </autoFilter>
  <tableColumns count="1">
    <tableColumn id="1" xr3:uid="{7CA440AF-D1D2-430A-9BC2-4163DBFCE501}" name="Description of the information:" dataDxfId="118"/>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17" dataDxfId="115" headerRowBorderDxfId="116" tableBorderDxfId="114" totalsRowBorderDxfId="113">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2"/>
    <tableColumn id="2" xr3:uid="{D22CDBE7-9B75-4248-A951-0D061DAA9F1C}" name="Data entry column - user inputs required" dataDxfId="111"/>
    <tableColumn id="4" xr3:uid="{20424A8D-23FA-4C1D-B394-6A4A0726E8D6}" name="Additional data entry column - user inputs may be required" dataDxfId="11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09" dataDxfId="107" headerRowBorderDxfId="108" tableBorderDxfId="106">
  <autoFilter ref="A17:B28" xr:uid="{B50C45A2-2A77-478E-B226-DC5B3B2EA72E}">
    <filterColumn colId="0" hiddenButton="1"/>
    <filterColumn colId="1" hiddenButton="1"/>
  </autoFilter>
  <tableColumns count="2">
    <tableColumn id="1" xr3:uid="{FA8C78F6-50A3-498F-8975-6D1EC817B86B}" name="Description of values generated" dataDxfId="105"/>
    <tableColumn id="2" xr3:uid="{150A0AA5-FDF2-4BA1-A9A8-36A566F3E6CC}" name="Values generated" dataDxfId="104"/>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3" dataDxfId="101" headerRowBorderDxfId="102" tableBorderDxfId="100" totalsRowBorderDxfId="99">
  <autoFilter ref="A4:B8" xr:uid="{E51AE02F-7B0C-4640-BEBD-8FD46432F29C}">
    <filterColumn colId="0" hiddenButton="1"/>
    <filterColumn colId="1" hiddenButton="1"/>
  </autoFilter>
  <tableColumns count="2">
    <tableColumn id="1" xr3:uid="{C513A266-837A-4378-8552-D156135B549F}" name="Description of required information" dataDxfId="98"/>
    <tableColumn id="2" xr3:uid="{9FEADC6D-D9F7-40A8-AB95-390DAB627A00}" name="Data entry column - user inputs required" dataDxfId="97"/>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6" dataDxfId="94" headerRowBorderDxfId="95" tableBorderDxfId="93" totalsRowBorderDxfId="92">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1"/>
    <tableColumn id="2" xr3:uid="{DA6AF240-7DDF-40CC-B3C9-0A6C10900A68}" name="Area (ha) - user inputs required" dataDxfId="90"/>
    <tableColumn id="3" xr3:uid="{6E639853-0D25-4A34-A943-04CF61F257AF}" name="Annual phosphorus nutrient export  _x000a_(kg TP/yr)" dataDxfId="89"/>
    <tableColumn id="4" xr3:uid="{D46D9DE3-2913-45A9-81EF-5C0B16A60B70}" name="Annual nitrogen nutrient export  _x000a_(kg TN/yr)" dataDxfId="88"/>
    <tableColumn id="5" xr3:uid="{B35F3CE8-F7D9-4526-B8D6-064B09EE0E77}" name="Notes on data" dataDxfId="8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6" dataDxfId="85">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4"/>
    <tableColumn id="2" xr3:uid="{2BF0443C-5885-452F-9860-409F1647E1C1}" name="Area (ha) - user inputs required" dataDxfId="83"/>
    <tableColumn id="3" xr3:uid="{25FC9D0F-4B95-491D-B24D-E74B3A1DBC98}" name="Annual phosphorus nutrient export _x000a_(kg TP/yr)" dataDxfId="82"/>
    <tableColumn id="4" xr3:uid="{D4EA72A6-0C9C-4A1E-8AAC-10EB38F195A8}" name="Annual nitrogen nutrient export_x000a_(kg TN/yr)" dataDxfId="81"/>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0" dataDxfId="78" headerRowBorderDxfId="79">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77"/>
    <tableColumn id="2" xr3:uid="{72D29FD7-7898-4191-A97D-55B2AC2A6039}" name="SuDS catchment area (ha)  - user inputs required" dataDxfId="76"/>
    <tableColumn id="10" xr3:uid="{C118AB6C-A0C7-46A0-B4D4-823E8172F281}" name="Percentage of flow entering the SuDS (%)  - user inputs required" dataDxfId="75"/>
    <tableColumn id="3" xr3:uid="{ED81FC8E-03C3-4BFE-9F76-89B40F31A34D}" name="Annual phosphorus inputs to SuDS feature(s)_x000a_(kg TP/yr) " dataDxfId="74">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3">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2"/>
    <tableColumn id="7" xr3:uid="{C0ABEF49-1594-4E02-BF91-3B0541CD3C39}" name="TP removal rate for features - user specified (%) - user inputs required" dataDxfId="71"/>
    <tableColumn id="8" xr3:uid="{6CE040BE-33E5-44DA-B389-E1BC789E21E5}" name="TN removal rate for features - user specified (%) - user inputs required" dataDxfId="70">
      <calculatedColumnFormula>IF(OR(#REF!="No",ISBLANK(#REF!)),"",IF(#REF!="Yes","","TN removal rate - user specified (%)"))</calculatedColumnFormula>
    </tableColumn>
    <tableColumn id="13" xr3:uid="{AD318CD3-7F23-4854-891B-91CB70148FB9}" name="Annual phosphorus load removed by SuDS_x000a_(kg TP/yr)" dataDxfId="69"/>
    <tableColumn id="14" xr3:uid="{1156F97A-C06E-4041-A8E9-274F94CC02BE}" name="Annual nitrogen load removed by SuDS_x000a_(kg TP/yr)" dataDxfId="68"/>
    <tableColumn id="6" xr3:uid="{E06A970A-6835-4E49-9119-FEAF7BC8D4A0}" name="Notes on data" dataDxfId="67">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6" dataDxfId="64" headerRowBorderDxfId="65" tableBorderDxfId="63" totalsRowBorderDxfId="62">
  <autoFilter ref="A4:B21" xr:uid="{A0BD0106-977A-4B15-9C53-C66CDF6772BD}">
    <filterColumn colId="0" hiddenButton="1"/>
    <filterColumn colId="1" hiddenButton="1"/>
  </autoFilter>
  <tableColumns count="2">
    <tableColumn id="1" xr3:uid="{31004191-352C-44A7-A242-30E88F4CD5ED}" name="Description of values generated" dataDxfId="61"/>
    <tableColumn id="2" xr3:uid="{C357CE45-1FD7-4EF9-804B-579D3A1CC1A7}" name="Values generated" dataDxfId="60"/>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nrfa.ceh.ac.uk/data/station/spatial/40011"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abSelected="1" zoomScaleNormal="100" workbookViewId="0"/>
  </sheetViews>
  <sheetFormatPr defaultColWidth="8.81640625" defaultRowHeight="15.5" x14ac:dyDescent="0.35"/>
  <cols>
    <col min="1" max="1" width="151.81640625" style="5" customWidth="1"/>
    <col min="2" max="2" width="44.81640625" style="5" customWidth="1"/>
    <col min="3" max="207" width="8.54296875" style="5" customWidth="1"/>
    <col min="208" max="16384" width="8.81640625" style="5"/>
  </cols>
  <sheetData>
    <row r="1" spans="1:2" ht="50.65" customHeight="1" x14ac:dyDescent="0.35">
      <c r="A1" s="91" t="s">
        <v>0</v>
      </c>
    </row>
    <row r="2" spans="1:2" ht="36.75" customHeight="1" x14ac:dyDescent="0.35">
      <c r="A2" s="6" t="s">
        <v>1</v>
      </c>
    </row>
    <row r="3" spans="1:2" ht="26.25" customHeight="1" x14ac:dyDescent="0.35">
      <c r="A3" s="6" t="s">
        <v>2</v>
      </c>
    </row>
    <row r="4" spans="1:2" ht="30.75" customHeight="1" x14ac:dyDescent="0.35">
      <c r="A4" s="6" t="s">
        <v>3</v>
      </c>
    </row>
    <row r="5" spans="1:2" ht="26.25" customHeight="1" x14ac:dyDescent="0.35">
      <c r="A5" s="6" t="s">
        <v>4</v>
      </c>
    </row>
    <row r="6" spans="1:2" ht="26.25" customHeight="1" x14ac:dyDescent="0.35">
      <c r="A6" s="6" t="s">
        <v>5</v>
      </c>
    </row>
    <row r="7" spans="1:2" ht="36" customHeight="1" x14ac:dyDescent="0.35">
      <c r="A7" s="6" t="s">
        <v>6</v>
      </c>
    </row>
    <row r="8" spans="1:2" ht="36" customHeight="1" x14ac:dyDescent="0.35">
      <c r="A8" s="6" t="s">
        <v>7</v>
      </c>
    </row>
    <row r="9" spans="1:2" ht="37" customHeight="1" x14ac:dyDescent="0.35">
      <c r="A9" s="7" t="s">
        <v>8</v>
      </c>
    </row>
    <row r="10" spans="1:2" ht="37" customHeight="1" x14ac:dyDescent="0.35">
      <c r="A10" s="8" t="s">
        <v>9</v>
      </c>
      <c r="B10" s="9" t="s">
        <v>10</v>
      </c>
    </row>
    <row r="11" spans="1:2" ht="19.899999999999999" customHeight="1" x14ac:dyDescent="0.35">
      <c r="A11" s="6" t="s">
        <v>11</v>
      </c>
      <c r="B11" s="10" t="s">
        <v>12</v>
      </c>
    </row>
    <row r="12" spans="1:2" ht="19.899999999999999" customHeight="1" x14ac:dyDescent="0.35">
      <c r="A12" s="6" t="s">
        <v>13</v>
      </c>
      <c r="B12" s="10" t="s">
        <v>14</v>
      </c>
    </row>
    <row r="13" spans="1:2" ht="19.899999999999999" customHeight="1" x14ac:dyDescent="0.35">
      <c r="A13" s="6" t="s">
        <v>15</v>
      </c>
      <c r="B13" s="10" t="s">
        <v>16</v>
      </c>
    </row>
    <row r="14" spans="1:2" ht="19.899999999999999" customHeight="1" x14ac:dyDescent="0.35">
      <c r="A14" s="6" t="s">
        <v>17</v>
      </c>
      <c r="B14" s="10" t="s">
        <v>18</v>
      </c>
    </row>
    <row r="15" spans="1:2" ht="19.899999999999999" customHeight="1" x14ac:dyDescent="0.35">
      <c r="A15" s="6" t="s">
        <v>19</v>
      </c>
      <c r="B15" s="10" t="s">
        <v>20</v>
      </c>
    </row>
    <row r="16" spans="1:2" ht="37" customHeight="1" x14ac:dyDescent="0.35">
      <c r="A16" s="7" t="s">
        <v>21</v>
      </c>
      <c r="B16" s="11"/>
    </row>
    <row r="17" spans="1:2" ht="20.25" customHeight="1" x14ac:dyDescent="0.35">
      <c r="A17" s="6" t="s">
        <v>22</v>
      </c>
      <c r="B17" s="11"/>
    </row>
    <row r="18" spans="1:2" ht="36.75" customHeight="1" x14ac:dyDescent="0.35">
      <c r="A18" s="6" t="s">
        <v>23</v>
      </c>
      <c r="B18" s="11"/>
    </row>
    <row r="19" spans="1:2" ht="63.65" customHeight="1" x14ac:dyDescent="0.35">
      <c r="A19" s="6" t="s">
        <v>24</v>
      </c>
    </row>
    <row r="20" spans="1:2" ht="40" customHeight="1" x14ac:dyDescent="0.35">
      <c r="A20" s="6" t="s">
        <v>25</v>
      </c>
    </row>
    <row r="21" spans="1:2" ht="33" customHeight="1" x14ac:dyDescent="0.35">
      <c r="A21" s="6" t="s">
        <v>26</v>
      </c>
    </row>
    <row r="22" spans="1:2" ht="21.65" customHeight="1" x14ac:dyDescent="0.35">
      <c r="A22" s="15" t="s">
        <v>27</v>
      </c>
    </row>
    <row r="23" spans="1:2" ht="21.65" customHeight="1" x14ac:dyDescent="0.35">
      <c r="A23" s="6" t="s">
        <v>28</v>
      </c>
    </row>
    <row r="24" spans="1:2" ht="18.649999999999999" customHeight="1" x14ac:dyDescent="0.35">
      <c r="A24" s="6" t="s">
        <v>29</v>
      </c>
    </row>
    <row r="25" spans="1:2" ht="36" customHeight="1" x14ac:dyDescent="0.35">
      <c r="A25" s="6" t="s">
        <v>30</v>
      </c>
    </row>
    <row r="26" spans="1:2" ht="51" customHeight="1" x14ac:dyDescent="0.35">
      <c r="A26" s="15" t="s">
        <v>31</v>
      </c>
    </row>
    <row r="27" spans="1:2" ht="34.5" customHeight="1" x14ac:dyDescent="0.35">
      <c r="A27" s="6" t="s">
        <v>32</v>
      </c>
    </row>
    <row r="28" spans="1:2" ht="37" customHeight="1" x14ac:dyDescent="0.35">
      <c r="A28" s="7" t="s">
        <v>33</v>
      </c>
    </row>
    <row r="29" spans="1:2" ht="20.25" customHeight="1" x14ac:dyDescent="0.35">
      <c r="A29" s="6" t="s">
        <v>34</v>
      </c>
    </row>
    <row r="30" spans="1:2" ht="50.25" customHeight="1" x14ac:dyDescent="0.35">
      <c r="A30" s="6" t="s">
        <v>35</v>
      </c>
    </row>
    <row r="31" spans="1:2" ht="51.75" customHeight="1" x14ac:dyDescent="0.35">
      <c r="A31" s="6" t="s">
        <v>36</v>
      </c>
    </row>
    <row r="32" spans="1:2" ht="164.5" customHeight="1" x14ac:dyDescent="0.35">
      <c r="A32" s="6" t="s">
        <v>37</v>
      </c>
    </row>
    <row r="33" spans="1:2" ht="52.4" customHeight="1" x14ac:dyDescent="0.35">
      <c r="A33" s="6" t="s">
        <v>38</v>
      </c>
    </row>
    <row r="34" spans="1:2" ht="61" customHeight="1" x14ac:dyDescent="0.35">
      <c r="A34" s="6" t="s">
        <v>39</v>
      </c>
    </row>
    <row r="35" spans="1:2" ht="36" customHeight="1" x14ac:dyDescent="0.35">
      <c r="A35" s="6" t="s">
        <v>40</v>
      </c>
    </row>
    <row r="36" spans="1:2" ht="144.65" customHeight="1" x14ac:dyDescent="0.35">
      <c r="A36" s="6" t="s">
        <v>41</v>
      </c>
    </row>
    <row r="37" spans="1:2" ht="37" customHeight="1" x14ac:dyDescent="0.35">
      <c r="A37" s="7" t="s">
        <v>42</v>
      </c>
    </row>
    <row r="38" spans="1:2" ht="79.5" customHeight="1" x14ac:dyDescent="0.35">
      <c r="A38" s="16" t="s">
        <v>43</v>
      </c>
    </row>
    <row r="39" spans="1:2" ht="53.25" customHeight="1" x14ac:dyDescent="0.35">
      <c r="A39" s="15" t="s">
        <v>44</v>
      </c>
    </row>
    <row r="40" spans="1:2" ht="29.25" customHeight="1" x14ac:dyDescent="0.35">
      <c r="A40" s="15" t="s">
        <v>45</v>
      </c>
    </row>
    <row r="41" spans="1:2" ht="37" customHeight="1" x14ac:dyDescent="0.35">
      <c r="A41" s="7" t="s">
        <v>46</v>
      </c>
    </row>
    <row r="42" spans="1:2" ht="37" customHeight="1" x14ac:dyDescent="0.35">
      <c r="A42" s="8" t="s">
        <v>47</v>
      </c>
      <c r="B42" s="12"/>
    </row>
    <row r="43" spans="1:2" ht="32.25" customHeight="1" x14ac:dyDescent="0.35">
      <c r="A43" s="13" t="s">
        <v>48</v>
      </c>
      <c r="B43" s="14"/>
    </row>
    <row r="44" spans="1:2" ht="32.25" customHeight="1" x14ac:dyDescent="0.35">
      <c r="A44" s="13" t="s">
        <v>49</v>
      </c>
      <c r="B44" s="14"/>
    </row>
    <row r="45" spans="1:2" ht="43" customHeight="1" x14ac:dyDescent="0.35">
      <c r="A45" s="151" t="s">
        <v>50</v>
      </c>
      <c r="B45" s="14"/>
    </row>
    <row r="46" spans="1:2" ht="40.4" customHeight="1" x14ac:dyDescent="0.35">
      <c r="A46" s="15" t="s">
        <v>51</v>
      </c>
      <c r="B46" s="14"/>
    </row>
    <row r="47" spans="1:2" ht="37" customHeight="1" x14ac:dyDescent="0.35">
      <c r="A47" s="7" t="s">
        <v>52</v>
      </c>
    </row>
    <row r="48" spans="1:2" ht="63" customHeight="1" x14ac:dyDescent="0.35">
      <c r="A48" s="16" t="s">
        <v>53</v>
      </c>
    </row>
    <row r="49" spans="1:1" ht="219.65" customHeight="1" x14ac:dyDescent="0.35">
      <c r="A49" s="16" t="s">
        <v>54</v>
      </c>
    </row>
    <row r="50" spans="1:1" ht="25.75" customHeight="1" x14ac:dyDescent="0.35">
      <c r="A50" s="15" t="s">
        <v>55</v>
      </c>
    </row>
    <row r="51" spans="1:1" ht="37" customHeight="1" x14ac:dyDescent="0.35">
      <c r="A51" s="7" t="s">
        <v>56</v>
      </c>
    </row>
    <row r="52" spans="1:1" ht="36.75" customHeight="1" x14ac:dyDescent="0.35">
      <c r="A52" s="6" t="s">
        <v>57</v>
      </c>
    </row>
    <row r="53" spans="1:1" ht="234.65" customHeight="1" x14ac:dyDescent="0.35">
      <c r="A53" s="6" t="s">
        <v>58</v>
      </c>
    </row>
    <row r="54" spans="1:1" ht="37" customHeight="1" x14ac:dyDescent="0.35">
      <c r="A54" s="7" t="s">
        <v>59</v>
      </c>
    </row>
    <row r="55" spans="1:1" ht="35.25" customHeight="1" x14ac:dyDescent="0.35">
      <c r="A55" s="6" t="s">
        <v>60</v>
      </c>
    </row>
    <row r="56" spans="1:1" ht="23.25" customHeight="1" x14ac:dyDescent="0.35">
      <c r="A56" s="6" t="s">
        <v>61</v>
      </c>
    </row>
    <row r="57" spans="1:1" ht="39" customHeight="1" x14ac:dyDescent="0.35">
      <c r="A57" s="6" t="s">
        <v>62</v>
      </c>
    </row>
    <row r="68" spans="1:1" x14ac:dyDescent="0.35">
      <c r="A68" s="18"/>
    </row>
  </sheetData>
  <sheetProtection algorithmName="SHA-512" hashValue="voSoWI9fu3/6+xS2w27EWnInzwBnjWw4fhUQhPfQockfet0NmR+4YY6fo0FzjD2Czp5vJSeEOMgmaJnbNGe0nQ==" saltValue="irqDaWqijZzk4UM5tIVo6w=="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45" r:id="rId5" xr:uid="{0AF295E1-B4F4-4A54-ADDF-4F85F7FA8B35}"/>
    <hyperlink ref="A22" r:id="rId6" xr:uid="{1B86FD8D-E4E2-4D22-8597-9D48ED6C24EF}"/>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8" xr:uid="{1C1E3A94-8BAF-43E0-83EB-BFF6B26222BE}"/>
    <hyperlink ref="A50" r:id="rId9" xr:uid="{53CB9BEB-E250-459E-9801-4B7BBB2B5C9F}"/>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zoomScaleNormal="100" workbookViewId="0"/>
  </sheetViews>
  <sheetFormatPr defaultColWidth="8.81640625" defaultRowHeight="14" x14ac:dyDescent="0.3"/>
  <cols>
    <col min="1" max="1" width="124.1796875" style="19" customWidth="1"/>
    <col min="2" max="2" width="29.453125" style="19" customWidth="1"/>
    <col min="3" max="3" width="22.54296875" style="19" customWidth="1"/>
    <col min="4" max="6" width="30.54296875" style="19" customWidth="1"/>
    <col min="7" max="360" width="8.54296875" style="19" customWidth="1"/>
    <col min="361" max="16384" width="8.81640625" style="19"/>
  </cols>
  <sheetData>
    <row r="1" spans="1:3" ht="50.25" customHeight="1" x14ac:dyDescent="0.3">
      <c r="A1" s="36" t="s">
        <v>12</v>
      </c>
    </row>
    <row r="2" spans="1:3" s="20" customFormat="1" ht="409.6" customHeight="1" x14ac:dyDescent="0.35">
      <c r="A2" s="93" t="s">
        <v>63</v>
      </c>
    </row>
    <row r="3" spans="1:3" s="21" customFormat="1" ht="37.5" customHeight="1" x14ac:dyDescent="0.35">
      <c r="A3" s="7" t="s">
        <v>64</v>
      </c>
      <c r="B3" s="18"/>
      <c r="C3" s="5"/>
    </row>
    <row r="4" spans="1:3" s="20" customFormat="1" ht="62" x14ac:dyDescent="0.35">
      <c r="A4" s="8" t="s">
        <v>65</v>
      </c>
      <c r="B4" s="1" t="s">
        <v>66</v>
      </c>
      <c r="C4" s="2" t="s">
        <v>67</v>
      </c>
    </row>
    <row r="5" spans="1:3" s="20" customFormat="1" ht="20.25" customHeight="1" x14ac:dyDescent="0.35">
      <c r="A5" s="22" t="s">
        <v>68</v>
      </c>
      <c r="B5" s="33"/>
      <c r="C5" s="23"/>
    </row>
    <row r="6" spans="1:3" s="20" customFormat="1" ht="20.25" customHeight="1" x14ac:dyDescent="0.35">
      <c r="A6" s="22" t="s">
        <v>69</v>
      </c>
      <c r="B6" s="34">
        <v>2.4</v>
      </c>
      <c r="C6" s="23"/>
    </row>
    <row r="7" spans="1:3" s="20" customFormat="1" ht="20.25" customHeight="1" x14ac:dyDescent="0.35">
      <c r="A7" s="22" t="s">
        <v>70</v>
      </c>
      <c r="B7" s="35">
        <v>120</v>
      </c>
      <c r="C7" s="23"/>
    </row>
    <row r="8" spans="1:3" s="20" customFormat="1" ht="20.25" customHeight="1" x14ac:dyDescent="0.35">
      <c r="A8" s="22" t="s">
        <v>71</v>
      </c>
      <c r="B8" s="35"/>
      <c r="C8" s="23"/>
    </row>
    <row r="9" spans="1:3" s="20" customFormat="1" ht="37" customHeight="1" x14ac:dyDescent="0.35">
      <c r="A9" s="22" t="s">
        <v>72</v>
      </c>
      <c r="B9" s="35"/>
      <c r="C9" s="23"/>
    </row>
    <row r="10" spans="1:3" s="20" customFormat="1" ht="39.75" customHeight="1" x14ac:dyDescent="0.35">
      <c r="A10" s="22" t="s">
        <v>73</v>
      </c>
      <c r="B10" s="44">
        <f>(IFERROR(IF(OR(B9="Package Treatment Plant user defined",B9="Septic Tank user defined"),"Enter value in cell C10",IF(Nutrients_from_wastewater!B5&lt;DATE(2025,1,1),VLOOKUP(Nutrients_from_wastewater!B9,Value_look_up_tables!A5:J23,2,FALSE),IF(Nutrients_from_wastewater!B5&lt;DATE(2030,4,1),VLOOKUP(Nutrients_from_wastewater!B9,Value_look_up_tables!A5:J23,4,FALSE),VLOOKUP(Nutrients_from_wastewater!B9,Value_look_up_tables!A5:J22,6,FALSE)))),0))</f>
        <v>0</v>
      </c>
      <c r="C10" s="150"/>
    </row>
    <row r="11" spans="1:3" s="20" customFormat="1" ht="39.75" customHeight="1" x14ac:dyDescent="0.35">
      <c r="A11" s="22" t="s">
        <v>74</v>
      </c>
      <c r="B11" s="44">
        <f>IFERROR(IF(OR(B9="Package Treatment Plant user defined",B9="Septic Tank user defined"),"Enter value in cell C11",IF(AND(B5&lt;DATE(2025,1,1)),VLOOKUP(B9,Value_look_up_tables!$A$5:$J$22,3,FALSE),IF(AND(B5&lt;DATE(2025,1,1)),VLOOKUP(B9,Value_look_up_tables!$A$5:$J$22,3,FALSE),IF(AND(B5&lt;DATE(2030,4,1),B5&gt;=DATE(2025,1,1)),VLOOKUP(B9,Value_look_up_tables!$A$5:$J$22,5,FALSE),IF(AND(B5&lt;DATE(2030,4,1),B5&gt;=DATE(2025,1,1)),IF(AND(B5&lt;DATE(2030,4,1)),VLOOKUP(B9,Value_look_up_tables!$A$5:$J$22,3,FALSE),IF(AND(B5&lt;DATE(2030,4,1)),VLOOKUP(B9,Value_look_up_tables!$A$5:$J$22,5,FALSE),IF(AND(B5&gt;=DATE(2030,4,1)),VLOOKUP(B9,Value_look_up_tables!$A$5:$J$22,7,FALSE),IF(AND(B5&gt;=DATE(2030,4,1)),VLOOKUP(B9,Value_look_up_tables!$A$5:$J$22,7,FALSE),0)))),VLOOKUP(B9,Value_look_up_tables!$A$5:$J$22,7,FALSE)))))),0)</f>
        <v>0</v>
      </c>
      <c r="C11" s="150"/>
    </row>
    <row r="12" spans="1:3" s="20" customFormat="1" ht="20.25" customHeight="1" x14ac:dyDescent="0.35">
      <c r="A12" s="22" t="str">
        <f>IFERROR(IF(AND($B$5&lt;DATE(2025,1,1),(VLOOKUP($B$9,Value_look_up_tables!$A$5:$E$20,2,FALSE))&gt;(VLOOKUP($B$9,Value_look_up_tables!$A$5:$E$20,4,FALSE))), "Post 2025 WwTW P permit (mg TP/litre):","Not applicable"),"Not applicable")</f>
        <v>Not applicable</v>
      </c>
      <c r="B12" s="24" t="str">
        <f>IFERROR(IF(AND($B$5&lt;DATE(2025,1,1),(VLOOKUP($B$9,Value_look_up_tables!$A$5:$E$20,2,FALSE))&gt;(VLOOKUP($B$9,Value_look_up_tables!$A$5:$E$20,4,FALSE))), VLOOKUP($B$9,Value_look_up_tables!A5:E23,4,FALSE),"Not applicable"),"Not applicable")</f>
        <v>Not applicable</v>
      </c>
      <c r="C12" s="23"/>
    </row>
    <row r="13" spans="1:3" s="20" customFormat="1" ht="20.25" customHeight="1" x14ac:dyDescent="0.35">
      <c r="A13" s="22" t="str">
        <f>IFERROR(IF(AND($B$5&lt;DATE(2025,1,1),(VLOOKUP($B$9,Value_look_up_tables!$A$5:$E$20,3,FALSE))&gt;(VLOOKUP($B$9,Value_look_up_tables!$A$5:$E$20,5,FALSE))), "Post 2025 WwTW N permit (mg TN/litre):","Not applicable"),"Not applicable")</f>
        <v>Not applicable</v>
      </c>
      <c r="B13" s="24" t="str">
        <f>IFERROR(IF(AND($B$5&lt;DATE(2025,1,1),(VLOOKUP($B$9,Value_look_up_tables!$A$5:$J$20,3,FALSE))&gt;(VLOOKUP($B$9,Value_look_up_tables!$A$5:$J$20,5,FALSE))), VLOOKUP(B9,Value_look_up_tables!$A$5:$J$23,5,FALSE),"Not applicable"),"Not applicable")</f>
        <v>Not applicable</v>
      </c>
      <c r="C13" s="23"/>
    </row>
    <row r="14" spans="1:3" s="20" customFormat="1" ht="20.25" customHeight="1" x14ac:dyDescent="0.35">
      <c r="A14" s="22" t="str">
        <f>IFERROR(IF(AND($B$5&lt;DATE(2030,4,1),(VLOOKUP($B$9,Value_look_up_tables!$A$5:$J$20,4,FALSE))&gt;(VLOOKUP($B$9,Value_look_up_tables!$A$5:$J$20,6,FALSE))), "Post 2030 WwTW P permit (mg TP/litre):","Not applicable"),"Not applicable")</f>
        <v>Not applicable</v>
      </c>
      <c r="B14" s="24" t="str">
        <f>IFERROR(IF(AND($B$5&lt;DATE(2030,4,1),(VLOOKUP($B$9,Value_look_up_tables!$A$5:$J$20,4,FALSE))&gt;(VLOOKUP($B$9,Value_look_up_tables!$A$5:$J$20,6,FALSE))), VLOOKUP($B$9,Value_look_up_tables!$A$5:$J$23,6,FALSE),"Not applicable"),"Not applicable")</f>
        <v>Not applicable</v>
      </c>
      <c r="C14" s="23"/>
    </row>
    <row r="15" spans="1:3" s="20" customFormat="1" ht="20.25" customHeight="1" x14ac:dyDescent="0.35">
      <c r="A15" s="25" t="str">
        <f>IFERROR(IF(AND($B$5&lt;DATE(2030,4,1),(VLOOKUP($B$9,Value_look_up_tables!$A$5:$J$20,5,FALSE))&gt;(VLOOKUP($B$9,Value_look_up_tables!$A$5:$J$20,7,FALSE))), "Post 2030 WwTW N permit (mg TN/litre):","Not applicable"),"Not applicable")</f>
        <v>Not applicable</v>
      </c>
      <c r="B15" s="26" t="str">
        <f>IFERROR(IF(AND($B$5&lt;DATE(2030,4,1),(VLOOKUP($B$9,Value_look_up_tables!$A$5:$J$20,5,FALSE))&gt;(VLOOKUP($B$9,Value_look_up_tables!$A$5:$J$20,7,FALSE))), VLOOKUP($B$9,Value_look_up_tables!$A$5:$J$23,7,FALSE),"Not applicable"),"Not applicable")</f>
        <v>Not applicable</v>
      </c>
      <c r="C15" s="27"/>
    </row>
    <row r="16" spans="1:3" s="21" customFormat="1" ht="37.5" customHeight="1" x14ac:dyDescent="0.35">
      <c r="A16" s="7" t="s">
        <v>75</v>
      </c>
      <c r="B16" s="5"/>
    </row>
    <row r="17" spans="1:3" s="20" customFormat="1" ht="27" customHeight="1" x14ac:dyDescent="0.35">
      <c r="A17" s="37" t="s">
        <v>76</v>
      </c>
      <c r="B17" s="2" t="s">
        <v>77</v>
      </c>
      <c r="C17" s="28"/>
    </row>
    <row r="18" spans="1:3" s="20" customFormat="1" ht="24" customHeight="1" x14ac:dyDescent="0.35">
      <c r="A18" s="38" t="str">
        <f>IFERROR(IF(AND($B$5&lt;DATE(2025,1,1),OR((VLOOKUP($B$9,Value_look_up_tables!$A$5:$J$20,2,FALSE))&gt;(VLOOKUP($B$9,Value_look_up_tables!$A$5:$J$20,4,FALSE)),(VLOOKUP($B$9,Value_look_up_tables!$A$5:$J$20,3,FALSE))&gt;(VLOOKUP($B$9,Value_look_up_tables!$A$5:$J$20,5,FALSE))),OR((VLOOKUP($B$9,Value_look_up_tables!$A$5:$J$20,6,FALSE))=(VLOOKUP($B$9,Value_look_up_tables!$A$5:$J$20,4,FALSE)),(VLOOKUP($B$9,Value_look_up_tables!$A$5:$J$20,7,FALSE))=(VLOOKUP($B$9,Value_look_up_tables!$A$5:$J$20,5,FALSE)))),"Post-2025 wastewater nutrient loading",IF(AND($B$5&lt;DATE(2030,4,1),OR((VLOOKUP($B$9,Value_look_up_tables!$A$5:$J$20,4,FALSE))&gt;(VLOOKUP($B$9,Value_look_up_tables!$A$5:$J$20,6,FALSE)),(VLOOKUP($B$9,Value_look_up_tables!$A$5:$J$20,5,FALSE))&gt;(VLOOKUP($B$9,Value_look_up_tables!$A$5:$J$20,7,FALSE)))),"Post-2030 wastewater nutrient loading","Wastewater nutrient loading")),"Wastewater nutrient loading")</f>
        <v>Wastewater nutrient loading</v>
      </c>
      <c r="B18" s="39"/>
    </row>
    <row r="19" spans="1:3" s="20" customFormat="1" ht="15.5" x14ac:dyDescent="0.35">
      <c r="A19" s="29" t="s">
        <v>78</v>
      </c>
      <c r="B19" s="42">
        <f>IF(ISBLANK(B8),0,B6*B8)</f>
        <v>0</v>
      </c>
    </row>
    <row r="20" spans="1:3" s="20" customFormat="1" ht="15.5" x14ac:dyDescent="0.35">
      <c r="A20" s="30" t="s">
        <v>79</v>
      </c>
      <c r="B20" s="43">
        <f>IFERROR(B19*B7,0)</f>
        <v>0</v>
      </c>
    </row>
    <row r="21" spans="1:3" s="20" customFormat="1" ht="15.5" x14ac:dyDescent="0.35">
      <c r="A21" s="30" t="s">
        <v>80</v>
      </c>
      <c r="B21" s="43">
        <f>IFERROR(ROUND(IF(ISNUMBER(B14),B14*B20*0.9/1000000*365.25,IF(ISNUMBER(B12),B12*B20*0.9/1000000*365.25,IF(B10="Enter value in cell C10",IF(AND(B10="Enter value in cell C10",ISNUMBER(C10)),B20*C10/1000000*365.25, VLOOKUP((LEFT(B9,(LEN(B9)-13))&amp;" default"),Value_look_up_tables!$A$19:$C$20,2,FALSE)*B20/1000000*365.25),IF(OR(B9="Package Treatment Plant default",B9="Septic Tank default"),B10*B20/1000000*365.25,IF(B10=8,B10*B20/1000000*365.25,B10*B20*0.9/1000000*365.25))))),2),0)</f>
        <v>0</v>
      </c>
    </row>
    <row r="22" spans="1:3" s="20" customFormat="1" ht="15.5" x14ac:dyDescent="0.35">
      <c r="A22" s="30" t="s">
        <v>81</v>
      </c>
      <c r="B22" s="43">
        <f>IFERROR(ROUND(IF(ISNUMBER(B15),B15*B20*0.9/1000000*365.25,IF(ISNUMBER(B13),B13*B20*0.9/1000000*365.25,IF(B11="Enter value in cell C11",IF(AND(B11="Enter value in cell C11",ISNUMBER(C11)),B20*(IF(C11&lt;0,0,C11))/1000000*365.25, VLOOKUP((LEFT(B9,(LEN(B9)-13))&amp;" default"),Value_look_up_tables!$A$19:$C$20,3,FALSE)*B20/1000000*365.25),IF(OR(B9="Package Treatment Plant default",B9="Septic Tank default"),B11*B20/1000000*365.25,IF(B11=27,B11*B20/1000000*365.25,B11*B20*0.9/1000000*365.25))))),2),0)</f>
        <v>0</v>
      </c>
    </row>
    <row r="23" spans="1:3" s="20" customFormat="1" ht="21.75" customHeight="1" x14ac:dyDescent="0.35">
      <c r="A23" s="40" t="str">
        <f>IFERROR(IF(A18="Post-2025 wastewater nutrient loading","Pre-2025 wastewater nutrient loading",IF(A18="Post-2030 wastewater nutrient loading","Pre-2030 wastewater nutrient loading",IF(A18="Wastewater nutrient loading","Not applicable"))),"Not applicable")</f>
        <v>Not applicable</v>
      </c>
      <c r="B23" s="41"/>
    </row>
    <row r="24" spans="1:3" s="20" customFormat="1" ht="15.5" x14ac:dyDescent="0.35">
      <c r="A24" s="29" t="str">
        <f>IF(A23="Not applicable","Not applicable", "Annual wastewater TP load (kg TP/yr)")</f>
        <v>Not applicable</v>
      </c>
      <c r="B24" s="32" t="str">
        <f>IFERROR(IF(LEFT(A$18,9)="Post-2025",IF(B10=8,B$20*365.25*B10/1000000,B$20*365.25*B10*0.9/1000000),IF(AND(LEFT(A$18,9)="Post-2030",ISNUMBER(B12)),IF(B12=8,B$20*365.25*B12/1000000,B$20*365.25*B12*0.9/1000000),IF(AND(LEFT(A$18,9)="Post-2030",ISNUMBER(B10)),IF(B10=8,B$20*365.25*B10/1000000,B$20*365.25*B10*0.9/1000000),"Not applicable"))),"Not applicable")</f>
        <v>Not applicable</v>
      </c>
    </row>
    <row r="25" spans="1:3" s="20" customFormat="1" ht="15.5" x14ac:dyDescent="0.35">
      <c r="A25" s="29" t="str">
        <f>IF(A23="Not applicable","Not applicable", "Annual wastewater TN load (kg TN/yr)")</f>
        <v>Not applicable</v>
      </c>
      <c r="B25" s="32" t="str">
        <f>IFERROR(IF(LEFT(A$18,9)="Post-2025",IF(B11=27,B$20*365.25*B11/1000000,B$20*365.25*B11*0.9/1000000),IF(AND(LEFT(A$18,9)="Post-2030",ISNUMBER(B13)),IF(B13=27,B$20*365.25*B13/1000000,B$20*365.25*B13*0.9/1000000),IF(AND(LEFT(A$18,9)="Post-2030",ISNUMBER(B11)),IF(B11=27,B$20*365.25*B11/1000000,B$20*365.25*B11*0.9/1000000),"Not applicable"))),"Not applicable")</f>
        <v>Not applicable</v>
      </c>
    </row>
    <row r="26" spans="1:3" s="20" customFormat="1" ht="21.75" customHeight="1" x14ac:dyDescent="0.35">
      <c r="A26" s="40" t="str">
        <f>IFERROR(IF(AND($B$5&lt;DATE(2025,1,1),OR(AND(VLOOKUP($B$9,Value_look_up_tables!$A$5:$J$20,2,FALSE)&gt;VLOOKUP($B$9,Value_look_up_tables!$A$5:$J$20,4,FALSE), VLOOKUP($B$9,Value_look_up_tables!$A$5:$J$20,4,FALSE)&gt;VLOOKUP($B$9,Value_look_up_tables!$A$5:$J$20,6,FALSE)),AND(VLOOKUP($B$9,Value_look_up_tables!$A$5:$J$20,3,FALSE)&gt;VLOOKUP($B$9,Value_look_up_tables!$A$5:$J$20,5,FALSE), VLOOKUP($B$9,Value_look_up_tables!$A$5:$J$20,5,FALSE)&gt;VLOOKUP($B$9,Value_look_up_tables!$A$5:$J$20,7,FALSE)))),"Pre-2025 wastewater nutrient loading","Not applicable"),"Not applicable")</f>
        <v>Not applicable</v>
      </c>
      <c r="B26" s="41"/>
    </row>
    <row r="27" spans="1:3" s="20" customFormat="1" ht="15.5" x14ac:dyDescent="0.35">
      <c r="A27" s="29" t="str">
        <f>IF(A26="Not applicable","Not applicable", "Annual wastewater TP load (kg TP/yr)")</f>
        <v>Not applicable</v>
      </c>
      <c r="B27" s="31" t="str">
        <f>IFERROR(IF(A26="Not applicable","Not applicable", IF(ISNUMBER(B10),IF(B10=8,B10*B$20/1000000*365.25,B10*B$20*0.9/1000000*365.25),"Not applicable")),"Not applicable")</f>
        <v>Not applicable</v>
      </c>
    </row>
    <row r="28" spans="1:3" s="20" customFormat="1" ht="15.5" x14ac:dyDescent="0.35">
      <c r="A28" s="29" t="str">
        <f>IF(A26="Not applicable","Not applicable", "Annual wastewater TN load (kg TN/yr)")</f>
        <v>Not applicable</v>
      </c>
      <c r="B28" s="31" t="str">
        <f>IFERROR(IF(A26="Not applicable","Not applicable", IF(ISNUMBER(B11),IF(B11=27,B11*B$20/1000000*365.25,B11*B$20*0.9/1000000*365.25),"Not applicable")),"Not applicable")</f>
        <v>Not applicable</v>
      </c>
    </row>
  </sheetData>
  <sheetProtection algorithmName="SHA-512" hashValue="RrS0rOjSXNOs7qe9GcEI6yvHPzd7NNuFeiB+jLgEqE+Q3M3P1AwISnA/0eZupa7RSUHYyH06bRTNY6VK82jb0w==" saltValue="6Rw7e0L0K3cS4Xrrt85oq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796875" defaultRowHeight="14" x14ac:dyDescent="0.35"/>
  <cols>
    <col min="1" max="1" width="97.54296875" style="21" customWidth="1"/>
    <col min="2" max="2" width="27.81640625" style="21" customWidth="1"/>
    <col min="3" max="3" width="21.453125" style="21" customWidth="1"/>
    <col min="4" max="4" width="20.453125" style="21" customWidth="1"/>
    <col min="5" max="5" width="122.26953125" style="21" customWidth="1"/>
    <col min="6" max="387" width="8.54296875" style="21" customWidth="1"/>
    <col min="388" max="16384" width="9.1796875" style="21"/>
  </cols>
  <sheetData>
    <row r="1" spans="1:7" ht="49.5" customHeight="1" x14ac:dyDescent="0.35">
      <c r="A1" s="36" t="s">
        <v>14</v>
      </c>
      <c r="B1" s="45"/>
      <c r="C1" s="45"/>
      <c r="D1" s="45"/>
      <c r="E1" s="45"/>
    </row>
    <row r="2" spans="1:7" s="5" customFormat="1" ht="409.6" customHeight="1" x14ac:dyDescent="0.35">
      <c r="A2" s="93" t="s">
        <v>82</v>
      </c>
      <c r="B2" s="18"/>
      <c r="C2" s="18"/>
      <c r="D2" s="18"/>
      <c r="E2" s="18"/>
      <c r="F2" s="18"/>
    </row>
    <row r="3" spans="1:7" ht="50.25" customHeight="1" x14ac:dyDescent="0.35">
      <c r="A3" s="7" t="s">
        <v>83</v>
      </c>
      <c r="B3" s="46"/>
      <c r="C3" s="46"/>
      <c r="D3" s="46"/>
      <c r="F3" s="5"/>
      <c r="G3" s="5"/>
    </row>
    <row r="4" spans="1:7" s="5" customFormat="1" ht="37.5" customHeight="1" x14ac:dyDescent="0.35">
      <c r="A4" s="4" t="s">
        <v>65</v>
      </c>
      <c r="B4" s="89" t="s">
        <v>66</v>
      </c>
      <c r="C4" s="18"/>
      <c r="D4" s="18"/>
    </row>
    <row r="5" spans="1:7" s="5" customFormat="1" ht="23.25" customHeight="1" x14ac:dyDescent="0.35">
      <c r="A5" s="22" t="s">
        <v>84</v>
      </c>
      <c r="B5" s="52"/>
      <c r="C5" s="47"/>
      <c r="G5" s="48"/>
    </row>
    <row r="6" spans="1:7" s="5" customFormat="1" ht="23.25" customHeight="1" x14ac:dyDescent="0.35">
      <c r="A6" s="22" t="s">
        <v>85</v>
      </c>
      <c r="B6" s="53"/>
      <c r="C6" s="47"/>
    </row>
    <row r="7" spans="1:7" s="5" customFormat="1" ht="23.25" customHeight="1" x14ac:dyDescent="0.35">
      <c r="A7" s="22" t="s">
        <v>86</v>
      </c>
      <c r="B7" s="54"/>
      <c r="C7" s="47"/>
    </row>
    <row r="8" spans="1:7" s="5" customFormat="1" ht="23.25" customHeight="1" x14ac:dyDescent="0.35">
      <c r="A8" s="25" t="s">
        <v>87</v>
      </c>
      <c r="B8" s="55"/>
      <c r="C8" s="47"/>
    </row>
    <row r="9" spans="1:7" ht="38.25" customHeight="1" x14ac:dyDescent="0.35">
      <c r="A9" s="7" t="s">
        <v>88</v>
      </c>
      <c r="B9" s="49"/>
      <c r="C9" s="47"/>
      <c r="D9" s="5"/>
      <c r="E9" s="5"/>
      <c r="F9" s="5"/>
      <c r="G9" s="5"/>
    </row>
    <row r="10" spans="1:7" s="5" customFormat="1" ht="78.400000000000006" customHeight="1" x14ac:dyDescent="0.35">
      <c r="A10" s="1" t="s">
        <v>89</v>
      </c>
      <c r="B10" s="2" t="s">
        <v>90</v>
      </c>
      <c r="C10" s="2" t="s">
        <v>91</v>
      </c>
      <c r="D10" s="2" t="s">
        <v>92</v>
      </c>
      <c r="E10" s="2" t="s">
        <v>93</v>
      </c>
      <c r="G10" s="48"/>
    </row>
    <row r="11" spans="1:7" s="5" customFormat="1" ht="39.65" customHeight="1" x14ac:dyDescent="0.35">
      <c r="A11" s="56"/>
      <c r="B11" s="34"/>
      <c r="C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$268:$B$271,2,FALSE)&amp;"|"&amp;$A11&amp;"|"&amp;VLOOKUP(Nutrients_from_current_land_use!$B$8,Value_look_up_tables!$A$284:$B$285,2,FALSE)&amp;"|"&amp;VLOOKUP(Nutrients_from_current_land_use!$B$7,Value_look_up_tables!$A$242:$C$264,3,FALSE)&amp;"|"&amp;VLOOKUP($B$6,Value_look_up_tables!$A$275:$B$280,2,FALSE)))),Value_look_up_tables!$F$26:$H$238,2,FALSE),
IFERROR(IFERROR($B11*VLOOKUP($A11&amp;"|"&amp;VLOOKUP(Nutrients_from_current_land_use!$B$8,Value_look_up_tables!$A$284:$B$285,2,FALSE)&amp;"|"&amp;VLOOKUP(Nutrients_from_current_land_use!$B$7,Value_look_up_tables!$A$242:$C$264,3,FALSE)&amp;"|"&amp;VLOOKUP($B$6,Value_look_up_tables!$A$275:$B$280,2,FALSE),Value_look_up_tables!$F$26:$H$238,2,FALSE),IFERROR($B11*VLOOKUP($A11&amp;"|"&amp;"TRUE"&amp;"|"&amp;VLOOKUP(Nutrients_from_current_land_use!$B$7,Value_look_up_tables!$A$242:$C$264,3,FALSE)&amp;"|"&amp;VLOOKUP($B$6,Value_look_up_tables!$A$275:$B$280,2,FALSE),Value_look_up_tables!$F$26:$H$238,2,FALSE),$B11*VLOOKUP($A11&amp;"|"&amp;VLOOKUP(Nutrients_from_current_land_use!$B$8,Value_look_up_tables!$A$284:$B$285,2,FALSE)&amp;"|"&amp;VLOOKUP(Nutrients_from_current_land_use!$B$7,Value_look_up_tables!$A$242:$C$264,3,FALSE)&amp;"|"&amp;"DrainedArGr",Value_look_up_tables!$F$26:$H$238,2,FALSE))),IFERROR($B11*VLOOKUP($A11&amp;"|"&amp;VLOOKUP(Nutrients_from_current_land_use!$B$7,Value_look_up_tables!$A$242:$C$264,3,FALSE),Value_look_up_tables!$I$26:$K$230,2,FALSE),$B11*VLOOKUP($A11,Value_look_up_tables!$B$26:$M$230,11,FALSE)))))</f>
        <v>0</v>
      </c>
      <c r="D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$268:$B$271,2,FALSE)&amp;"|"&amp;$A11&amp;"|"&amp;VLOOKUP(Nutrients_from_current_land_use!$B$8,Value_look_up_tables!$A$284:$B$285,2,FALSE)&amp;"|"&amp;VLOOKUP(Nutrients_from_current_land_use!$B$7,Value_look_up_tables!$A$242:$C$264,3,FALSE)&amp;"|"&amp;VLOOKUP($B$6,Value_look_up_tables!$A$275:$B$280,2,FALSE)))),Value_look_up_tables!$F$26:$H$238,3,FALSE),
IFERROR(IFERROR($B11*VLOOKUP($A11&amp;"|"&amp;VLOOKUP(Nutrients_from_current_land_use!$B$8,Value_look_up_tables!$A$284:$B$285,2,FALSE)&amp;"|"&amp;VLOOKUP(Nutrients_from_current_land_use!$B$7,Value_look_up_tables!$A$242:$C$264,3,FALSE)&amp;"|"&amp;VLOOKUP($B$6,Value_look_up_tables!$A$275:$B$280,2,FALSE),Value_look_up_tables!$F$26:$H$238,3,FALSE),IFERROR($B11*VLOOKUP($A11&amp;"|"&amp;"TRUE"&amp;"|"&amp;VLOOKUP(Nutrients_from_current_land_use!$B$7,Value_look_up_tables!$A$242:$C$264,3,FALSE)&amp;"|"&amp;VLOOKUP($B$6,Value_look_up_tables!$A$275:$B$280,2,FALSE),Value_look_up_tables!$F$26:$H$238,3,FALSE),$B11*VLOOKUP($A11&amp;"|"&amp;VLOOKUP(Nutrients_from_current_land_use!$B$8,Value_look_up_tables!$A$284:$B$285,2,FALSE)&amp;"|"&amp;VLOOKUP(Nutrients_from_current_land_use!$B$7,Value_look_up_tables!$A$242:$C$264,3,FALSE)&amp;"|"&amp;"DrainedArGr",Value_look_up_tables!$F$26:$H$238,3,FALSE))),IFERROR($B11*VLOOKUP($A11&amp;"|"&amp;VLOOKUP(Nutrients_from_current_land_use!$B$7,Value_look_up_tables!$A$242:$C$264,3,FALSE),Value_look_up_tables!$I$26:$K$230,3,FALSE),$B11*VLOOKUP($A11,Value_look_up_tables!$B$26:$M$230,12,FALSE)))))</f>
        <v>0</v>
      </c>
      <c r="E11" s="50"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$268:$B$271,2,FALSE)&amp;"|"&amp;$A11&amp;"|"&amp;VLOOKUP(Nutrients_from_current_land_use!$B$8,Value_look_up_tables!$A$284:$B$285,2,FALSE)&amp;"|"&amp;VLOOKUP(Nutrients_from_current_land_use!$B$7, Value_look_up_tables!$A$242:$C$264,3,FALSE)&amp;"|"&amp;VLOOKUP($B$6,Value_look_up_tables!$A$275:$B$280,2,FALSE)))), Value_look_up_tables!$F$26:$H$238,3,FALSE),IFERROR($B11*VLOOKUP($A11&amp;"|"&amp;VLOOKUP(Nutrients_from_current_land_use!$B$8,Value_look_up_tables!$A$162:$B$163,2,FALSE)&amp;"|"&amp;VLOOKUP(Nutrients_from_current_land_use!$B$7,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5" customHeight="1" x14ac:dyDescent="0.35">
      <c r="A12" s="56"/>
      <c r="B12" s="34"/>
      <c r="C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$268:$B$271,2,FALSE)&amp;"|"&amp;$A12&amp;"|"&amp;VLOOKUP(Nutrients_from_current_land_use!$B$8,Value_look_up_tables!$A$284:$B$285,2,FALSE)&amp;"|"&amp;VLOOKUP(Nutrients_from_current_land_use!$B$7,Value_look_up_tables!$A$242:$C$264,3,FALSE)&amp;"|"&amp;VLOOKUP($B$6,Value_look_up_tables!$A$275:$B$280,2,FALSE)))),Value_look_up_tables!$F$26:$H$238,2,FALSE),
IFERROR(IFERROR($B12*VLOOKUP($A12&amp;"|"&amp;VLOOKUP(Nutrients_from_current_land_use!$B$8,Value_look_up_tables!$A$284:$B$285,2,FALSE)&amp;"|"&amp;VLOOKUP(Nutrients_from_current_land_use!$B$7,Value_look_up_tables!$A$242:$C$264,3,FALSE)&amp;"|"&amp;VLOOKUP($B$6,Value_look_up_tables!$A$275:$B$280,2,FALSE),Value_look_up_tables!$F$26:$H$238,2,FALSE),IFERROR($B12*VLOOKUP($A12&amp;"|"&amp;"TRUE"&amp;"|"&amp;VLOOKUP(Nutrients_from_current_land_use!$B$7,Value_look_up_tables!$A$242:$C$264,3,FALSE)&amp;"|"&amp;VLOOKUP($B$6,Value_look_up_tables!$A$275:$B$280,2,FALSE),Value_look_up_tables!$F$26:$H$238,2,FALSE),$B12*VLOOKUP($A12&amp;"|"&amp;VLOOKUP(Nutrients_from_current_land_use!$B$8,Value_look_up_tables!$A$284:$B$285,2,FALSE)&amp;"|"&amp;VLOOKUP(Nutrients_from_current_land_use!$B$7,Value_look_up_tables!$A$242:$C$264,3,FALSE)&amp;"|"&amp;"DrainedArGr",Value_look_up_tables!$F$26:$H$238,2,FALSE))),IFERROR($B12*VLOOKUP($A12&amp;"|"&amp;VLOOKUP(Nutrients_from_current_land_use!$B$7,Value_look_up_tables!$A$242:$C$264,3,FALSE),Value_look_up_tables!$I$26:$K$230,2,FALSE),$B12*VLOOKUP($A12,Value_look_up_tables!$B$26:$M$230,11,FALSE)))))</f>
        <v>0</v>
      </c>
      <c r="D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$268:$B$271,2,FALSE)&amp;"|"&amp;$A12&amp;"|"&amp;VLOOKUP(Nutrients_from_current_land_use!$B$8,Value_look_up_tables!$A$284:$B$285,2,FALSE)&amp;"|"&amp;VLOOKUP(Nutrients_from_current_land_use!$B$7,Value_look_up_tables!$A$242:$C$264,3,FALSE)&amp;"|"&amp;VLOOKUP($B$6,Value_look_up_tables!$A$275:$B$280,2,FALSE)))),Value_look_up_tables!$F$26:$H$238,3,FALSE),
IFERROR(IFERROR($B12*VLOOKUP($A12&amp;"|"&amp;VLOOKUP(Nutrients_from_current_land_use!$B$8,Value_look_up_tables!$A$284:$B$285,2,FALSE)&amp;"|"&amp;VLOOKUP(Nutrients_from_current_land_use!$B$7,Value_look_up_tables!$A$242:$C$264,3,FALSE)&amp;"|"&amp;VLOOKUP($B$6,Value_look_up_tables!$A$275:$B$280,2,FALSE),Value_look_up_tables!$F$26:$H$238,3,FALSE),IFERROR($B12*VLOOKUP($A12&amp;"|"&amp;"TRUE"&amp;"|"&amp;VLOOKUP(Nutrients_from_current_land_use!$B$7,Value_look_up_tables!$A$242:$C$264,3,FALSE)&amp;"|"&amp;VLOOKUP($B$6,Value_look_up_tables!$A$275:$B$280,2,FALSE),Value_look_up_tables!$F$26:$H$238,3,FALSE),$B12*VLOOKUP($A12&amp;"|"&amp;VLOOKUP(Nutrients_from_current_land_use!$B$8,Value_look_up_tables!$A$284:$B$285,2,FALSE)&amp;"|"&amp;VLOOKUP(Nutrients_from_current_land_use!$B$7,Value_look_up_tables!$A$242:$C$264,3,FALSE)&amp;"|"&amp;"DrainedArGr",Value_look_up_tables!$F$26:$H$238,3,FALSE))),IFERROR($B12*VLOOKUP($A12&amp;"|"&amp;VLOOKUP(Nutrients_from_current_land_use!$B$7,Value_look_up_tables!$A$242:$C$264,3,FALSE),Value_look_up_tables!$I$26:$K$230,3,FALSE),$B12*VLOOKUP($A12,Value_look_up_tables!$B$26:$M$230,12,FALSE)))))</f>
        <v>0</v>
      </c>
      <c r="E12" s="50"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$268:$B$271,2,FALSE)&amp;"|"&amp;$A12&amp;"|"&amp;VLOOKUP(Nutrients_from_current_land_use!$B$8,Value_look_up_tables!$A$284:$B$285,2,FALSE)&amp;"|"&amp;VLOOKUP(Nutrients_from_current_land_use!$B$7, Value_look_up_tables!$A$242:$C$264,3,FALSE)&amp;"|"&amp;VLOOKUP($B$6,Value_look_up_tables!$A$275:$B$280,2,FALSE)))), Value_look_up_tables!$F$26:$H$238,3,FALSE),IFERROR($B12*VLOOKUP($A12&amp;"|"&amp;VLOOKUP(Nutrients_from_current_land_use!$B$8,Value_look_up_tables!$A$162:$B$163,2,FALSE)&amp;"|"&amp;VLOOKUP(Nutrients_from_current_land_use!$B$7,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5" customHeight="1" x14ac:dyDescent="0.35">
      <c r="A13" s="56"/>
      <c r="B13" s="34"/>
      <c r="C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$268:$B$271,2,FALSE)&amp;"|"&amp;$A13&amp;"|"&amp;VLOOKUP(Nutrients_from_current_land_use!$B$8,Value_look_up_tables!$A$284:$B$285,2,FALSE)&amp;"|"&amp;VLOOKUP(Nutrients_from_current_land_use!$B$7,Value_look_up_tables!$A$242:$C$264,3,FALSE)&amp;"|"&amp;VLOOKUP($B$6,Value_look_up_tables!$A$275:$B$280,2,FALSE)))),Value_look_up_tables!$F$26:$H$238,2,FALSE),
IFERROR(IFERROR($B13*VLOOKUP($A13&amp;"|"&amp;VLOOKUP(Nutrients_from_current_land_use!$B$8,Value_look_up_tables!$A$284:$B$285,2,FALSE)&amp;"|"&amp;VLOOKUP(Nutrients_from_current_land_use!$B$7,Value_look_up_tables!$A$242:$C$264,3,FALSE)&amp;"|"&amp;VLOOKUP($B$6,Value_look_up_tables!$A$275:$B$280,2,FALSE),Value_look_up_tables!$F$26:$H$238,2,FALSE),IFERROR($B13*VLOOKUP($A13&amp;"|"&amp;"TRUE"&amp;"|"&amp;VLOOKUP(Nutrients_from_current_land_use!$B$7,Value_look_up_tables!$A$242:$C$264,3,FALSE)&amp;"|"&amp;VLOOKUP($B$6,Value_look_up_tables!$A$275:$B$280,2,FALSE),Value_look_up_tables!$F$26:$H$238,2,FALSE),$B13*VLOOKUP($A13&amp;"|"&amp;VLOOKUP(Nutrients_from_current_land_use!$B$8,Value_look_up_tables!$A$284:$B$285,2,FALSE)&amp;"|"&amp;VLOOKUP(Nutrients_from_current_land_use!$B$7,Value_look_up_tables!$A$242:$C$264,3,FALSE)&amp;"|"&amp;"DrainedArGr",Value_look_up_tables!$F$26:$H$238,2,FALSE))),IFERROR($B13*VLOOKUP($A13&amp;"|"&amp;VLOOKUP(Nutrients_from_current_land_use!$B$7,Value_look_up_tables!$A$242:$C$264,3,FALSE),Value_look_up_tables!$I$26:$K$230,2,FALSE),$B13*VLOOKUP($A13,Value_look_up_tables!$B$26:$M$230,11,FALSE)))))</f>
        <v>0</v>
      </c>
      <c r="D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$268:$B$271,2,FALSE)&amp;"|"&amp;$A13&amp;"|"&amp;VLOOKUP(Nutrients_from_current_land_use!$B$8,Value_look_up_tables!$A$284:$B$285,2,FALSE)&amp;"|"&amp;VLOOKUP(Nutrients_from_current_land_use!$B$7,Value_look_up_tables!$A$242:$C$264,3,FALSE)&amp;"|"&amp;VLOOKUP($B$6,Value_look_up_tables!$A$275:$B$280,2,FALSE)))),Value_look_up_tables!$F$26:$H$238,3,FALSE),
IFERROR(IFERROR($B13*VLOOKUP($A13&amp;"|"&amp;VLOOKUP(Nutrients_from_current_land_use!$B$8,Value_look_up_tables!$A$284:$B$285,2,FALSE)&amp;"|"&amp;VLOOKUP(Nutrients_from_current_land_use!$B$7,Value_look_up_tables!$A$242:$C$264,3,FALSE)&amp;"|"&amp;VLOOKUP($B$6,Value_look_up_tables!$A$275:$B$280,2,FALSE),Value_look_up_tables!$F$26:$H$238,3,FALSE),IFERROR($B13*VLOOKUP($A13&amp;"|"&amp;"TRUE"&amp;"|"&amp;VLOOKUP(Nutrients_from_current_land_use!$B$7,Value_look_up_tables!$A$242:$C$264,3,FALSE)&amp;"|"&amp;VLOOKUP($B$6,Value_look_up_tables!$A$275:$B$280,2,FALSE),Value_look_up_tables!$F$26:$H$238,3,FALSE),$B13*VLOOKUP($A13&amp;"|"&amp;VLOOKUP(Nutrients_from_current_land_use!$B$8,Value_look_up_tables!$A$284:$B$285,2,FALSE)&amp;"|"&amp;VLOOKUP(Nutrients_from_current_land_use!$B$7,Value_look_up_tables!$A$242:$C$264,3,FALSE)&amp;"|"&amp;"DrainedArGr",Value_look_up_tables!$F$26:$H$238,3,FALSE))),IFERROR($B13*VLOOKUP($A13&amp;"|"&amp;VLOOKUP(Nutrients_from_current_land_use!$B$7,Value_look_up_tables!$A$242:$C$264,3,FALSE),Value_look_up_tables!$I$26:$K$230,3,FALSE),$B13*VLOOKUP($A13,Value_look_up_tables!$B$26:$M$230,12,FALSE)))))</f>
        <v>0</v>
      </c>
      <c r="E13" s="50"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$268:$B$271,2,FALSE)&amp;"|"&amp;$A13&amp;"|"&amp;VLOOKUP(Nutrients_from_current_land_use!$B$8,Value_look_up_tables!$A$284:$B$285,2,FALSE)&amp;"|"&amp;VLOOKUP(Nutrients_from_current_land_use!$B$7, Value_look_up_tables!$A$242:$C$264,3,FALSE)&amp;"|"&amp;VLOOKUP($B$6,Value_look_up_tables!$A$275:$B$280,2,FALSE)))), Value_look_up_tables!$F$26:$H$238,3,FALSE),IFERROR($B13*VLOOKUP($A13&amp;"|"&amp;VLOOKUP(Nutrients_from_current_land_use!$B$8,Value_look_up_tables!$A$162:$B$163,2,FALSE)&amp;"|"&amp;VLOOKUP(Nutrients_from_current_land_use!$B$7,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5" customHeight="1" x14ac:dyDescent="0.35">
      <c r="A14" s="56"/>
      <c r="B14" s="34"/>
      <c r="C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$268:$B$271,2,FALSE)&amp;"|"&amp;$A14&amp;"|"&amp;VLOOKUP(Nutrients_from_current_land_use!$B$8,Value_look_up_tables!$A$284:$B$285,2,FALSE)&amp;"|"&amp;VLOOKUP(Nutrients_from_current_land_use!$B$7,Value_look_up_tables!$A$242:$C$264,3,FALSE)&amp;"|"&amp;VLOOKUP($B$6,Value_look_up_tables!$A$275:$B$280,2,FALSE)))),Value_look_up_tables!$F$26:$H$238,2,FALSE),
IFERROR(IFERROR($B14*VLOOKUP($A14&amp;"|"&amp;VLOOKUP(Nutrients_from_current_land_use!$B$8,Value_look_up_tables!$A$284:$B$285,2,FALSE)&amp;"|"&amp;VLOOKUP(Nutrients_from_current_land_use!$B$7,Value_look_up_tables!$A$242:$C$264,3,FALSE)&amp;"|"&amp;VLOOKUP($B$6,Value_look_up_tables!$A$275:$B$280,2,FALSE),Value_look_up_tables!$F$26:$H$238,2,FALSE),IFERROR($B14*VLOOKUP($A14&amp;"|"&amp;"TRUE"&amp;"|"&amp;VLOOKUP(Nutrients_from_current_land_use!$B$7,Value_look_up_tables!$A$242:$C$264,3,FALSE)&amp;"|"&amp;VLOOKUP($B$6,Value_look_up_tables!$A$275:$B$280,2,FALSE),Value_look_up_tables!$F$26:$H$238,2,FALSE),$B14*VLOOKUP($A14&amp;"|"&amp;VLOOKUP(Nutrients_from_current_land_use!$B$8,Value_look_up_tables!$A$284:$B$285,2,FALSE)&amp;"|"&amp;VLOOKUP(Nutrients_from_current_land_use!$B$7,Value_look_up_tables!$A$242:$C$264,3,FALSE)&amp;"|"&amp;"DrainedArGr",Value_look_up_tables!$F$26:$H$238,2,FALSE))),IFERROR($B14*VLOOKUP($A14&amp;"|"&amp;VLOOKUP(Nutrients_from_current_land_use!$B$7,Value_look_up_tables!$A$242:$C$264,3,FALSE),Value_look_up_tables!$I$26:$K$230,2,FALSE),$B14*VLOOKUP($A14,Value_look_up_tables!$B$26:$M$230,11,FALSE)))))</f>
        <v>0</v>
      </c>
      <c r="D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$268:$B$271,2,FALSE)&amp;"|"&amp;$A14&amp;"|"&amp;VLOOKUP(Nutrients_from_current_land_use!$B$8,Value_look_up_tables!$A$284:$B$285,2,FALSE)&amp;"|"&amp;VLOOKUP(Nutrients_from_current_land_use!$B$7,Value_look_up_tables!$A$242:$C$264,3,FALSE)&amp;"|"&amp;VLOOKUP($B$6,Value_look_up_tables!$A$275:$B$280,2,FALSE)))),Value_look_up_tables!$F$26:$H$238,3,FALSE),
IFERROR(IFERROR($B14*VLOOKUP($A14&amp;"|"&amp;VLOOKUP(Nutrients_from_current_land_use!$B$8,Value_look_up_tables!$A$284:$B$285,2,FALSE)&amp;"|"&amp;VLOOKUP(Nutrients_from_current_land_use!$B$7,Value_look_up_tables!$A$242:$C$264,3,FALSE)&amp;"|"&amp;VLOOKUP($B$6,Value_look_up_tables!$A$275:$B$280,2,FALSE),Value_look_up_tables!$F$26:$H$238,3,FALSE),IFERROR($B14*VLOOKUP($A14&amp;"|"&amp;"TRUE"&amp;"|"&amp;VLOOKUP(Nutrients_from_current_land_use!$B$7,Value_look_up_tables!$A$242:$C$264,3,FALSE)&amp;"|"&amp;VLOOKUP($B$6,Value_look_up_tables!$A$275:$B$280,2,FALSE),Value_look_up_tables!$F$26:$H$238,3,FALSE),$B14*VLOOKUP($A14&amp;"|"&amp;VLOOKUP(Nutrients_from_current_land_use!$B$8,Value_look_up_tables!$A$284:$B$285,2,FALSE)&amp;"|"&amp;VLOOKUP(Nutrients_from_current_land_use!$B$7,Value_look_up_tables!$A$242:$C$264,3,FALSE)&amp;"|"&amp;"DrainedArGr",Value_look_up_tables!$F$26:$H$238,3,FALSE))),IFERROR($B14*VLOOKUP($A14&amp;"|"&amp;VLOOKUP(Nutrients_from_current_land_use!$B$7,Value_look_up_tables!$A$242:$C$264,3,FALSE),Value_look_up_tables!$I$26:$K$230,3,FALSE),$B14*VLOOKUP($A14,Value_look_up_tables!$B$26:$M$230,12,FALSE)))))</f>
        <v>0</v>
      </c>
      <c r="E14" s="50"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$268:$B$271,2,FALSE)&amp;"|"&amp;$A14&amp;"|"&amp;VLOOKUP(Nutrients_from_current_land_use!$B$8,Value_look_up_tables!$A$284:$B$285,2,FALSE)&amp;"|"&amp;VLOOKUP(Nutrients_from_current_land_use!$B$7, Value_look_up_tables!$A$242:$C$264,3,FALSE)&amp;"|"&amp;VLOOKUP($B$6,Value_look_up_tables!$A$275:$B$280,2,FALSE)))), Value_look_up_tables!$F$26:$H$238,3,FALSE),IFERROR($B14*VLOOKUP($A14&amp;"|"&amp;VLOOKUP(Nutrients_from_current_land_use!$B$8,Value_look_up_tables!$A$162:$B$163,2,FALSE)&amp;"|"&amp;VLOOKUP(Nutrients_from_current_land_use!$B$7,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5" customHeight="1" x14ac:dyDescent="0.35">
      <c r="A15" s="56"/>
      <c r="B15" s="34"/>
      <c r="C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$268:$B$271,2,FALSE)&amp;"|"&amp;$A15&amp;"|"&amp;VLOOKUP(Nutrients_from_current_land_use!$B$8,Value_look_up_tables!$A$284:$B$285,2,FALSE)&amp;"|"&amp;VLOOKUP(Nutrients_from_current_land_use!$B$7,Value_look_up_tables!$A$242:$C$264,3,FALSE)&amp;"|"&amp;VLOOKUP($B$6,Value_look_up_tables!$A$275:$B$280,2,FALSE)))),Value_look_up_tables!$F$26:$H$238,2,FALSE),
IFERROR(IFERROR($B15*VLOOKUP($A15&amp;"|"&amp;VLOOKUP(Nutrients_from_current_land_use!$B$8,Value_look_up_tables!$A$284:$B$285,2,FALSE)&amp;"|"&amp;VLOOKUP(Nutrients_from_current_land_use!$B$7,Value_look_up_tables!$A$242:$C$264,3,FALSE)&amp;"|"&amp;VLOOKUP($B$6,Value_look_up_tables!$A$275:$B$280,2,FALSE),Value_look_up_tables!$F$26:$H$238,2,FALSE),IFERROR($B15*VLOOKUP($A15&amp;"|"&amp;"TRUE"&amp;"|"&amp;VLOOKUP(Nutrients_from_current_land_use!$B$7,Value_look_up_tables!$A$242:$C$264,3,FALSE)&amp;"|"&amp;VLOOKUP($B$6,Value_look_up_tables!$A$275:$B$280,2,FALSE),Value_look_up_tables!$F$26:$H$238,2,FALSE),$B15*VLOOKUP($A15&amp;"|"&amp;VLOOKUP(Nutrients_from_current_land_use!$B$8,Value_look_up_tables!$A$284:$B$285,2,FALSE)&amp;"|"&amp;VLOOKUP(Nutrients_from_current_land_use!$B$7,Value_look_up_tables!$A$242:$C$264,3,FALSE)&amp;"|"&amp;"DrainedArGr",Value_look_up_tables!$F$26:$H$238,2,FALSE))),IFERROR($B15*VLOOKUP($A15&amp;"|"&amp;VLOOKUP(Nutrients_from_current_land_use!$B$7,Value_look_up_tables!$A$242:$C$264,3,FALSE),Value_look_up_tables!$I$26:$K$230,2,FALSE),$B15*VLOOKUP($A15,Value_look_up_tables!$B$26:$M$230,11,FALSE)))))</f>
        <v>0</v>
      </c>
      <c r="D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$268:$B$271,2,FALSE)&amp;"|"&amp;$A15&amp;"|"&amp;VLOOKUP(Nutrients_from_current_land_use!$B$8,Value_look_up_tables!$A$284:$B$285,2,FALSE)&amp;"|"&amp;VLOOKUP(Nutrients_from_current_land_use!$B$7,Value_look_up_tables!$A$242:$C$264,3,FALSE)&amp;"|"&amp;VLOOKUP($B$6,Value_look_up_tables!$A$275:$B$280,2,FALSE)))),Value_look_up_tables!$F$26:$H$238,3,FALSE),
IFERROR(IFERROR($B15*VLOOKUP($A15&amp;"|"&amp;VLOOKUP(Nutrients_from_current_land_use!$B$8,Value_look_up_tables!$A$284:$B$285,2,FALSE)&amp;"|"&amp;VLOOKUP(Nutrients_from_current_land_use!$B$7,Value_look_up_tables!$A$242:$C$264,3,FALSE)&amp;"|"&amp;VLOOKUP($B$6,Value_look_up_tables!$A$275:$B$280,2,FALSE),Value_look_up_tables!$F$26:$H$238,3,FALSE),IFERROR($B15*VLOOKUP($A15&amp;"|"&amp;"TRUE"&amp;"|"&amp;VLOOKUP(Nutrients_from_current_land_use!$B$7,Value_look_up_tables!$A$242:$C$264,3,FALSE)&amp;"|"&amp;VLOOKUP($B$6,Value_look_up_tables!$A$275:$B$280,2,FALSE),Value_look_up_tables!$F$26:$H$238,3,FALSE),$B15*VLOOKUP($A15&amp;"|"&amp;VLOOKUP(Nutrients_from_current_land_use!$B$8,Value_look_up_tables!$A$284:$B$285,2,FALSE)&amp;"|"&amp;VLOOKUP(Nutrients_from_current_land_use!$B$7,Value_look_up_tables!$A$242:$C$264,3,FALSE)&amp;"|"&amp;"DrainedArGr",Value_look_up_tables!$F$26:$H$238,3,FALSE))),IFERROR($B15*VLOOKUP($A15&amp;"|"&amp;VLOOKUP(Nutrients_from_current_land_use!$B$7,Value_look_up_tables!$A$242:$C$264,3,FALSE),Value_look_up_tables!$I$26:$K$230,3,FALSE),$B15*VLOOKUP($A15,Value_look_up_tables!$B$26:$M$230,12,FALSE)))))</f>
        <v>0</v>
      </c>
      <c r="E15" s="50"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$268:$B$271,2,FALSE)&amp;"|"&amp;$A15&amp;"|"&amp;VLOOKUP(Nutrients_from_current_land_use!$B$8,Value_look_up_tables!$A$284:$B$285,2,FALSE)&amp;"|"&amp;VLOOKUP(Nutrients_from_current_land_use!$B$7, Value_look_up_tables!$A$242:$C$264,3,FALSE)&amp;"|"&amp;VLOOKUP($B$6,Value_look_up_tables!$A$275:$B$280,2,FALSE)))), Value_look_up_tables!$F$26:$H$238,3,FALSE),IFERROR($B15*VLOOKUP($A15&amp;"|"&amp;VLOOKUP(Nutrients_from_current_land_use!$B$8,Value_look_up_tables!$A$162:$B$163,2,FALSE)&amp;"|"&amp;VLOOKUP(Nutrients_from_current_land_use!$B$7,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5" customHeight="1" x14ac:dyDescent="0.35">
      <c r="A16" s="56"/>
      <c r="B16" s="34"/>
      <c r="C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$268:$B$271,2,FALSE)&amp;"|"&amp;$A16&amp;"|"&amp;VLOOKUP(Nutrients_from_current_land_use!$B$8,Value_look_up_tables!$A$284:$B$285,2,FALSE)&amp;"|"&amp;VLOOKUP(Nutrients_from_current_land_use!$B$7,Value_look_up_tables!$A$242:$C$264,3,FALSE)&amp;"|"&amp;VLOOKUP($B$6,Value_look_up_tables!$A$275:$B$280,2,FALSE)))),Value_look_up_tables!$F$26:$H$238,2,FALSE),
IFERROR(IFERROR($B16*VLOOKUP($A16&amp;"|"&amp;VLOOKUP(Nutrients_from_current_land_use!$B$8,Value_look_up_tables!$A$284:$B$285,2,FALSE)&amp;"|"&amp;VLOOKUP(Nutrients_from_current_land_use!$B$7,Value_look_up_tables!$A$242:$C$264,3,FALSE)&amp;"|"&amp;VLOOKUP($B$6,Value_look_up_tables!$A$275:$B$280,2,FALSE),Value_look_up_tables!$F$26:$H$238,2,FALSE),IFERROR($B16*VLOOKUP($A16&amp;"|"&amp;"TRUE"&amp;"|"&amp;VLOOKUP(Nutrients_from_current_land_use!$B$7,Value_look_up_tables!$A$242:$C$264,3,FALSE)&amp;"|"&amp;VLOOKUP($B$6,Value_look_up_tables!$A$275:$B$280,2,FALSE),Value_look_up_tables!$F$26:$H$238,2,FALSE),$B16*VLOOKUP($A16&amp;"|"&amp;VLOOKUP(Nutrients_from_current_land_use!$B$8,Value_look_up_tables!$A$284:$B$285,2,FALSE)&amp;"|"&amp;VLOOKUP(Nutrients_from_current_land_use!$B$7,Value_look_up_tables!$A$242:$C$264,3,FALSE)&amp;"|"&amp;"DrainedArGr",Value_look_up_tables!$F$26:$H$238,2,FALSE))),IFERROR($B16*VLOOKUP($A16&amp;"|"&amp;VLOOKUP(Nutrients_from_current_land_use!$B$7,Value_look_up_tables!$A$242:$C$264,3,FALSE),Value_look_up_tables!$I$26:$K$230,2,FALSE),$B16*VLOOKUP($A16,Value_look_up_tables!$B$26:$M$230,11,FALSE)))))</f>
        <v>0</v>
      </c>
      <c r="D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$268:$B$271,2,FALSE)&amp;"|"&amp;$A16&amp;"|"&amp;VLOOKUP(Nutrients_from_current_land_use!$B$8,Value_look_up_tables!$A$284:$B$285,2,FALSE)&amp;"|"&amp;VLOOKUP(Nutrients_from_current_land_use!$B$7,Value_look_up_tables!$A$242:$C$264,3,FALSE)&amp;"|"&amp;VLOOKUP($B$6,Value_look_up_tables!$A$275:$B$280,2,FALSE)))),Value_look_up_tables!$F$26:$H$238,3,FALSE),
IFERROR(IFERROR($B16*VLOOKUP($A16&amp;"|"&amp;VLOOKUP(Nutrients_from_current_land_use!$B$8,Value_look_up_tables!$A$284:$B$285,2,FALSE)&amp;"|"&amp;VLOOKUP(Nutrients_from_current_land_use!$B$7,Value_look_up_tables!$A$242:$C$264,3,FALSE)&amp;"|"&amp;VLOOKUP($B$6,Value_look_up_tables!$A$275:$B$280,2,FALSE),Value_look_up_tables!$F$26:$H$238,3,FALSE),IFERROR($B16*VLOOKUP($A16&amp;"|"&amp;"TRUE"&amp;"|"&amp;VLOOKUP(Nutrients_from_current_land_use!$B$7,Value_look_up_tables!$A$242:$C$264,3,FALSE)&amp;"|"&amp;VLOOKUP($B$6,Value_look_up_tables!$A$275:$B$280,2,FALSE),Value_look_up_tables!$F$26:$H$238,3,FALSE),$B16*VLOOKUP($A16&amp;"|"&amp;VLOOKUP(Nutrients_from_current_land_use!$B$8,Value_look_up_tables!$A$284:$B$285,2,FALSE)&amp;"|"&amp;VLOOKUP(Nutrients_from_current_land_use!$B$7,Value_look_up_tables!$A$242:$C$264,3,FALSE)&amp;"|"&amp;"DrainedArGr",Value_look_up_tables!$F$26:$H$238,3,FALSE))),IFERROR($B16*VLOOKUP($A16&amp;"|"&amp;VLOOKUP(Nutrients_from_current_land_use!$B$7,Value_look_up_tables!$A$242:$C$264,3,FALSE),Value_look_up_tables!$I$26:$K$230,3,FALSE),$B16*VLOOKUP($A16,Value_look_up_tables!$B$26:$M$230,12,FALSE)))))</f>
        <v>0</v>
      </c>
      <c r="E16" s="50"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$268:$B$271,2,FALSE)&amp;"|"&amp;$A16&amp;"|"&amp;VLOOKUP(Nutrients_from_current_land_use!$B$8,Value_look_up_tables!$A$284:$B$285,2,FALSE)&amp;"|"&amp;VLOOKUP(Nutrients_from_current_land_use!$B$7, Value_look_up_tables!$A$242:$C$264,3,FALSE)&amp;"|"&amp;VLOOKUP($B$6,Value_look_up_tables!$A$275:$B$280,2,FALSE)))), Value_look_up_tables!$F$26:$H$238,3,FALSE),IFERROR($B16*VLOOKUP($A16&amp;"|"&amp;VLOOKUP(Nutrients_from_current_land_use!$B$8,Value_look_up_tables!$A$162:$B$163,2,FALSE)&amp;"|"&amp;VLOOKUP(Nutrients_from_current_land_use!$B$7,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5" customHeight="1" x14ac:dyDescent="0.35">
      <c r="A17" s="56"/>
      <c r="B17" s="34"/>
      <c r="C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$268:$B$271,2,FALSE)&amp;"|"&amp;$A17&amp;"|"&amp;VLOOKUP(Nutrients_from_current_land_use!$B$8,Value_look_up_tables!$A$284:$B$285,2,FALSE)&amp;"|"&amp;VLOOKUP(Nutrients_from_current_land_use!$B$7,Value_look_up_tables!$A$242:$C$264,3,FALSE)&amp;"|"&amp;VLOOKUP($B$6,Value_look_up_tables!$A$275:$B$280,2,FALSE)))),Value_look_up_tables!$F$26:$H$238,2,FALSE),
IFERROR(IFERROR($B17*VLOOKUP($A17&amp;"|"&amp;VLOOKUP(Nutrients_from_current_land_use!$B$8,Value_look_up_tables!$A$284:$B$285,2,FALSE)&amp;"|"&amp;VLOOKUP(Nutrients_from_current_land_use!$B$7,Value_look_up_tables!$A$242:$C$264,3,FALSE)&amp;"|"&amp;VLOOKUP($B$6,Value_look_up_tables!$A$275:$B$280,2,FALSE),Value_look_up_tables!$F$26:$H$238,2,FALSE),IFERROR($B17*VLOOKUP($A17&amp;"|"&amp;"TRUE"&amp;"|"&amp;VLOOKUP(Nutrients_from_current_land_use!$B$7,Value_look_up_tables!$A$242:$C$264,3,FALSE)&amp;"|"&amp;VLOOKUP($B$6,Value_look_up_tables!$A$275:$B$280,2,FALSE),Value_look_up_tables!$F$26:$H$238,2,FALSE),$B17*VLOOKUP($A17&amp;"|"&amp;VLOOKUP(Nutrients_from_current_land_use!$B$8,Value_look_up_tables!$A$284:$B$285,2,FALSE)&amp;"|"&amp;VLOOKUP(Nutrients_from_current_land_use!$B$7,Value_look_up_tables!$A$242:$C$264,3,FALSE)&amp;"|"&amp;"DrainedArGr",Value_look_up_tables!$F$26:$H$238,2,FALSE))),IFERROR($B17*VLOOKUP($A17&amp;"|"&amp;VLOOKUP(Nutrients_from_current_land_use!$B$7,Value_look_up_tables!$A$242:$C$264,3,FALSE),Value_look_up_tables!$I$26:$K$230,2,FALSE),$B17*VLOOKUP($A17,Value_look_up_tables!$B$26:$M$230,11,FALSE)))))</f>
        <v>0</v>
      </c>
      <c r="D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$268:$B$271,2,FALSE)&amp;"|"&amp;$A17&amp;"|"&amp;VLOOKUP(Nutrients_from_current_land_use!$B$8,Value_look_up_tables!$A$284:$B$285,2,FALSE)&amp;"|"&amp;VLOOKUP(Nutrients_from_current_land_use!$B$7,Value_look_up_tables!$A$242:$C$264,3,FALSE)&amp;"|"&amp;VLOOKUP($B$6,Value_look_up_tables!$A$275:$B$280,2,FALSE)))),Value_look_up_tables!$F$26:$H$238,3,FALSE),
IFERROR(IFERROR($B17*VLOOKUP($A17&amp;"|"&amp;VLOOKUP(Nutrients_from_current_land_use!$B$8,Value_look_up_tables!$A$284:$B$285,2,FALSE)&amp;"|"&amp;VLOOKUP(Nutrients_from_current_land_use!$B$7,Value_look_up_tables!$A$242:$C$264,3,FALSE)&amp;"|"&amp;VLOOKUP($B$6,Value_look_up_tables!$A$275:$B$280,2,FALSE),Value_look_up_tables!$F$26:$H$238,3,FALSE),IFERROR($B17*VLOOKUP($A17&amp;"|"&amp;"TRUE"&amp;"|"&amp;VLOOKUP(Nutrients_from_current_land_use!$B$7,Value_look_up_tables!$A$242:$C$264,3,FALSE)&amp;"|"&amp;VLOOKUP($B$6,Value_look_up_tables!$A$275:$B$280,2,FALSE),Value_look_up_tables!$F$26:$H$238,3,FALSE),$B17*VLOOKUP($A17&amp;"|"&amp;VLOOKUP(Nutrients_from_current_land_use!$B$8,Value_look_up_tables!$A$284:$B$285,2,FALSE)&amp;"|"&amp;VLOOKUP(Nutrients_from_current_land_use!$B$7,Value_look_up_tables!$A$242:$C$264,3,FALSE)&amp;"|"&amp;"DrainedArGr",Value_look_up_tables!$F$26:$H$238,3,FALSE))),IFERROR($B17*VLOOKUP($A17&amp;"|"&amp;VLOOKUP(Nutrients_from_current_land_use!$B$7,Value_look_up_tables!$A$242:$C$264,3,FALSE),Value_look_up_tables!$I$26:$K$230,3,FALSE),$B17*VLOOKUP($A17,Value_look_up_tables!$B$26:$M$230,12,FALSE)))))</f>
        <v>0</v>
      </c>
      <c r="E17" s="50"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$268:$B$271,2,FALSE)&amp;"|"&amp;$A17&amp;"|"&amp;VLOOKUP(Nutrients_from_current_land_use!$B$8,Value_look_up_tables!$A$284:$B$285,2,FALSE)&amp;"|"&amp;VLOOKUP(Nutrients_from_current_land_use!$B$7, Value_look_up_tables!$A$242:$C$264,3,FALSE)&amp;"|"&amp;VLOOKUP($B$6,Value_look_up_tables!$A$275:$B$280,2,FALSE)))), Value_look_up_tables!$F$26:$H$238,3,FALSE),IFERROR($B17*VLOOKUP($A17&amp;"|"&amp;VLOOKUP(Nutrients_from_current_land_use!$B$8,Value_look_up_tables!$A$162:$B$163,2,FALSE)&amp;"|"&amp;VLOOKUP(Nutrients_from_current_land_use!$B$7,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5" customHeight="1" x14ac:dyDescent="0.35">
      <c r="A18" s="56"/>
      <c r="B18" s="34"/>
      <c r="C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$268:$B$271,2,FALSE)&amp;"|"&amp;$A18&amp;"|"&amp;VLOOKUP(Nutrients_from_current_land_use!$B$8,Value_look_up_tables!$A$284:$B$285,2,FALSE)&amp;"|"&amp;VLOOKUP(Nutrients_from_current_land_use!$B$7,Value_look_up_tables!$A$242:$C$264,3,FALSE)&amp;"|"&amp;VLOOKUP($B$6,Value_look_up_tables!$A$275:$B$280,2,FALSE)))),Value_look_up_tables!$F$26:$H$238,2,FALSE),
IFERROR(IFERROR($B18*VLOOKUP($A18&amp;"|"&amp;VLOOKUP(Nutrients_from_current_land_use!$B$8,Value_look_up_tables!$A$284:$B$285,2,FALSE)&amp;"|"&amp;VLOOKUP(Nutrients_from_current_land_use!$B$7,Value_look_up_tables!$A$242:$C$264,3,FALSE)&amp;"|"&amp;VLOOKUP($B$6,Value_look_up_tables!$A$275:$B$280,2,FALSE),Value_look_up_tables!$F$26:$H$238,2,FALSE),IFERROR($B18*VLOOKUP($A18&amp;"|"&amp;"TRUE"&amp;"|"&amp;VLOOKUP(Nutrients_from_current_land_use!$B$7,Value_look_up_tables!$A$242:$C$264,3,FALSE)&amp;"|"&amp;VLOOKUP($B$6,Value_look_up_tables!$A$275:$B$280,2,FALSE),Value_look_up_tables!$F$26:$H$238,2,FALSE),$B18*VLOOKUP($A18&amp;"|"&amp;VLOOKUP(Nutrients_from_current_land_use!$B$8,Value_look_up_tables!$A$284:$B$285,2,FALSE)&amp;"|"&amp;VLOOKUP(Nutrients_from_current_land_use!$B$7,Value_look_up_tables!$A$242:$C$264,3,FALSE)&amp;"|"&amp;"DrainedArGr",Value_look_up_tables!$F$26:$H$238,2,FALSE))),IFERROR($B18*VLOOKUP($A18&amp;"|"&amp;VLOOKUP(Nutrients_from_current_land_use!$B$7,Value_look_up_tables!$A$242:$C$264,3,FALSE),Value_look_up_tables!$I$26:$K$230,2,FALSE),$B18*VLOOKUP($A18,Value_look_up_tables!$B$26:$M$230,11,FALSE)))))</f>
        <v>0</v>
      </c>
      <c r="D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$268:$B$271,2,FALSE)&amp;"|"&amp;$A18&amp;"|"&amp;VLOOKUP(Nutrients_from_current_land_use!$B$8,Value_look_up_tables!$A$284:$B$285,2,FALSE)&amp;"|"&amp;VLOOKUP(Nutrients_from_current_land_use!$B$7,Value_look_up_tables!$A$242:$C$264,3,FALSE)&amp;"|"&amp;VLOOKUP($B$6,Value_look_up_tables!$A$275:$B$280,2,FALSE)))),Value_look_up_tables!$F$26:$H$238,3,FALSE),
IFERROR(IFERROR($B18*VLOOKUP($A18&amp;"|"&amp;VLOOKUP(Nutrients_from_current_land_use!$B$8,Value_look_up_tables!$A$284:$B$285,2,FALSE)&amp;"|"&amp;VLOOKUP(Nutrients_from_current_land_use!$B$7,Value_look_up_tables!$A$242:$C$264,3,FALSE)&amp;"|"&amp;VLOOKUP($B$6,Value_look_up_tables!$A$275:$B$280,2,FALSE),Value_look_up_tables!$F$26:$H$238,3,FALSE),IFERROR($B18*VLOOKUP($A18&amp;"|"&amp;"TRUE"&amp;"|"&amp;VLOOKUP(Nutrients_from_current_land_use!$B$7,Value_look_up_tables!$A$242:$C$264,3,FALSE)&amp;"|"&amp;VLOOKUP($B$6,Value_look_up_tables!$A$275:$B$280,2,FALSE),Value_look_up_tables!$F$26:$H$238,3,FALSE),$B18*VLOOKUP($A18&amp;"|"&amp;VLOOKUP(Nutrients_from_current_land_use!$B$8,Value_look_up_tables!$A$284:$B$285,2,FALSE)&amp;"|"&amp;VLOOKUP(Nutrients_from_current_land_use!$B$7,Value_look_up_tables!$A$242:$C$264,3,FALSE)&amp;"|"&amp;"DrainedArGr",Value_look_up_tables!$F$26:$H$238,3,FALSE))),IFERROR($B18*VLOOKUP($A18&amp;"|"&amp;VLOOKUP(Nutrients_from_current_land_use!$B$7,Value_look_up_tables!$A$242:$C$264,3,FALSE),Value_look_up_tables!$I$26:$K$230,3,FALSE),$B18*VLOOKUP($A18,Value_look_up_tables!$B$26:$M$230,12,FALSE)))))</f>
        <v>0</v>
      </c>
      <c r="E18" s="50"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$268:$B$271,2,FALSE)&amp;"|"&amp;$A18&amp;"|"&amp;VLOOKUP(Nutrients_from_current_land_use!$B$8,Value_look_up_tables!$A$284:$B$285,2,FALSE)&amp;"|"&amp;VLOOKUP(Nutrients_from_current_land_use!$B$7, Value_look_up_tables!$A$242:$C$264,3,FALSE)&amp;"|"&amp;VLOOKUP($B$6,Value_look_up_tables!$A$275:$B$280,2,FALSE)))), Value_look_up_tables!$F$26:$H$238,3,FALSE),IFERROR($B18*VLOOKUP($A18&amp;"|"&amp;VLOOKUP(Nutrients_from_current_land_use!$B$8,Value_look_up_tables!$A$162:$B$163,2,FALSE)&amp;"|"&amp;VLOOKUP(Nutrients_from_current_land_use!$B$7,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5" customHeight="1" x14ac:dyDescent="0.35">
      <c r="A19" s="56"/>
      <c r="B19" s="34"/>
      <c r="C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$268:$B$271,2,FALSE)&amp;"|"&amp;$A19&amp;"|"&amp;VLOOKUP(Nutrients_from_current_land_use!$B$8,Value_look_up_tables!$A$284:$B$285,2,FALSE)&amp;"|"&amp;VLOOKUP(Nutrients_from_current_land_use!$B$7,Value_look_up_tables!$A$242:$C$264,3,FALSE)&amp;"|"&amp;VLOOKUP($B$6,Value_look_up_tables!$A$275:$B$280,2,FALSE)))),Value_look_up_tables!$F$26:$H$238,2,FALSE),
IFERROR(IFERROR($B19*VLOOKUP($A19&amp;"|"&amp;VLOOKUP(Nutrients_from_current_land_use!$B$8,Value_look_up_tables!$A$284:$B$285,2,FALSE)&amp;"|"&amp;VLOOKUP(Nutrients_from_current_land_use!$B$7,Value_look_up_tables!$A$242:$C$264,3,FALSE)&amp;"|"&amp;VLOOKUP($B$6,Value_look_up_tables!$A$275:$B$280,2,FALSE),Value_look_up_tables!$F$26:$H$238,2,FALSE),IFERROR($B19*VLOOKUP($A19&amp;"|"&amp;"TRUE"&amp;"|"&amp;VLOOKUP(Nutrients_from_current_land_use!$B$7,Value_look_up_tables!$A$242:$C$264,3,FALSE)&amp;"|"&amp;VLOOKUP($B$6,Value_look_up_tables!$A$275:$B$280,2,FALSE),Value_look_up_tables!$F$26:$H$238,2,FALSE),$B19*VLOOKUP($A19&amp;"|"&amp;VLOOKUP(Nutrients_from_current_land_use!$B$8,Value_look_up_tables!$A$284:$B$285,2,FALSE)&amp;"|"&amp;VLOOKUP(Nutrients_from_current_land_use!$B$7,Value_look_up_tables!$A$242:$C$264,3,FALSE)&amp;"|"&amp;"DrainedArGr",Value_look_up_tables!$F$26:$H$238,2,FALSE))),IFERROR($B19*VLOOKUP($A19&amp;"|"&amp;VLOOKUP(Nutrients_from_current_land_use!$B$7,Value_look_up_tables!$A$242:$C$264,3,FALSE),Value_look_up_tables!$I$26:$K$230,2,FALSE),$B19*VLOOKUP($A19,Value_look_up_tables!$B$26:$M$230,11,FALSE)))))</f>
        <v>0</v>
      </c>
      <c r="D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$268:$B$271,2,FALSE)&amp;"|"&amp;$A19&amp;"|"&amp;VLOOKUP(Nutrients_from_current_land_use!$B$8,Value_look_up_tables!$A$284:$B$285,2,FALSE)&amp;"|"&amp;VLOOKUP(Nutrients_from_current_land_use!$B$7,Value_look_up_tables!$A$242:$C$264,3,FALSE)&amp;"|"&amp;VLOOKUP($B$6,Value_look_up_tables!$A$275:$B$280,2,FALSE)))),Value_look_up_tables!$F$26:$H$238,3,FALSE),
IFERROR(IFERROR($B19*VLOOKUP($A19&amp;"|"&amp;VLOOKUP(Nutrients_from_current_land_use!$B$8,Value_look_up_tables!$A$284:$B$285,2,FALSE)&amp;"|"&amp;VLOOKUP(Nutrients_from_current_land_use!$B$7,Value_look_up_tables!$A$242:$C$264,3,FALSE)&amp;"|"&amp;VLOOKUP($B$6,Value_look_up_tables!$A$275:$B$280,2,FALSE),Value_look_up_tables!$F$26:$H$238,3,FALSE),IFERROR($B19*VLOOKUP($A19&amp;"|"&amp;"TRUE"&amp;"|"&amp;VLOOKUP(Nutrients_from_current_land_use!$B$7,Value_look_up_tables!$A$242:$C$264,3,FALSE)&amp;"|"&amp;VLOOKUP($B$6,Value_look_up_tables!$A$275:$B$280,2,FALSE),Value_look_up_tables!$F$26:$H$238,3,FALSE),$B19*VLOOKUP($A19&amp;"|"&amp;VLOOKUP(Nutrients_from_current_land_use!$B$8,Value_look_up_tables!$A$284:$B$285,2,FALSE)&amp;"|"&amp;VLOOKUP(Nutrients_from_current_land_use!$B$7,Value_look_up_tables!$A$242:$C$264,3,FALSE)&amp;"|"&amp;"DrainedArGr",Value_look_up_tables!$F$26:$H$238,3,FALSE))),IFERROR($B19*VLOOKUP($A19&amp;"|"&amp;VLOOKUP(Nutrients_from_current_land_use!$B$7,Value_look_up_tables!$A$242:$C$264,3,FALSE),Value_look_up_tables!$I$26:$K$230,3,FALSE),$B19*VLOOKUP($A19,Value_look_up_tables!$B$26:$M$230,12,FALSE)))))</f>
        <v>0</v>
      </c>
      <c r="E19" s="50"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$268:$B$271,2,FALSE)&amp;"|"&amp;$A19&amp;"|"&amp;VLOOKUP(Nutrients_from_current_land_use!$B$8,Value_look_up_tables!$A$284:$B$285,2,FALSE)&amp;"|"&amp;VLOOKUP(Nutrients_from_current_land_use!$B$7, Value_look_up_tables!$A$242:$C$264,3,FALSE)&amp;"|"&amp;VLOOKUP($B$6,Value_look_up_tables!$A$275:$B$280,2,FALSE)))), Value_look_up_tables!$F$26:$H$238,3,FALSE),IFERROR($B19*VLOOKUP($A19&amp;"|"&amp;VLOOKUP(Nutrients_from_current_land_use!$B$8,Value_look_up_tables!$A$162:$B$163,2,FALSE)&amp;"|"&amp;VLOOKUP(Nutrients_from_current_land_use!$B$7,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5" customHeight="1" x14ac:dyDescent="0.35">
      <c r="A20" s="56"/>
      <c r="B20" s="34"/>
      <c r="C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$268:$B$271,2,FALSE)&amp;"|"&amp;$A20&amp;"|"&amp;VLOOKUP(Nutrients_from_current_land_use!$B$8,Value_look_up_tables!$A$284:$B$285,2,FALSE)&amp;"|"&amp;VLOOKUP(Nutrients_from_current_land_use!$B$7,Value_look_up_tables!$A$242:$C$264,3,FALSE)&amp;"|"&amp;VLOOKUP($B$6,Value_look_up_tables!$A$275:$B$280,2,FALSE)))),Value_look_up_tables!$F$26:$H$238,2,FALSE),
IFERROR(IFERROR($B20*VLOOKUP($A20&amp;"|"&amp;VLOOKUP(Nutrients_from_current_land_use!$B$8,Value_look_up_tables!$A$284:$B$285,2,FALSE)&amp;"|"&amp;VLOOKUP(Nutrients_from_current_land_use!$B$7,Value_look_up_tables!$A$242:$C$264,3,FALSE)&amp;"|"&amp;VLOOKUP($B$6,Value_look_up_tables!$A$275:$B$280,2,FALSE),Value_look_up_tables!$F$26:$H$238,2,FALSE),IFERROR($B20*VLOOKUP($A20&amp;"|"&amp;"TRUE"&amp;"|"&amp;VLOOKUP(Nutrients_from_current_land_use!$B$7,Value_look_up_tables!$A$242:$C$264,3,FALSE)&amp;"|"&amp;VLOOKUP($B$6,Value_look_up_tables!$A$275:$B$280,2,FALSE),Value_look_up_tables!$F$26:$H$238,2,FALSE),$B20*VLOOKUP($A20&amp;"|"&amp;VLOOKUP(Nutrients_from_current_land_use!$B$8,Value_look_up_tables!$A$284:$B$285,2,FALSE)&amp;"|"&amp;VLOOKUP(Nutrients_from_current_land_use!$B$7,Value_look_up_tables!$A$242:$C$264,3,FALSE)&amp;"|"&amp;"DrainedArGr",Value_look_up_tables!$F$26:$H$238,2,FALSE))),IFERROR($B20*VLOOKUP($A20&amp;"|"&amp;VLOOKUP(Nutrients_from_current_land_use!$B$7,Value_look_up_tables!$A$242:$C$264,3,FALSE),Value_look_up_tables!$I$26:$K$230,2,FALSE),$B20*VLOOKUP($A20,Value_look_up_tables!$B$26:$M$230,11,FALSE)))))</f>
        <v>0</v>
      </c>
      <c r="D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$268:$B$271,2,FALSE)&amp;"|"&amp;$A20&amp;"|"&amp;VLOOKUP(Nutrients_from_current_land_use!$B$8,Value_look_up_tables!$A$284:$B$285,2,FALSE)&amp;"|"&amp;VLOOKUP(Nutrients_from_current_land_use!$B$7,Value_look_up_tables!$A$242:$C$264,3,FALSE)&amp;"|"&amp;VLOOKUP($B$6,Value_look_up_tables!$A$275:$B$280,2,FALSE)))),Value_look_up_tables!$F$26:$H$238,3,FALSE),
IFERROR(IFERROR($B20*VLOOKUP($A20&amp;"|"&amp;VLOOKUP(Nutrients_from_current_land_use!$B$8,Value_look_up_tables!$A$284:$B$285,2,FALSE)&amp;"|"&amp;VLOOKUP(Nutrients_from_current_land_use!$B$7,Value_look_up_tables!$A$242:$C$264,3,FALSE)&amp;"|"&amp;VLOOKUP($B$6,Value_look_up_tables!$A$275:$B$280,2,FALSE),Value_look_up_tables!$F$26:$H$238,3,FALSE),IFERROR($B20*VLOOKUP($A20&amp;"|"&amp;"TRUE"&amp;"|"&amp;VLOOKUP(Nutrients_from_current_land_use!$B$7,Value_look_up_tables!$A$242:$C$264,3,FALSE)&amp;"|"&amp;VLOOKUP($B$6,Value_look_up_tables!$A$275:$B$280,2,FALSE),Value_look_up_tables!$F$26:$H$238,3,FALSE),$B20*VLOOKUP($A20&amp;"|"&amp;VLOOKUP(Nutrients_from_current_land_use!$B$8,Value_look_up_tables!$A$284:$B$285,2,FALSE)&amp;"|"&amp;VLOOKUP(Nutrients_from_current_land_use!$B$7,Value_look_up_tables!$A$242:$C$264,3,FALSE)&amp;"|"&amp;"DrainedArGr",Value_look_up_tables!$F$26:$H$238,3,FALSE))),IFERROR($B20*VLOOKUP($A20&amp;"|"&amp;VLOOKUP(Nutrients_from_current_land_use!$B$7,Value_look_up_tables!$A$242:$C$264,3,FALSE),Value_look_up_tables!$I$26:$K$230,3,FALSE),$B20*VLOOKUP($A20,Value_look_up_tables!$B$26:$M$230,12,FALSE)))))</f>
        <v>0</v>
      </c>
      <c r="E20" s="50"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$268:$B$271,2,FALSE)&amp;"|"&amp;$A20&amp;"|"&amp;VLOOKUP(Nutrients_from_current_land_use!$B$8,Value_look_up_tables!$A$284:$B$285,2,FALSE)&amp;"|"&amp;VLOOKUP(Nutrients_from_current_land_use!$B$7, Value_look_up_tables!$A$242:$C$264,3,FALSE)&amp;"|"&amp;VLOOKUP($B$6,Value_look_up_tables!$A$275:$B$280,2,FALSE)))), Value_look_up_tables!$F$26:$H$238,3,FALSE),IFERROR($B20*VLOOKUP($A20&amp;"|"&amp;VLOOKUP(Nutrients_from_current_land_use!$B$8,Value_look_up_tables!$A$162:$B$163,2,FALSE)&amp;"|"&amp;VLOOKUP(Nutrients_from_current_land_use!$B$7,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5" customHeight="1" x14ac:dyDescent="0.35">
      <c r="A21" s="56"/>
      <c r="B21" s="34"/>
      <c r="C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$268:$B$271,2,FALSE)&amp;"|"&amp;$A21&amp;"|"&amp;VLOOKUP(Nutrients_from_current_land_use!$B$8,Value_look_up_tables!$A$284:$B$285,2,FALSE)&amp;"|"&amp;VLOOKUP(Nutrients_from_current_land_use!$B$7,Value_look_up_tables!$A$242:$C$264,3,FALSE)&amp;"|"&amp;VLOOKUP($B$6,Value_look_up_tables!$A$275:$B$280,2,FALSE)))),Value_look_up_tables!$F$26:$H$238,2,FALSE),
IFERROR(IFERROR($B21*VLOOKUP($A21&amp;"|"&amp;VLOOKUP(Nutrients_from_current_land_use!$B$8,Value_look_up_tables!$A$284:$B$285,2,FALSE)&amp;"|"&amp;VLOOKUP(Nutrients_from_current_land_use!$B$7,Value_look_up_tables!$A$242:$C$264,3,FALSE)&amp;"|"&amp;VLOOKUP($B$6,Value_look_up_tables!$A$275:$B$280,2,FALSE),Value_look_up_tables!$F$26:$H$238,2,FALSE),IFERROR($B21*VLOOKUP($A21&amp;"|"&amp;"TRUE"&amp;"|"&amp;VLOOKUP(Nutrients_from_current_land_use!$B$7,Value_look_up_tables!$A$242:$C$264,3,FALSE)&amp;"|"&amp;VLOOKUP($B$6,Value_look_up_tables!$A$275:$B$280,2,FALSE),Value_look_up_tables!$F$26:$H$238,2,FALSE),$B21*VLOOKUP($A21&amp;"|"&amp;VLOOKUP(Nutrients_from_current_land_use!$B$8,Value_look_up_tables!$A$284:$B$285,2,FALSE)&amp;"|"&amp;VLOOKUP(Nutrients_from_current_land_use!$B$7,Value_look_up_tables!$A$242:$C$264,3,FALSE)&amp;"|"&amp;"DrainedArGr",Value_look_up_tables!$F$26:$H$238,2,FALSE))),IFERROR($B21*VLOOKUP($A21&amp;"|"&amp;VLOOKUP(Nutrients_from_current_land_use!$B$7,Value_look_up_tables!$A$242:$C$264,3,FALSE),Value_look_up_tables!$I$26:$K$230,2,FALSE),$B21*VLOOKUP($A21,Value_look_up_tables!$B$26:$M$230,11,FALSE)))))</f>
        <v>0</v>
      </c>
      <c r="D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$268:$B$271,2,FALSE)&amp;"|"&amp;$A21&amp;"|"&amp;VLOOKUP(Nutrients_from_current_land_use!$B$8,Value_look_up_tables!$A$284:$B$285,2,FALSE)&amp;"|"&amp;VLOOKUP(Nutrients_from_current_land_use!$B$7,Value_look_up_tables!$A$242:$C$264,3,FALSE)&amp;"|"&amp;VLOOKUP($B$6,Value_look_up_tables!$A$275:$B$280,2,FALSE)))),Value_look_up_tables!$F$26:$H$238,3,FALSE),
IFERROR(IFERROR($B21*VLOOKUP($A21&amp;"|"&amp;VLOOKUP(Nutrients_from_current_land_use!$B$8,Value_look_up_tables!$A$284:$B$285,2,FALSE)&amp;"|"&amp;VLOOKUP(Nutrients_from_current_land_use!$B$7,Value_look_up_tables!$A$242:$C$264,3,FALSE)&amp;"|"&amp;VLOOKUP($B$6,Value_look_up_tables!$A$275:$B$280,2,FALSE),Value_look_up_tables!$F$26:$H$238,3,FALSE),IFERROR($B21*VLOOKUP($A21&amp;"|"&amp;"TRUE"&amp;"|"&amp;VLOOKUP(Nutrients_from_current_land_use!$B$7,Value_look_up_tables!$A$242:$C$264,3,FALSE)&amp;"|"&amp;VLOOKUP($B$6,Value_look_up_tables!$A$275:$B$280,2,FALSE),Value_look_up_tables!$F$26:$H$238,3,FALSE),$B21*VLOOKUP($A21&amp;"|"&amp;VLOOKUP(Nutrients_from_current_land_use!$B$8,Value_look_up_tables!$A$284:$B$285,2,FALSE)&amp;"|"&amp;VLOOKUP(Nutrients_from_current_land_use!$B$7,Value_look_up_tables!$A$242:$C$264,3,FALSE)&amp;"|"&amp;"DrainedArGr",Value_look_up_tables!$F$26:$H$238,3,FALSE))),IFERROR($B21*VLOOKUP($A21&amp;"|"&amp;VLOOKUP(Nutrients_from_current_land_use!$B$7,Value_look_up_tables!$A$242:$C$264,3,FALSE),Value_look_up_tables!$I$26:$K$230,3,FALSE),$B21*VLOOKUP($A21,Value_look_up_tables!$B$26:$M$230,12,FALSE)))))</f>
        <v>0</v>
      </c>
      <c r="E21" s="50"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$268:$B$271,2,FALSE)&amp;"|"&amp;$A21&amp;"|"&amp;VLOOKUP(Nutrients_from_current_land_use!$B$8,Value_look_up_tables!$A$284:$B$285,2,FALSE)&amp;"|"&amp;VLOOKUP(Nutrients_from_current_land_use!$B$7, Value_look_up_tables!$A$242:$C$264,3,FALSE)&amp;"|"&amp;VLOOKUP($B$6,Value_look_up_tables!$A$275:$B$280,2,FALSE)))), Value_look_up_tables!$F$26:$H$238,3,FALSE),IFERROR($B21*VLOOKUP($A21&amp;"|"&amp;VLOOKUP(Nutrients_from_current_land_use!$B$8,Value_look_up_tables!$A$162:$B$163,2,FALSE)&amp;"|"&amp;VLOOKUP(Nutrients_from_current_land_use!$B$7,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5" customHeight="1" x14ac:dyDescent="0.35">
      <c r="A22" s="56"/>
      <c r="B22" s="34"/>
      <c r="C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$268:$B$271,2,FALSE)&amp;"|"&amp;$A22&amp;"|"&amp;VLOOKUP(Nutrients_from_current_land_use!$B$8,Value_look_up_tables!$A$284:$B$285,2,FALSE)&amp;"|"&amp;VLOOKUP(Nutrients_from_current_land_use!$B$7,Value_look_up_tables!$A$242:$C$264,3,FALSE)&amp;"|"&amp;VLOOKUP($B$6,Value_look_up_tables!$A$275:$B$280,2,FALSE)))),Value_look_up_tables!$F$26:$H$238,2,FALSE),
IFERROR(IFERROR($B22*VLOOKUP($A22&amp;"|"&amp;VLOOKUP(Nutrients_from_current_land_use!$B$8,Value_look_up_tables!$A$284:$B$285,2,FALSE)&amp;"|"&amp;VLOOKUP(Nutrients_from_current_land_use!$B$7,Value_look_up_tables!$A$242:$C$264,3,FALSE)&amp;"|"&amp;VLOOKUP($B$6,Value_look_up_tables!$A$275:$B$280,2,FALSE),Value_look_up_tables!$F$26:$H$238,2,FALSE),IFERROR($B22*VLOOKUP($A22&amp;"|"&amp;"TRUE"&amp;"|"&amp;VLOOKUP(Nutrients_from_current_land_use!$B$7,Value_look_up_tables!$A$242:$C$264,3,FALSE)&amp;"|"&amp;VLOOKUP($B$6,Value_look_up_tables!$A$275:$B$280,2,FALSE),Value_look_up_tables!$F$26:$H$238,2,FALSE),$B22*VLOOKUP($A22&amp;"|"&amp;VLOOKUP(Nutrients_from_current_land_use!$B$8,Value_look_up_tables!$A$284:$B$285,2,FALSE)&amp;"|"&amp;VLOOKUP(Nutrients_from_current_land_use!$B$7,Value_look_up_tables!$A$242:$C$264,3,FALSE)&amp;"|"&amp;"DrainedArGr",Value_look_up_tables!$F$26:$H$238,2,FALSE))),IFERROR($B22*VLOOKUP($A22&amp;"|"&amp;VLOOKUP(Nutrients_from_current_land_use!$B$7,Value_look_up_tables!$A$242:$C$264,3,FALSE),Value_look_up_tables!$I$26:$K$230,2,FALSE),$B22*VLOOKUP($A22,Value_look_up_tables!$B$26:$M$230,11,FALSE)))))</f>
        <v>0</v>
      </c>
      <c r="D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$268:$B$271,2,FALSE)&amp;"|"&amp;$A22&amp;"|"&amp;VLOOKUP(Nutrients_from_current_land_use!$B$8,Value_look_up_tables!$A$284:$B$285,2,FALSE)&amp;"|"&amp;VLOOKUP(Nutrients_from_current_land_use!$B$7,Value_look_up_tables!$A$242:$C$264,3,FALSE)&amp;"|"&amp;VLOOKUP($B$6,Value_look_up_tables!$A$275:$B$280,2,FALSE)))),Value_look_up_tables!$F$26:$H$238,3,FALSE),
IFERROR(IFERROR($B22*VLOOKUP($A22&amp;"|"&amp;VLOOKUP(Nutrients_from_current_land_use!$B$8,Value_look_up_tables!$A$284:$B$285,2,FALSE)&amp;"|"&amp;VLOOKUP(Nutrients_from_current_land_use!$B$7,Value_look_up_tables!$A$242:$C$264,3,FALSE)&amp;"|"&amp;VLOOKUP($B$6,Value_look_up_tables!$A$275:$B$280,2,FALSE),Value_look_up_tables!$F$26:$H$238,3,FALSE),IFERROR($B22*VLOOKUP($A22&amp;"|"&amp;"TRUE"&amp;"|"&amp;VLOOKUP(Nutrients_from_current_land_use!$B$7,Value_look_up_tables!$A$242:$C$264,3,FALSE)&amp;"|"&amp;VLOOKUP($B$6,Value_look_up_tables!$A$275:$B$280,2,FALSE),Value_look_up_tables!$F$26:$H$238,3,FALSE),$B22*VLOOKUP($A22&amp;"|"&amp;VLOOKUP(Nutrients_from_current_land_use!$B$8,Value_look_up_tables!$A$284:$B$285,2,FALSE)&amp;"|"&amp;VLOOKUP(Nutrients_from_current_land_use!$B$7,Value_look_up_tables!$A$242:$C$264,3,FALSE)&amp;"|"&amp;"DrainedArGr",Value_look_up_tables!$F$26:$H$238,3,FALSE))),IFERROR($B22*VLOOKUP($A22&amp;"|"&amp;VLOOKUP(Nutrients_from_current_land_use!$B$7,Value_look_up_tables!$A$242:$C$264,3,FALSE),Value_look_up_tables!$I$26:$K$230,3,FALSE),$B22*VLOOKUP($A22,Value_look_up_tables!$B$26:$M$230,12,FALSE)))))</f>
        <v>0</v>
      </c>
      <c r="E22" s="50"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$268:$B$271,2,FALSE)&amp;"|"&amp;$A22&amp;"|"&amp;VLOOKUP(Nutrients_from_current_land_use!$B$8,Value_look_up_tables!$A$284:$B$285,2,FALSE)&amp;"|"&amp;VLOOKUP(Nutrients_from_current_land_use!$B$7, Value_look_up_tables!$A$242:$C$264,3,FALSE)&amp;"|"&amp;VLOOKUP($B$6,Value_look_up_tables!$A$275:$B$280,2,FALSE)))), Value_look_up_tables!$F$26:$H$238,3,FALSE),IFERROR($B22*VLOOKUP($A22&amp;"|"&amp;VLOOKUP(Nutrients_from_current_land_use!$B$8,Value_look_up_tables!$A$162:$B$163,2,FALSE)&amp;"|"&amp;VLOOKUP(Nutrients_from_current_land_use!$B$7,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8"/>
    </row>
    <row r="23" spans="1:7" s="5" customFormat="1" ht="39.65" customHeight="1" x14ac:dyDescent="0.35">
      <c r="A23" s="56"/>
      <c r="B23" s="34"/>
      <c r="C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$268:$B$271,2,FALSE)&amp;"|"&amp;$A23&amp;"|"&amp;VLOOKUP(Nutrients_from_current_land_use!$B$8,Value_look_up_tables!$A$284:$B$285,2,FALSE)&amp;"|"&amp;VLOOKUP(Nutrients_from_current_land_use!$B$7,Value_look_up_tables!$A$242:$C$264,3,FALSE)&amp;"|"&amp;VLOOKUP($B$6,Value_look_up_tables!$A$275:$B$280,2,FALSE)))),Value_look_up_tables!$F$26:$H$238,2,FALSE),
IFERROR(IFERROR($B23*VLOOKUP($A23&amp;"|"&amp;VLOOKUP(Nutrients_from_current_land_use!$B$8,Value_look_up_tables!$A$284:$B$285,2,FALSE)&amp;"|"&amp;VLOOKUP(Nutrients_from_current_land_use!$B$7,Value_look_up_tables!$A$242:$C$264,3,FALSE)&amp;"|"&amp;VLOOKUP($B$6,Value_look_up_tables!$A$275:$B$280,2,FALSE),Value_look_up_tables!$F$26:$H$238,2,FALSE),IFERROR($B23*VLOOKUP($A23&amp;"|"&amp;"TRUE"&amp;"|"&amp;VLOOKUP(Nutrients_from_current_land_use!$B$7,Value_look_up_tables!$A$242:$C$264,3,FALSE)&amp;"|"&amp;VLOOKUP($B$6,Value_look_up_tables!$A$275:$B$280,2,FALSE),Value_look_up_tables!$F$26:$H$238,2,FALSE),$B23*VLOOKUP($A23&amp;"|"&amp;VLOOKUP(Nutrients_from_current_land_use!$B$8,Value_look_up_tables!$A$284:$B$285,2,FALSE)&amp;"|"&amp;VLOOKUP(Nutrients_from_current_land_use!$B$7,Value_look_up_tables!$A$242:$C$264,3,FALSE)&amp;"|"&amp;"DrainedArGr",Value_look_up_tables!$F$26:$H$238,2,FALSE))),IFERROR($B23*VLOOKUP($A23&amp;"|"&amp;VLOOKUP(Nutrients_from_current_land_use!$B$7,Value_look_up_tables!$A$242:$C$264,3,FALSE),Value_look_up_tables!$I$26:$K$230,2,FALSE),$B23*VLOOKUP($A23,Value_look_up_tables!$B$26:$M$230,11,FALSE)))))</f>
        <v>0</v>
      </c>
      <c r="D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$268:$B$271,2,FALSE)&amp;"|"&amp;$A23&amp;"|"&amp;VLOOKUP(Nutrients_from_current_land_use!$B$8,Value_look_up_tables!$A$284:$B$285,2,FALSE)&amp;"|"&amp;VLOOKUP(Nutrients_from_current_land_use!$B$7,Value_look_up_tables!$A$242:$C$264,3,FALSE)&amp;"|"&amp;VLOOKUP($B$6,Value_look_up_tables!$A$275:$B$280,2,FALSE)))),Value_look_up_tables!$F$26:$H$238,3,FALSE),
IFERROR(IFERROR($B23*VLOOKUP($A23&amp;"|"&amp;VLOOKUP(Nutrients_from_current_land_use!$B$8,Value_look_up_tables!$A$284:$B$285,2,FALSE)&amp;"|"&amp;VLOOKUP(Nutrients_from_current_land_use!$B$7,Value_look_up_tables!$A$242:$C$264,3,FALSE)&amp;"|"&amp;VLOOKUP($B$6,Value_look_up_tables!$A$275:$B$280,2,FALSE),Value_look_up_tables!$F$26:$H$238,3,FALSE),IFERROR($B23*VLOOKUP($A23&amp;"|"&amp;"TRUE"&amp;"|"&amp;VLOOKUP(Nutrients_from_current_land_use!$B$7,Value_look_up_tables!$A$242:$C$264,3,FALSE)&amp;"|"&amp;VLOOKUP($B$6,Value_look_up_tables!$A$275:$B$280,2,FALSE),Value_look_up_tables!$F$26:$H$238,3,FALSE),$B23*VLOOKUP($A23&amp;"|"&amp;VLOOKUP(Nutrients_from_current_land_use!$B$8,Value_look_up_tables!$A$284:$B$285,2,FALSE)&amp;"|"&amp;VLOOKUP(Nutrients_from_current_land_use!$B$7,Value_look_up_tables!$A$242:$C$264,3,FALSE)&amp;"|"&amp;"DrainedArGr",Value_look_up_tables!$F$26:$H$238,3,FALSE))),IFERROR($B23*VLOOKUP($A23&amp;"|"&amp;VLOOKUP(Nutrients_from_current_land_use!$B$7,Value_look_up_tables!$A$242:$C$264,3,FALSE),Value_look_up_tables!$I$26:$K$230,3,FALSE),$B23*VLOOKUP($A23,Value_look_up_tables!$B$26:$M$230,12,FALSE)))))</f>
        <v>0</v>
      </c>
      <c r="E23" s="50"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$268:$B$271,2,FALSE)&amp;"|"&amp;$A23&amp;"|"&amp;VLOOKUP(Nutrients_from_current_land_use!$B$8,Value_look_up_tables!$A$284:$B$285,2,FALSE)&amp;"|"&amp;VLOOKUP(Nutrients_from_current_land_use!$B$7, Value_look_up_tables!$A$242:$C$264,3,FALSE)&amp;"|"&amp;VLOOKUP($B$6,Value_look_up_tables!$A$275:$B$280,2,FALSE)))), Value_look_up_tables!$F$26:$H$238,3,FALSE),IFERROR($B23*VLOOKUP($A23&amp;"|"&amp;VLOOKUP(Nutrients_from_current_land_use!$B$8,Value_look_up_tables!$A$162:$B$163,2,FALSE)&amp;"|"&amp;VLOOKUP(Nutrients_from_current_land_use!$B$7,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5" customHeight="1" x14ac:dyDescent="0.35">
      <c r="A24" s="56"/>
      <c r="B24" s="34"/>
      <c r="C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$268:$B$271,2,FALSE)&amp;"|"&amp;$A24&amp;"|"&amp;VLOOKUP(Nutrients_from_current_land_use!$B$8,Value_look_up_tables!$A$284:$B$285,2,FALSE)&amp;"|"&amp;VLOOKUP(Nutrients_from_current_land_use!$B$7,Value_look_up_tables!$A$242:$C$264,3,FALSE)&amp;"|"&amp;VLOOKUP($B$6,Value_look_up_tables!$A$275:$B$280,2,FALSE)))),Value_look_up_tables!$F$26:$H$238,2,FALSE),
IFERROR(IFERROR($B24*VLOOKUP($A24&amp;"|"&amp;VLOOKUP(Nutrients_from_current_land_use!$B$8,Value_look_up_tables!$A$284:$B$285,2,FALSE)&amp;"|"&amp;VLOOKUP(Nutrients_from_current_land_use!$B$7,Value_look_up_tables!$A$242:$C$264,3,FALSE)&amp;"|"&amp;VLOOKUP($B$6,Value_look_up_tables!$A$275:$B$280,2,FALSE),Value_look_up_tables!$F$26:$H$238,2,FALSE),IFERROR($B24*VLOOKUP($A24&amp;"|"&amp;"TRUE"&amp;"|"&amp;VLOOKUP(Nutrients_from_current_land_use!$B$7,Value_look_up_tables!$A$242:$C$264,3,FALSE)&amp;"|"&amp;VLOOKUP($B$6,Value_look_up_tables!$A$275:$B$280,2,FALSE),Value_look_up_tables!$F$26:$H$238,2,FALSE),$B24*VLOOKUP($A24&amp;"|"&amp;VLOOKUP(Nutrients_from_current_land_use!$B$8,Value_look_up_tables!$A$284:$B$285,2,FALSE)&amp;"|"&amp;VLOOKUP(Nutrients_from_current_land_use!$B$7,Value_look_up_tables!$A$242:$C$264,3,FALSE)&amp;"|"&amp;"DrainedArGr",Value_look_up_tables!$F$26:$H$238,2,FALSE))),IFERROR($B24*VLOOKUP($A24&amp;"|"&amp;VLOOKUP(Nutrients_from_current_land_use!$B$7,Value_look_up_tables!$A$242:$C$264,3,FALSE),Value_look_up_tables!$I$26:$K$230,2,FALSE),$B24*VLOOKUP($A24,Value_look_up_tables!$B$26:$M$230,11,FALSE)))))</f>
        <v>0</v>
      </c>
      <c r="D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$268:$B$271,2,FALSE)&amp;"|"&amp;$A24&amp;"|"&amp;VLOOKUP(Nutrients_from_current_land_use!$B$8,Value_look_up_tables!$A$284:$B$285,2,FALSE)&amp;"|"&amp;VLOOKUP(Nutrients_from_current_land_use!$B$7,Value_look_up_tables!$A$242:$C$264,3,FALSE)&amp;"|"&amp;VLOOKUP($B$6,Value_look_up_tables!$A$275:$B$280,2,FALSE)))),Value_look_up_tables!$F$26:$H$238,3,FALSE),
IFERROR(IFERROR($B24*VLOOKUP($A24&amp;"|"&amp;VLOOKUP(Nutrients_from_current_land_use!$B$8,Value_look_up_tables!$A$284:$B$285,2,FALSE)&amp;"|"&amp;VLOOKUP(Nutrients_from_current_land_use!$B$7,Value_look_up_tables!$A$242:$C$264,3,FALSE)&amp;"|"&amp;VLOOKUP($B$6,Value_look_up_tables!$A$275:$B$280,2,FALSE),Value_look_up_tables!$F$26:$H$238,3,FALSE),IFERROR($B24*VLOOKUP($A24&amp;"|"&amp;"TRUE"&amp;"|"&amp;VLOOKUP(Nutrients_from_current_land_use!$B$7,Value_look_up_tables!$A$242:$C$264,3,FALSE)&amp;"|"&amp;VLOOKUP($B$6,Value_look_up_tables!$A$275:$B$280,2,FALSE),Value_look_up_tables!$F$26:$H$238,3,FALSE),$B24*VLOOKUP($A24&amp;"|"&amp;VLOOKUP(Nutrients_from_current_land_use!$B$8,Value_look_up_tables!$A$284:$B$285,2,FALSE)&amp;"|"&amp;VLOOKUP(Nutrients_from_current_land_use!$B$7,Value_look_up_tables!$A$242:$C$264,3,FALSE)&amp;"|"&amp;"DrainedArGr",Value_look_up_tables!$F$26:$H$238,3,FALSE))),IFERROR($B24*VLOOKUP($A24&amp;"|"&amp;VLOOKUP(Nutrients_from_current_land_use!$B$7,Value_look_up_tables!$A$242:$C$264,3,FALSE),Value_look_up_tables!$I$26:$K$230,3,FALSE),$B24*VLOOKUP($A24,Value_look_up_tables!$B$26:$M$230,12,FALSE)))))</f>
        <v>0</v>
      </c>
      <c r="E24" s="50"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$268:$B$271,2,FALSE)&amp;"|"&amp;$A24&amp;"|"&amp;VLOOKUP(Nutrients_from_current_land_use!$B$8,Value_look_up_tables!$A$284:$B$285,2,FALSE)&amp;"|"&amp;VLOOKUP(Nutrients_from_current_land_use!$B$7, Value_look_up_tables!$A$242:$C$264,3,FALSE)&amp;"|"&amp;VLOOKUP($B$6,Value_look_up_tables!$A$275:$B$280,2,FALSE)))), Value_look_up_tables!$F$26:$H$238,3,FALSE),IFERROR($B24*VLOOKUP($A24&amp;"|"&amp;VLOOKUP(Nutrients_from_current_land_use!$B$8,Value_look_up_tables!$A$162:$B$163,2,FALSE)&amp;"|"&amp;VLOOKUP(Nutrients_from_current_land_use!$B$7,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5" customHeight="1" x14ac:dyDescent="0.35">
      <c r="A25" s="56"/>
      <c r="B25" s="34"/>
      <c r="C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$268:$B$271,2,FALSE)&amp;"|"&amp;$A25&amp;"|"&amp;VLOOKUP(Nutrients_from_current_land_use!$B$8,Value_look_up_tables!$A$284:$B$285,2,FALSE)&amp;"|"&amp;VLOOKUP(Nutrients_from_current_land_use!$B$7,Value_look_up_tables!$A$242:$C$264,3,FALSE)&amp;"|"&amp;VLOOKUP($B$6,Value_look_up_tables!$A$275:$B$280,2,FALSE)))),Value_look_up_tables!$F$26:$H$238,2,FALSE),
IFERROR(IFERROR($B25*VLOOKUP($A25&amp;"|"&amp;VLOOKUP(Nutrients_from_current_land_use!$B$8,Value_look_up_tables!$A$284:$B$285,2,FALSE)&amp;"|"&amp;VLOOKUP(Nutrients_from_current_land_use!$B$7,Value_look_up_tables!$A$242:$C$264,3,FALSE)&amp;"|"&amp;VLOOKUP($B$6,Value_look_up_tables!$A$275:$B$280,2,FALSE),Value_look_up_tables!$F$26:$H$238,2,FALSE),IFERROR($B25*VLOOKUP($A25&amp;"|"&amp;"TRUE"&amp;"|"&amp;VLOOKUP(Nutrients_from_current_land_use!$B$7,Value_look_up_tables!$A$242:$C$264,3,FALSE)&amp;"|"&amp;VLOOKUP($B$6,Value_look_up_tables!$A$275:$B$280,2,FALSE),Value_look_up_tables!$F$26:$H$238,2,FALSE),$B25*VLOOKUP($A25&amp;"|"&amp;VLOOKUP(Nutrients_from_current_land_use!$B$8,Value_look_up_tables!$A$284:$B$285,2,FALSE)&amp;"|"&amp;VLOOKUP(Nutrients_from_current_land_use!$B$7,Value_look_up_tables!$A$242:$C$264,3,FALSE)&amp;"|"&amp;"DrainedArGr",Value_look_up_tables!$F$26:$H$238,2,FALSE))),IFERROR($B25*VLOOKUP($A25&amp;"|"&amp;VLOOKUP(Nutrients_from_current_land_use!$B$7,Value_look_up_tables!$A$242:$C$264,3,FALSE),Value_look_up_tables!$I$26:$K$230,2,FALSE),$B25*VLOOKUP($A25,Value_look_up_tables!$B$26:$M$230,11,FALSE)))))</f>
        <v>0</v>
      </c>
      <c r="D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$268:$B$271,2,FALSE)&amp;"|"&amp;$A25&amp;"|"&amp;VLOOKUP(Nutrients_from_current_land_use!$B$8,Value_look_up_tables!$A$284:$B$285,2,FALSE)&amp;"|"&amp;VLOOKUP(Nutrients_from_current_land_use!$B$7,Value_look_up_tables!$A$242:$C$264,3,FALSE)&amp;"|"&amp;VLOOKUP($B$6,Value_look_up_tables!$A$275:$B$280,2,FALSE)))),Value_look_up_tables!$F$26:$H$238,3,FALSE),
IFERROR(IFERROR($B25*VLOOKUP($A25&amp;"|"&amp;VLOOKUP(Nutrients_from_current_land_use!$B$8,Value_look_up_tables!$A$284:$B$285,2,FALSE)&amp;"|"&amp;VLOOKUP(Nutrients_from_current_land_use!$B$7,Value_look_up_tables!$A$242:$C$264,3,FALSE)&amp;"|"&amp;VLOOKUP($B$6,Value_look_up_tables!$A$275:$B$280,2,FALSE),Value_look_up_tables!$F$26:$H$238,3,FALSE),IFERROR($B25*VLOOKUP($A25&amp;"|"&amp;"TRUE"&amp;"|"&amp;VLOOKUP(Nutrients_from_current_land_use!$B$7,Value_look_up_tables!$A$242:$C$264,3,FALSE)&amp;"|"&amp;VLOOKUP($B$6,Value_look_up_tables!$A$275:$B$280,2,FALSE),Value_look_up_tables!$F$26:$H$238,3,FALSE),$B25*VLOOKUP($A25&amp;"|"&amp;VLOOKUP(Nutrients_from_current_land_use!$B$8,Value_look_up_tables!$A$284:$B$285,2,FALSE)&amp;"|"&amp;VLOOKUP(Nutrients_from_current_land_use!$B$7,Value_look_up_tables!$A$242:$C$264,3,FALSE)&amp;"|"&amp;"DrainedArGr",Value_look_up_tables!$F$26:$H$238,3,FALSE))),IFERROR($B25*VLOOKUP($A25&amp;"|"&amp;VLOOKUP(Nutrients_from_current_land_use!$B$7,Value_look_up_tables!$A$242:$C$264,3,FALSE),Value_look_up_tables!$I$26:$K$230,3,FALSE),$B25*VLOOKUP($A25,Value_look_up_tables!$B$26:$M$230,12,FALSE)))))</f>
        <v>0</v>
      </c>
      <c r="E25" s="50"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$268:$B$271,2,FALSE)&amp;"|"&amp;$A25&amp;"|"&amp;VLOOKUP(Nutrients_from_current_land_use!$B$8,Value_look_up_tables!$A$284:$B$285,2,FALSE)&amp;"|"&amp;VLOOKUP(Nutrients_from_current_land_use!$B$7, Value_look_up_tables!$A$242:$C$264,3,FALSE)&amp;"|"&amp;VLOOKUP($B$6,Value_look_up_tables!$A$275:$B$280,2,FALSE)))), Value_look_up_tables!$F$26:$H$238,3,FALSE),IFERROR($B25*VLOOKUP($A25&amp;"|"&amp;VLOOKUP(Nutrients_from_current_land_use!$B$8,Value_look_up_tables!$A$162:$B$163,2,FALSE)&amp;"|"&amp;VLOOKUP(Nutrients_from_current_land_use!$B$7,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5" customHeight="1" x14ac:dyDescent="0.35">
      <c r="A26" s="56"/>
      <c r="B26" s="34"/>
      <c r="C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$268:$B$271,2,FALSE)&amp;"|"&amp;$A26&amp;"|"&amp;VLOOKUP(Nutrients_from_current_land_use!$B$8,Value_look_up_tables!$A$284:$B$285,2,FALSE)&amp;"|"&amp;VLOOKUP(Nutrients_from_current_land_use!$B$7,Value_look_up_tables!$A$242:$C$264,3,FALSE)&amp;"|"&amp;VLOOKUP($B$6,Value_look_up_tables!$A$275:$B$280,2,FALSE)))),Value_look_up_tables!$F$26:$H$238,2,FALSE),
IFERROR(IFERROR($B26*VLOOKUP($A26&amp;"|"&amp;VLOOKUP(Nutrients_from_current_land_use!$B$8,Value_look_up_tables!$A$284:$B$285,2,FALSE)&amp;"|"&amp;VLOOKUP(Nutrients_from_current_land_use!$B$7,Value_look_up_tables!$A$242:$C$264,3,FALSE)&amp;"|"&amp;VLOOKUP($B$6,Value_look_up_tables!$A$275:$B$280,2,FALSE),Value_look_up_tables!$F$26:$H$238,2,FALSE),IFERROR($B26*VLOOKUP($A26&amp;"|"&amp;"TRUE"&amp;"|"&amp;VLOOKUP(Nutrients_from_current_land_use!$B$7,Value_look_up_tables!$A$242:$C$264,3,FALSE)&amp;"|"&amp;VLOOKUP($B$6,Value_look_up_tables!$A$275:$B$280,2,FALSE),Value_look_up_tables!$F$26:$H$238,2,FALSE),$B26*VLOOKUP($A26&amp;"|"&amp;VLOOKUP(Nutrients_from_current_land_use!$B$8,Value_look_up_tables!$A$284:$B$285,2,FALSE)&amp;"|"&amp;VLOOKUP(Nutrients_from_current_land_use!$B$7,Value_look_up_tables!$A$242:$C$264,3,FALSE)&amp;"|"&amp;"DrainedArGr",Value_look_up_tables!$F$26:$H$238,2,FALSE))),IFERROR($B26*VLOOKUP($A26&amp;"|"&amp;VLOOKUP(Nutrients_from_current_land_use!$B$7,Value_look_up_tables!$A$242:$C$264,3,FALSE),Value_look_up_tables!$I$26:$K$230,2,FALSE),$B26*VLOOKUP($A26,Value_look_up_tables!$B$26:$M$230,11,FALSE)))))</f>
        <v>0</v>
      </c>
      <c r="D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$268:$B$271,2,FALSE)&amp;"|"&amp;$A26&amp;"|"&amp;VLOOKUP(Nutrients_from_current_land_use!$B$8,Value_look_up_tables!$A$284:$B$285,2,FALSE)&amp;"|"&amp;VLOOKUP(Nutrients_from_current_land_use!$B$7,Value_look_up_tables!$A$242:$C$264,3,FALSE)&amp;"|"&amp;VLOOKUP($B$6,Value_look_up_tables!$A$275:$B$280,2,FALSE)))),Value_look_up_tables!$F$26:$H$238,3,FALSE),
IFERROR(IFERROR($B26*VLOOKUP($A26&amp;"|"&amp;VLOOKUP(Nutrients_from_current_land_use!$B$8,Value_look_up_tables!$A$284:$B$285,2,FALSE)&amp;"|"&amp;VLOOKUP(Nutrients_from_current_land_use!$B$7,Value_look_up_tables!$A$242:$C$264,3,FALSE)&amp;"|"&amp;VLOOKUP($B$6,Value_look_up_tables!$A$275:$B$280,2,FALSE),Value_look_up_tables!$F$26:$H$238,3,FALSE),IFERROR($B26*VLOOKUP($A26&amp;"|"&amp;"TRUE"&amp;"|"&amp;VLOOKUP(Nutrients_from_current_land_use!$B$7,Value_look_up_tables!$A$242:$C$264,3,FALSE)&amp;"|"&amp;VLOOKUP($B$6,Value_look_up_tables!$A$275:$B$280,2,FALSE),Value_look_up_tables!$F$26:$H$238,3,FALSE),$B26*VLOOKUP($A26&amp;"|"&amp;VLOOKUP(Nutrients_from_current_land_use!$B$8,Value_look_up_tables!$A$284:$B$285,2,FALSE)&amp;"|"&amp;VLOOKUP(Nutrients_from_current_land_use!$B$7,Value_look_up_tables!$A$242:$C$264,3,FALSE)&amp;"|"&amp;"DrainedArGr",Value_look_up_tables!$F$26:$H$238,3,FALSE))),IFERROR($B26*VLOOKUP($A26&amp;"|"&amp;VLOOKUP(Nutrients_from_current_land_use!$B$7,Value_look_up_tables!$A$242:$C$264,3,FALSE),Value_look_up_tables!$I$26:$K$230,3,FALSE),$B26*VLOOKUP($A26,Value_look_up_tables!$B$26:$M$230,12,FALSE)))))</f>
        <v>0</v>
      </c>
      <c r="E26" s="50"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$268:$B$271,2,FALSE)&amp;"|"&amp;$A26&amp;"|"&amp;VLOOKUP(Nutrients_from_current_land_use!$B$8,Value_look_up_tables!$A$284:$B$285,2,FALSE)&amp;"|"&amp;VLOOKUP(Nutrients_from_current_land_use!$B$7, Value_look_up_tables!$A$242:$C$264,3,FALSE)&amp;"|"&amp;VLOOKUP($B$6,Value_look_up_tables!$A$275:$B$280,2,FALSE)))), Value_look_up_tables!$F$26:$H$238,3,FALSE),IFERROR($B26*VLOOKUP($A26&amp;"|"&amp;VLOOKUP(Nutrients_from_current_land_use!$B$8,Value_look_up_tables!$A$162:$B$163,2,FALSE)&amp;"|"&amp;VLOOKUP(Nutrients_from_current_land_use!$B$7,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5" customHeight="1" x14ac:dyDescent="0.35">
      <c r="A27" s="56"/>
      <c r="B27" s="34"/>
      <c r="C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$268:$B$271,2,FALSE)&amp;"|"&amp;$A27&amp;"|"&amp;VLOOKUP(Nutrients_from_current_land_use!$B$8,Value_look_up_tables!$A$284:$B$285,2,FALSE)&amp;"|"&amp;VLOOKUP(Nutrients_from_current_land_use!$B$7,Value_look_up_tables!$A$242:$C$264,3,FALSE)&amp;"|"&amp;VLOOKUP($B$6,Value_look_up_tables!$A$275:$B$280,2,FALSE)))),Value_look_up_tables!$F$26:$H$238,2,FALSE),
IFERROR(IFERROR($B27*VLOOKUP($A27&amp;"|"&amp;VLOOKUP(Nutrients_from_current_land_use!$B$8,Value_look_up_tables!$A$284:$B$285,2,FALSE)&amp;"|"&amp;VLOOKUP(Nutrients_from_current_land_use!$B$7,Value_look_up_tables!$A$242:$C$264,3,FALSE)&amp;"|"&amp;VLOOKUP($B$6,Value_look_up_tables!$A$275:$B$280,2,FALSE),Value_look_up_tables!$F$26:$H$238,2,FALSE),IFERROR($B27*VLOOKUP($A27&amp;"|"&amp;"TRUE"&amp;"|"&amp;VLOOKUP(Nutrients_from_current_land_use!$B$7,Value_look_up_tables!$A$242:$C$264,3,FALSE)&amp;"|"&amp;VLOOKUP($B$6,Value_look_up_tables!$A$275:$B$280,2,FALSE),Value_look_up_tables!$F$26:$H$238,2,FALSE),$B27*VLOOKUP($A27&amp;"|"&amp;VLOOKUP(Nutrients_from_current_land_use!$B$8,Value_look_up_tables!$A$284:$B$285,2,FALSE)&amp;"|"&amp;VLOOKUP(Nutrients_from_current_land_use!$B$7,Value_look_up_tables!$A$242:$C$264,3,FALSE)&amp;"|"&amp;"DrainedArGr",Value_look_up_tables!$F$26:$H$238,2,FALSE))),IFERROR($B27*VLOOKUP($A27&amp;"|"&amp;VLOOKUP(Nutrients_from_current_land_use!$B$7,Value_look_up_tables!$A$242:$C$264,3,FALSE),Value_look_up_tables!$I$26:$K$230,2,FALSE),$B27*VLOOKUP($A27,Value_look_up_tables!$B$26:$M$230,11,FALSE)))))</f>
        <v>0</v>
      </c>
      <c r="D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$268:$B$271,2,FALSE)&amp;"|"&amp;$A27&amp;"|"&amp;VLOOKUP(Nutrients_from_current_land_use!$B$8,Value_look_up_tables!$A$284:$B$285,2,FALSE)&amp;"|"&amp;VLOOKUP(Nutrients_from_current_land_use!$B$7,Value_look_up_tables!$A$242:$C$264,3,FALSE)&amp;"|"&amp;VLOOKUP($B$6,Value_look_up_tables!$A$275:$B$280,2,FALSE)))),Value_look_up_tables!$F$26:$H$238,3,FALSE),
IFERROR(IFERROR($B27*VLOOKUP($A27&amp;"|"&amp;VLOOKUP(Nutrients_from_current_land_use!$B$8,Value_look_up_tables!$A$284:$B$285,2,FALSE)&amp;"|"&amp;VLOOKUP(Nutrients_from_current_land_use!$B$7,Value_look_up_tables!$A$242:$C$264,3,FALSE)&amp;"|"&amp;VLOOKUP($B$6,Value_look_up_tables!$A$275:$B$280,2,FALSE),Value_look_up_tables!$F$26:$H$238,3,FALSE),IFERROR($B27*VLOOKUP($A27&amp;"|"&amp;"TRUE"&amp;"|"&amp;VLOOKUP(Nutrients_from_current_land_use!$B$7,Value_look_up_tables!$A$242:$C$264,3,FALSE)&amp;"|"&amp;VLOOKUP($B$6,Value_look_up_tables!$A$275:$B$280,2,FALSE),Value_look_up_tables!$F$26:$H$238,3,FALSE),$B27*VLOOKUP($A27&amp;"|"&amp;VLOOKUP(Nutrients_from_current_land_use!$B$8,Value_look_up_tables!$A$284:$B$285,2,FALSE)&amp;"|"&amp;VLOOKUP(Nutrients_from_current_land_use!$B$7,Value_look_up_tables!$A$242:$C$264,3,FALSE)&amp;"|"&amp;"DrainedArGr",Value_look_up_tables!$F$26:$H$238,3,FALSE))),IFERROR($B27*VLOOKUP($A27&amp;"|"&amp;VLOOKUP(Nutrients_from_current_land_use!$B$7,Value_look_up_tables!$A$242:$C$264,3,FALSE),Value_look_up_tables!$I$26:$K$230,3,FALSE),$B27*VLOOKUP($A27,Value_look_up_tables!$B$26:$M$230,12,FALSE)))))</f>
        <v>0</v>
      </c>
      <c r="E27" s="50"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$268:$B$271,2,FALSE)&amp;"|"&amp;$A27&amp;"|"&amp;VLOOKUP(Nutrients_from_current_land_use!$B$8,Value_look_up_tables!$A$284:$B$285,2,FALSE)&amp;"|"&amp;VLOOKUP(Nutrients_from_current_land_use!$B$7, Value_look_up_tables!$A$242:$C$264,3,FALSE)&amp;"|"&amp;VLOOKUP($B$6,Value_look_up_tables!$A$275:$B$280,2,FALSE)))), Value_look_up_tables!$F$26:$H$238,3,FALSE),IFERROR($B27*VLOOKUP($A27&amp;"|"&amp;VLOOKUP(Nutrients_from_current_land_use!$B$8,Value_look_up_tables!$A$162:$B$163,2,FALSE)&amp;"|"&amp;VLOOKUP(Nutrients_from_current_land_use!$B$7,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35">
      <c r="A28" s="3" t="s">
        <v>94</v>
      </c>
      <c r="B28" s="43">
        <f>SUM(B11:B27)</f>
        <v>0</v>
      </c>
      <c r="C28" s="43">
        <f>SUM(C11:C27)</f>
        <v>0</v>
      </c>
      <c r="D28" s="43">
        <f>SUM(D11:D27)</f>
        <v>0</v>
      </c>
      <c r="E28" s="57"/>
    </row>
    <row r="30" spans="1:7" x14ac:dyDescent="0.35">
      <c r="G30" s="51"/>
    </row>
  </sheetData>
  <sheetProtection algorithmName="SHA-512" hashValue="JTF1rmAXKaUp8aixp2kiRHFFsibsIH0UckB96TfEXwcjPCthUwXN83TO15TcbG8XJA9QGcGBWZpRL3nM1FbN7Q==" saltValue="HIYJnaCi9TAR73O5bgTak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Value_look_up_tables!$A$268:$A$271</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Value_look_up_tables!$A$244:$A$257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Value_look_up_tables!$A$284:$A$285</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Value_look_up_tables!$A$275:$A$280</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Value_look_up_tables!$A$309:$A$322</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796875" defaultRowHeight="14" x14ac:dyDescent="0.3"/>
  <cols>
    <col min="1" max="1" width="65.7265625" style="59" customWidth="1"/>
    <col min="2" max="2" width="20.7265625" style="59" customWidth="1"/>
    <col min="3" max="3" width="25.453125" style="59" customWidth="1"/>
    <col min="4" max="4" width="23" style="59" customWidth="1"/>
    <col min="5" max="474" width="8.54296875" style="59" customWidth="1"/>
    <col min="475" max="16384" width="9.1796875" style="59"/>
  </cols>
  <sheetData>
    <row r="1" spans="1:4" ht="50.25" customHeight="1" x14ac:dyDescent="0.3">
      <c r="A1" s="36" t="s">
        <v>16</v>
      </c>
      <c r="B1" s="58"/>
      <c r="C1" s="58"/>
      <c r="D1" s="58"/>
    </row>
    <row r="2" spans="1:4" s="61" customFormat="1" ht="337.5" customHeight="1" x14ac:dyDescent="0.35">
      <c r="A2" s="93" t="s">
        <v>95</v>
      </c>
      <c r="B2" s="18"/>
      <c r="C2" s="60"/>
      <c r="D2" s="60"/>
    </row>
    <row r="3" spans="1:4" ht="52.5" customHeight="1" x14ac:dyDescent="0.4">
      <c r="A3" s="7" t="s">
        <v>96</v>
      </c>
      <c r="B3" s="62"/>
      <c r="C3" s="62"/>
      <c r="D3" s="62"/>
    </row>
    <row r="4" spans="1:4" s="61" customFormat="1" ht="54" customHeight="1" x14ac:dyDescent="0.35">
      <c r="A4" s="90" t="s">
        <v>97</v>
      </c>
      <c r="B4" s="90" t="s">
        <v>90</v>
      </c>
      <c r="C4" s="70" t="s">
        <v>98</v>
      </c>
      <c r="D4" s="70" t="s">
        <v>99</v>
      </c>
    </row>
    <row r="5" spans="1:4" s="61" customFormat="1" ht="23.25" customHeight="1" x14ac:dyDescent="0.35">
      <c r="A5" s="67"/>
      <c r="B5" s="34"/>
      <c r="C5" s="63">
        <f>IFERROR(IF(OR(ISBLANK(A5),ISBLANK(B5)),0,B5*VLOOKUP((IF(OR(A5="Residential urban land",A5="Commercial/industrial urban land",A5="Open urban land",A5="Greenspace",A5="Community food growing",A5="Woodland",A5="Shrub", A5="Water"), "|||"&amp;A5, (VLOOKUP(Nutrients_from_current_land_use!$B$5,Value_look_up_tables!$A$271:$B$271,2,FALSE)&amp;"|"&amp;A5&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5" s="63">
        <f>IFERROR(IF(OR(ISBLANK(A5),ISBLANK(B5)),0,B5*VLOOKUP((IF(OR(A5="Residential urban land",A5="Commercial/industrial urban land",A5="Open urban land",A5="Greenspace",A5="Community food growing",A5="Woodland",A5="Shrub", A5="Water"), "|||"&amp;A5, (VLOOKUP(Nutrients_from_current_land_use!$B$5,Value_look_up_tables!$A$271:$B$271,2,FALSE)&amp;"|"&amp;A5&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6" spans="1:4" s="61" customFormat="1" ht="23.25" customHeight="1" x14ac:dyDescent="0.35">
      <c r="A6" s="68"/>
      <c r="B6" s="69"/>
      <c r="C6" s="63">
        <f>IFERROR(IF(OR(ISBLANK(A6),ISBLANK(B6)),0,B6*VLOOKUP((IF(OR(A6="Residential urban land",A6="Commercial/industrial urban land",A6="Open urban land",A6="Greenspace",A6="Community food growing",A6="Woodland",A6="Shrub", A6="Water"), "|||"&amp;A6, (VLOOKUP(Nutrients_from_current_land_use!$B$5,Value_look_up_tables!$A$271:$B$271,2,FALSE)&amp;"|"&amp;A6&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6" s="63">
        <f>IFERROR(IF(OR(ISBLANK(A6),ISBLANK(B6)),0,B6*VLOOKUP((IF(OR(A6="Residential urban land",A6="Commercial/industrial urban land",A6="Open urban land",A6="Greenspace",A6="Community food growing",A6="Woodland",A6="Shrub", A6="Water"), "|||"&amp;A6, (VLOOKUP(Nutrients_from_current_land_use!$B$5,Value_look_up_tables!$A$271:$B$271,2,FALSE)&amp;"|"&amp;A6&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7" spans="1:4" s="61" customFormat="1" ht="23.25" customHeight="1" x14ac:dyDescent="0.35">
      <c r="A7" s="68"/>
      <c r="B7" s="69"/>
      <c r="C7" s="63">
        <f>IFERROR(IF(OR(ISBLANK(A7),ISBLANK(B7)),0,B7*VLOOKUP((IF(OR(A7="Residential urban land",A7="Commercial/industrial urban land",A7="Open urban land",A7="Greenspace",A7="Community food growing",A7="Woodland",A7="Shrub", A7="Water"), "|||"&amp;A7, (VLOOKUP(Nutrients_from_current_land_use!$B$5,Value_look_up_tables!$A$271:$B$271,2,FALSE)&amp;"|"&amp;A7&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7" s="63">
        <f>IFERROR(IF(OR(ISBLANK(A7),ISBLANK(B7)),0,B7*VLOOKUP((IF(OR(A7="Residential urban land",A7="Commercial/industrial urban land",A7="Open urban land",A7="Greenspace",A7="Community food growing",A7="Woodland",A7="Shrub", A7="Water"), "|||"&amp;A7, (VLOOKUP(Nutrients_from_current_land_use!$B$5,Value_look_up_tables!$A$271:$B$271,2,FALSE)&amp;"|"&amp;A7&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8" spans="1:4" s="61" customFormat="1" ht="23.25" customHeight="1" x14ac:dyDescent="0.35">
      <c r="A8" s="68"/>
      <c r="B8" s="69"/>
      <c r="C8" s="63">
        <f>IFERROR(IF(OR(ISBLANK(A8),ISBLANK(B8)),0,B8*VLOOKUP((IF(OR(A8="Residential urban land",A8="Commercial/industrial urban land",A8="Open urban land",A8="Greenspace",A8="Community food growing",A8="Woodland",A8="Shrub", A8="Water"), "|||"&amp;A8, (VLOOKUP(Nutrients_from_current_land_use!$B$5,Value_look_up_tables!$A$271:$B$271,2,FALSE)&amp;"|"&amp;A8&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8" s="63">
        <f>IFERROR(IF(OR(ISBLANK(A8),ISBLANK(B8)),0,B8*VLOOKUP((IF(OR(A8="Residential urban land",A8="Commercial/industrial urban land",A8="Open urban land",A8="Greenspace",A8="Community food growing",A8="Woodland",A8="Shrub", A8="Water"), "|||"&amp;A8, (VLOOKUP(Nutrients_from_current_land_use!$B$5,Value_look_up_tables!$A$271:$B$271,2,FALSE)&amp;"|"&amp;A8&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9" spans="1:4" s="61" customFormat="1" ht="23.25" customHeight="1" x14ac:dyDescent="0.35">
      <c r="A9" s="68"/>
      <c r="B9" s="69"/>
      <c r="C9" s="63">
        <f>IFERROR(IF(OR(ISBLANK(A9),ISBLANK(B9)),0,B9*VLOOKUP((IF(OR(A9="Residential urban land",A9="Commercial/industrial urban land",A9="Open urban land",A9="Greenspace",A9="Community food growing",A9="Woodland",A9="Shrub", A9="Water"), "|||"&amp;A9, (VLOOKUP(Nutrients_from_current_land_use!$B$5,Value_look_up_tables!$A$271:$B$271,2,FALSE)&amp;"|"&amp;A9&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9" s="63">
        <f>IFERROR(IF(OR(ISBLANK(A9),ISBLANK(B9)),0,B9*VLOOKUP((IF(OR(A9="Residential urban land",A9="Commercial/industrial urban land",A9="Open urban land",A9="Greenspace",A9="Community food growing",A9="Woodland",A9="Shrub", A9="Water"), "|||"&amp;A9, (VLOOKUP(Nutrients_from_current_land_use!$B$5,Value_look_up_tables!$A$271:$B$271,2,FALSE)&amp;"|"&amp;A9&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0" spans="1:4" s="61" customFormat="1" ht="23.25" customHeight="1" x14ac:dyDescent="0.35">
      <c r="A10" s="68"/>
      <c r="B10" s="69"/>
      <c r="C10" s="63">
        <f>IFERROR(IF(OR(ISBLANK(A10),ISBLANK(B10)),0,B10*VLOOKUP((IF(OR(A10="Residential urban land",A10="Commercial/industrial urban land",A10="Open urban land",A10="Greenspace",A10="Community food growing",A10="Woodland",A10="Shrub", A10="Water"), "|||"&amp;A10, (VLOOKUP(Nutrients_from_current_land_use!$B$5,Value_look_up_tables!$A$271:$B$271,2,FALSE)&amp;"|"&amp;A10&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0" s="63">
        <f>IFERROR(IF(OR(ISBLANK(A10),ISBLANK(B10)),0,B10*VLOOKUP((IF(OR(A10="Residential urban land",A10="Commercial/industrial urban land",A10="Open urban land",A10="Greenspace",A10="Community food growing",A10="Woodland",A10="Shrub", A10="Water"), "|||"&amp;A10, (VLOOKUP(Nutrients_from_current_land_use!$B$5,Value_look_up_tables!$A$271:$B$271,2,FALSE)&amp;"|"&amp;A10&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1" spans="1:4" s="61" customFormat="1" ht="23.25" customHeight="1" x14ac:dyDescent="0.35">
      <c r="A11" s="68"/>
      <c r="B11" s="69"/>
      <c r="C11" s="63">
        <f>IFERROR(IF(OR(ISBLANK(A11),ISBLANK(B11)),0,B11*VLOOKUP((IF(OR(A11="Residential urban land",A11="Commercial/industrial urban land",A11="Open urban land",A11="Greenspace",A11="Community food growing",A11="Woodland",A11="Shrub", A11="Water"), "|||"&amp;A11, (VLOOKUP(Nutrients_from_current_land_use!$B$5,Value_look_up_tables!$A$271:$B$271,2,FALSE)&amp;"|"&amp;A11&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1" s="63">
        <f>IFERROR(IF(OR(ISBLANK(A11),ISBLANK(B11)),0,B11*VLOOKUP((IF(OR(A11="Residential urban land",A11="Commercial/industrial urban land",A11="Open urban land",A11="Greenspace",A11="Community food growing",A11="Woodland",A11="Shrub", A11="Water"), "|||"&amp;A11, (VLOOKUP(Nutrients_from_current_land_use!$B$5,Value_look_up_tables!$A$271:$B$271,2,FALSE)&amp;"|"&amp;A11&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2" spans="1:4" s="61" customFormat="1" ht="23.25" customHeight="1" x14ac:dyDescent="0.35">
      <c r="A12" s="68"/>
      <c r="B12" s="69"/>
      <c r="C12" s="63">
        <f>IFERROR(IF(OR(ISBLANK(A12),ISBLANK(B12)),0,B12*VLOOKUP((IF(OR(A12="Residential urban land",A12="Commercial/industrial urban land",A12="Open urban land",A12="Greenspace",A12="Community food growing",A12="Woodland",A12="Shrub", A12="Water"), "|||"&amp;A12, (VLOOKUP(Nutrients_from_current_land_use!$B$5,Value_look_up_tables!$A$271:$B$271,2,FALSE)&amp;"|"&amp;A12&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2" s="63">
        <f>IFERROR(IF(OR(ISBLANK(A12),ISBLANK(B12)),0,B12*VLOOKUP((IF(OR(A12="Residential urban land",A12="Commercial/industrial urban land",A12="Open urban land",A12="Greenspace",A12="Community food growing",A12="Woodland",A12="Shrub", A12="Water"), "|||"&amp;A12, (VLOOKUP(Nutrients_from_current_land_use!$B$5,Value_look_up_tables!$A$271:$B$271,2,FALSE)&amp;"|"&amp;A12&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3" spans="1:4" s="61" customFormat="1" ht="23.25" customHeight="1" x14ac:dyDescent="0.35">
      <c r="A13" s="68"/>
      <c r="B13" s="69"/>
      <c r="C13" s="63">
        <f>IFERROR(IF(OR(ISBLANK(A13),ISBLANK(B13)),0,B13*VLOOKUP((IF(OR(A13="Residential urban land",A13="Commercial/industrial urban land",A13="Open urban land",A13="Greenspace",A13="Community food growing",A13="Woodland",A13="Shrub", A13="Water"), "|||"&amp;A13, (VLOOKUP(Nutrients_from_current_land_use!$B$5,Value_look_up_tables!$A$271:$B$271,2,FALSE)&amp;"|"&amp;A13&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3" s="63">
        <f>IFERROR(IF(OR(ISBLANK(A13),ISBLANK(B13)),0,B13*VLOOKUP((IF(OR(A13="Residential urban land",A13="Commercial/industrial urban land",A13="Open urban land",A13="Greenspace",A13="Community food growing",A13="Woodland",A13="Shrub", A13="Water"), "|||"&amp;A13, (VLOOKUP(Nutrients_from_current_land_use!$B$5,Value_look_up_tables!$A$271:$B$271,2,FALSE)&amp;"|"&amp;A13&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4" spans="1:4" s="61" customFormat="1" ht="23.25" customHeight="1" x14ac:dyDescent="0.35">
      <c r="A14" s="68"/>
      <c r="B14" s="69"/>
      <c r="C14" s="63">
        <f>IFERROR(IF(OR(ISBLANK(A14),ISBLANK(B14)),0,B14*VLOOKUP((IF(OR(A14="Residential urban land",A14="Commercial/industrial urban land",A14="Open urban land",A14="Greenspace",A14="Community food growing",A14="Woodland",A14="Shrub", A14="Water"), "|||"&amp;A14, (VLOOKUP(Nutrients_from_current_land_use!$B$5,Value_look_up_tables!$A$271:$B$271,2,FALSE)&amp;"|"&amp;A14&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4" s="63">
        <f>IFERROR(IF(OR(ISBLANK(A14),ISBLANK(B14)),0,B14*VLOOKUP((IF(OR(A14="Residential urban land",A14="Commercial/industrial urban land",A14="Open urban land",A14="Greenspace",A14="Community food growing",A14="Woodland",A14="Shrub", A14="Water"), "|||"&amp;A14, (VLOOKUP(Nutrients_from_current_land_use!$B$5,Value_look_up_tables!$A$271:$B$271,2,FALSE)&amp;"|"&amp;A14&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5" spans="1:4" s="61" customFormat="1" ht="23.25" customHeight="1" x14ac:dyDescent="0.35">
      <c r="A15" s="68"/>
      <c r="B15" s="69"/>
      <c r="C15" s="63">
        <f>IFERROR(IF(OR(ISBLANK(A15),ISBLANK(B15)),0,B15*VLOOKUP((IF(OR(A15="Residential urban land",A15="Commercial/industrial urban land",A15="Open urban land",A15="Greenspace",A15="Community food growing",A15="Woodland",A15="Shrub", A15="Water"), "|||"&amp;A15, (VLOOKUP(Nutrients_from_current_land_use!$B$5,Value_look_up_tables!$A$271:$B$271,2,FALSE)&amp;"|"&amp;A15&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5" s="63">
        <f>IFERROR(IF(OR(ISBLANK(A15),ISBLANK(B15)),0,B15*VLOOKUP((IF(OR(A15="Residential urban land",A15="Commercial/industrial urban land",A15="Open urban land",A15="Greenspace",A15="Community food growing",A15="Woodland",A15="Shrub", A15="Water"), "|||"&amp;A15, (VLOOKUP(Nutrients_from_current_land_use!$B$5,Value_look_up_tables!$A$271:$B$271,2,FALSE)&amp;"|"&amp;A15&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6" spans="1:4" s="61" customFormat="1" ht="23.25" customHeight="1" x14ac:dyDescent="0.35">
      <c r="A16" s="68"/>
      <c r="B16" s="69"/>
      <c r="C16" s="63">
        <f>IFERROR(IF(OR(ISBLANK(A16),ISBLANK(B16)),0,B16*VLOOKUP((IF(OR(A16="Residential urban land",A16="Commercial/industrial urban land",A16="Open urban land",A16="Greenspace",A16="Community food growing",A16="Woodland",A16="Shrub", A16="Water"), "|||"&amp;A16, (VLOOKUP(Nutrients_from_current_land_use!$B$5,Value_look_up_tables!$A$271:$B$271,2,FALSE)&amp;"|"&amp;A16&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6" s="63">
        <f>IFERROR(IF(OR(ISBLANK(A16),ISBLANK(B16)),0,B16*VLOOKUP((IF(OR(A16="Residential urban land",A16="Commercial/industrial urban land",A16="Open urban land",A16="Greenspace",A16="Community food growing",A16="Woodland",A16="Shrub", A16="Water"), "|||"&amp;A16, (VLOOKUP(Nutrients_from_current_land_use!$B$5,Value_look_up_tables!$A$271:$B$271,2,FALSE)&amp;"|"&amp;A16&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7" spans="1:6" s="61" customFormat="1" ht="23.25" customHeight="1" x14ac:dyDescent="0.35">
      <c r="A17" s="68"/>
      <c r="B17" s="69"/>
      <c r="C17" s="63">
        <f>IFERROR(IF(OR(ISBLANK(A17),ISBLANK(B17)),0,B17*VLOOKUP((IF(OR(A17="Residential urban land",A17="Commercial/industrial urban land",A17="Open urban land",A17="Greenspace",A17="Community food growing",A17="Woodland",A17="Shrub", A17="Water"), "|||"&amp;A17, (VLOOKUP(Nutrients_from_current_land_use!$B$5,Value_look_up_tables!$A$271:$B$271,2,FALSE)&amp;"|"&amp;A17&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7" s="63">
        <f>IFERROR(IF(OR(ISBLANK(A17),ISBLANK(B17)),0,B17*VLOOKUP((IF(OR(A17="Residential urban land",A17="Commercial/industrial urban land",A17="Open urban land",A17="Greenspace",A17="Community food growing",A17="Woodland",A17="Shrub", A17="Water"), "|||"&amp;A17, (VLOOKUP(Nutrients_from_current_land_use!$B$5,Value_look_up_tables!$A$271:$B$271,2,FALSE)&amp;"|"&amp;A17&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8" spans="1:6" s="61" customFormat="1" ht="23.25" customHeight="1" x14ac:dyDescent="0.35">
      <c r="A18" s="68"/>
      <c r="B18" s="69"/>
      <c r="C18" s="63">
        <f>IFERROR(IF(OR(ISBLANK(A18),ISBLANK(B18)),0,B18*VLOOKUP((IF(OR(A18="Residential urban land",A18="Commercial/industrial urban land",A18="Open urban land",A18="Greenspace",A18="Community food growing",A18="Woodland",A18="Shrub", A18="Water"), "|||"&amp;A18, (VLOOKUP(Nutrients_from_current_land_use!$B$5,Value_look_up_tables!$A$271:$B$271,2,FALSE)&amp;"|"&amp;A18&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8" s="63">
        <f>IFERROR(IF(OR(ISBLANK(A18),ISBLANK(B18)),0,B18*VLOOKUP((IF(OR(A18="Residential urban land",A18="Commercial/industrial urban land",A18="Open urban land",A18="Greenspace",A18="Community food growing",A18="Woodland",A18="Shrub", A18="Water"), "|||"&amp;A18, (VLOOKUP(Nutrients_from_current_land_use!$B$5,Value_look_up_tables!$A$271:$B$271,2,FALSE)&amp;"|"&amp;A18&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9" spans="1:6" s="61" customFormat="1" ht="23.25" customHeight="1" x14ac:dyDescent="0.35">
      <c r="A19" s="68"/>
      <c r="B19" s="69"/>
      <c r="C19" s="63">
        <f>IFERROR(IF(OR(ISBLANK(A19),ISBLANK(B19)),0,B19*VLOOKUP((IF(OR(A19="Residential urban land",A19="Commercial/industrial urban land",A19="Open urban land",A19="Greenspace",A19="Community food growing",A19="Woodland",A19="Shrub", A19="Water"), "|||"&amp;A19, (VLOOKUP(Nutrients_from_current_land_use!$B$5,Value_look_up_tables!$A$271:$B$271,2,FALSE)&amp;"|"&amp;A19&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9" s="63">
        <f>IFERROR(IF(OR(ISBLANK(A19),ISBLANK(B19)),0,B19*VLOOKUP((IF(OR(A19="Residential urban land",A19="Commercial/industrial urban land",A19="Open urban land",A19="Greenspace",A19="Community food growing",A19="Woodland",A19="Shrub", A19="Water"), "|||"&amp;A19, (VLOOKUP(Nutrients_from_current_land_use!$B$5,Value_look_up_tables!$A$271:$B$271,2,FALSE)&amp;"|"&amp;A19&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20" spans="1:6" s="61" customFormat="1" ht="23.25" customHeight="1" x14ac:dyDescent="0.35">
      <c r="A20" s="68"/>
      <c r="B20" s="69"/>
      <c r="C20" s="63">
        <f>IFERROR(IF(OR(ISBLANK(A20),ISBLANK(B20)),0,B20*VLOOKUP((IF(OR(A20="Residential urban land",A20="Commercial/industrial urban land",A20="Open urban land",A20="Greenspace",A20="Community food growing",A20="Woodland",A20="Shrub", A20="Water"), "|||"&amp;A20, (VLOOKUP(Nutrients_from_current_land_use!$B$5,Value_look_up_tables!$A$271:$B$271,2,FALSE)&amp;"|"&amp;A20&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20" s="63">
        <f>IFERROR(IF(OR(ISBLANK(A20),ISBLANK(B20)),0,B20*VLOOKUP((IF(OR(A20="Residential urban land",A20="Commercial/industrial urban land",A20="Open urban land",A20="Greenspace",A20="Community food growing",A20="Woodland",A20="Shrub", A20="Water"), "|||"&amp;A20, (VLOOKUP(Nutrients_from_current_land_use!$B$5,Value_look_up_tables!$A$271:$B$271,2,FALSE)&amp;"|"&amp;A20&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c r="F20" s="65"/>
    </row>
    <row r="21" spans="1:6" s="61" customFormat="1" ht="23.25" customHeight="1" x14ac:dyDescent="0.35">
      <c r="A21" s="68"/>
      <c r="B21" s="69"/>
      <c r="C21" s="63">
        <f>IFERROR(IF(OR(ISBLANK(A21),ISBLANK(B21)),0,B21*VLOOKUP((IF(OR(A21="Residential urban land",A21="Commercial/industrial urban land",A21="Open urban land",A21="Greenspace",A21="Community food growing",A21="Woodland",A21="Shrub", A21="Water"), "|||"&amp;A21, (VLOOKUP(Nutrients_from_current_land_use!$B$5,Value_look_up_tables!$A$271:$B$271,2,FALSE)&amp;"|"&amp;A21&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21" s="63">
        <f>IFERROR(IF(OR(ISBLANK(A21),ISBLANK(B21)),0,B21*VLOOKUP((IF(OR(A21="Residential urban land",A21="Commercial/industrial urban land",A21="Open urban land",A21="Greenspace",A21="Community food growing",A21="Woodland",A21="Shrub", A21="Water"), "|||"&amp;A21, (VLOOKUP(Nutrients_from_current_land_use!$B$5,Value_look_up_tables!$A$271:$B$271,2,FALSE)&amp;"|"&amp;A21&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22" spans="1:6" s="61" customFormat="1" ht="23.25" customHeight="1" x14ac:dyDescent="0.35">
      <c r="A22" s="71" t="s">
        <v>94</v>
      </c>
      <c r="B22" s="64">
        <f>SUM(B5:B21)</f>
        <v>0</v>
      </c>
      <c r="C22" s="64">
        <f>SUM(C5:C21)</f>
        <v>0</v>
      </c>
      <c r="D22" s="64">
        <f>SUM(D5:D21)</f>
        <v>0</v>
      </c>
    </row>
  </sheetData>
  <sheetProtection algorithmName="SHA-512" hashValue="9L1EiSocQnrm8Eg54G4q2JFbjHwU34a8tsGOldWo4psq1yavhxSVUEFnQnYPD7ORkCLt32SPfCrMxUHTzr1T2A==" saltValue="I8KTJ4/y6sLZ0Xta5mAuY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Value_look_up_tables!$A$298:$A$305</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796875" defaultRowHeight="14" x14ac:dyDescent="0.35"/>
  <cols>
    <col min="1" max="1" width="138.81640625" style="72" customWidth="1"/>
    <col min="2" max="3" width="19.81640625" style="72" customWidth="1"/>
    <col min="4" max="4" width="24.81640625" style="72" customWidth="1"/>
    <col min="5" max="5" width="19.54296875" style="72" customWidth="1"/>
    <col min="6" max="6" width="60.81640625" style="72" customWidth="1"/>
    <col min="7" max="7" width="21.81640625" style="72" customWidth="1"/>
    <col min="8" max="8" width="23" style="72" customWidth="1"/>
    <col min="9" max="10" width="23.7265625" style="72" customWidth="1"/>
    <col min="11" max="11" width="100.453125" style="72" customWidth="1"/>
    <col min="12" max="474" width="8.54296875" style="72" customWidth="1"/>
    <col min="475" max="16384" width="9.1796875" style="72"/>
  </cols>
  <sheetData>
    <row r="1" spans="1:14" ht="67.5" customHeight="1" x14ac:dyDescent="0.35">
      <c r="A1" s="36" t="s">
        <v>100</v>
      </c>
      <c r="B1" s="58"/>
      <c r="C1" s="58"/>
      <c r="D1" s="58"/>
      <c r="E1" s="58"/>
    </row>
    <row r="2" spans="1:14" s="17" customFormat="1" ht="409.6" customHeight="1" x14ac:dyDescent="0.35">
      <c r="A2" s="93" t="s">
        <v>101</v>
      </c>
      <c r="B2" s="18"/>
      <c r="C2" s="18"/>
      <c r="D2" s="18"/>
      <c r="E2" s="18"/>
    </row>
    <row r="3" spans="1:14" s="17" customFormat="1" ht="61.5" customHeight="1" x14ac:dyDescent="0.35">
      <c r="A3" s="92" t="s">
        <v>102</v>
      </c>
      <c r="B3" s="18"/>
      <c r="C3" s="18"/>
      <c r="D3" s="18"/>
      <c r="E3" s="18"/>
    </row>
    <row r="4" spans="1:14" s="17" customFormat="1" ht="62" x14ac:dyDescent="0.35">
      <c r="A4" s="1" t="s">
        <v>103</v>
      </c>
      <c r="B4" s="2" t="s">
        <v>104</v>
      </c>
      <c r="C4" s="2" t="s">
        <v>105</v>
      </c>
      <c r="D4" s="2" t="s">
        <v>106</v>
      </c>
      <c r="E4" s="2" t="s">
        <v>107</v>
      </c>
      <c r="F4" s="2" t="s">
        <v>108</v>
      </c>
      <c r="G4" s="2" t="s">
        <v>109</v>
      </c>
      <c r="H4" s="2" t="s">
        <v>110</v>
      </c>
      <c r="I4" s="2" t="s">
        <v>111</v>
      </c>
      <c r="J4" s="2" t="s">
        <v>112</v>
      </c>
      <c r="K4" s="89" t="s">
        <v>93</v>
      </c>
    </row>
    <row r="5" spans="1:14" s="17" customFormat="1" ht="28.5" customHeight="1" x14ac:dyDescent="0.35">
      <c r="A5" s="67"/>
      <c r="B5" s="34"/>
      <c r="C5" s="75"/>
      <c r="D5" s="63">
        <f>IFERROR(IF(ISBLANK(A5),0,IF(ISBLANK(B5),0,VLOOKUP(A5,Nutrients_from_future_land_use!$A$5:$D$21,3,FALSE)*(B5/VLOOKUP(A5,Nutrients_from_future_land_use!$A$5:$D$21,2,FALSE)))),0)</f>
        <v>0</v>
      </c>
      <c r="E5" s="63">
        <f>IFERROR(IF(ISBLANK(A5),0,IF(ISBLANK(B5),0,VLOOKUP(A5,Nutrients_from_future_land_use!$A$5:$D$21,4,FALSE)*(B5/VLOOKUP(A5,Nutrients_from_future_land_use!$A$5:$D$21,2,FALSE)))),0)</f>
        <v>0</v>
      </c>
      <c r="F5" s="75"/>
      <c r="G5" s="75"/>
      <c r="H5" s="75"/>
      <c r="I5" s="63">
        <f>IFERROR(IF(OR(ISBLANK($A5),ISBLANK($B5),ISBLANK($G5)),0,$C5/100*D5*G5/100),0)</f>
        <v>0</v>
      </c>
      <c r="J5" s="63">
        <f>IFERROR(IF(OR(ISBLANK($A5),ISBLANK($B5),ISBLANK($H5)),0,$C5/100*E5*H5/100),0)</f>
        <v>0</v>
      </c>
      <c r="K5" s="17" t="str">
        <f>IF(SUMIFS($B$5:$B$29,$A$5:$A$29,A5)&gt;SUMIFS(Nutrients_from_future_land_use!$B$5:$B$21,Nutrients_from_future_land_use!$A$5:$A$21,A5),"Area of new land covers within SuDS catchment area exceeds the area of new land covers proposed","Not applicable")</f>
        <v>Not applicable</v>
      </c>
    </row>
    <row r="6" spans="1:14" s="17" customFormat="1" ht="28.5" customHeight="1" x14ac:dyDescent="0.35">
      <c r="A6" s="68"/>
      <c r="B6" s="69"/>
      <c r="C6" s="75"/>
      <c r="D6" s="63">
        <f>IFERROR(IF(ISBLANK(A6),0,IF(ISBLANK(B6),0,VLOOKUP(A6,Nutrients_from_future_land_use!$A$5:$D$21,3,FALSE)*(B6/VLOOKUP(A6,Nutrients_from_future_land_use!$A$5:$D$21,2,FALSE)))),0)</f>
        <v>0</v>
      </c>
      <c r="E6" s="63">
        <f>IFERROR(IF(ISBLANK(A6),0,IF(ISBLANK(B6),0,VLOOKUP(A6,Nutrients_from_future_land_use!$A$5:$D$21,4,FALSE)*(B6/VLOOKUP(A6,Nutrients_from_future_land_use!$A$5:$D$21,2,FALSE)))),0)</f>
        <v>0</v>
      </c>
      <c r="F6" s="75"/>
      <c r="G6" s="75"/>
      <c r="H6" s="75"/>
      <c r="I6" s="63">
        <f t="shared" ref="I6:I29" si="0">IFERROR(IF(OR(ISBLANK($A6),ISBLANK($B6),ISBLANK($G6)),0,$C6/100*D6*G6/100),0)</f>
        <v>0</v>
      </c>
      <c r="J6" s="63">
        <f t="shared" ref="J6:J29" si="1">IFERROR(IF(OR(ISBLANK($A6),ISBLANK($B6),ISBLANK($H6)),0,$C6/100*E6*H6/100),0)</f>
        <v>0</v>
      </c>
      <c r="K6" s="17" t="str">
        <f>IF(SUMIFS($B$5:$B$29,$A$5:$A$29,A6)&gt;SUMIFS(Nutrients_from_future_land_use!$B$5:$B$21,Nutrients_from_future_land_use!$A$5:$A$21,A6),"Area of new land covers within SuDS catchment area exceeds the area of new land covers proposed","Not applicable")</f>
        <v>Not applicable</v>
      </c>
    </row>
    <row r="7" spans="1:14" s="17" customFormat="1" ht="28.5" customHeight="1" x14ac:dyDescent="0.35">
      <c r="A7" s="68"/>
      <c r="B7" s="69"/>
      <c r="C7" s="75"/>
      <c r="D7" s="63">
        <f>IFERROR(IF(ISBLANK(A7),0,IF(ISBLANK(B7),0,VLOOKUP(A7,Nutrients_from_future_land_use!$A$5:$D$21,3,FALSE)*(B7/VLOOKUP(A7,Nutrients_from_future_land_use!$A$5:$D$21,2,FALSE)))),0)</f>
        <v>0</v>
      </c>
      <c r="E7" s="63">
        <f>IFERROR(IF(ISBLANK(A7),0,IF(ISBLANK(B7),0,VLOOKUP(A7,Nutrients_from_future_land_use!$A$5:$D$21,4,FALSE)*(B7/VLOOKUP(A7,Nutrients_from_future_land_use!$A$5:$D$21,2,FALSE)))),0)</f>
        <v>0</v>
      </c>
      <c r="F7" s="75"/>
      <c r="G7" s="75"/>
      <c r="H7" s="75"/>
      <c r="I7" s="63">
        <f t="shared" si="0"/>
        <v>0</v>
      </c>
      <c r="J7" s="63">
        <f t="shared" si="1"/>
        <v>0</v>
      </c>
      <c r="K7" s="17" t="str">
        <f>IF(SUMIFS($B$5:$B$29,$A$5:$A$29,A7)&gt;SUMIFS(Nutrients_from_future_land_use!$B$5:$B$21,Nutrients_from_future_land_use!$A$5:$A$21,A7),"Area of new land covers within SuDS catchment area exceeds the area of new land covers proposed","Not applicable")</f>
        <v>Not applicable</v>
      </c>
    </row>
    <row r="8" spans="1:14" s="17" customFormat="1" ht="28.5" customHeight="1" x14ac:dyDescent="0.35">
      <c r="A8" s="68"/>
      <c r="B8" s="69"/>
      <c r="C8" s="75"/>
      <c r="D8" s="63">
        <f>IFERROR(IF(ISBLANK(A8),0,IF(ISBLANK(B8),0,VLOOKUP(A8,Nutrients_from_future_land_use!$A$5:$D$21,3,FALSE)*(B8/VLOOKUP(A8,Nutrients_from_future_land_use!$A$5:$D$21,2,FALSE)))),0)</f>
        <v>0</v>
      </c>
      <c r="E8" s="63">
        <f>IFERROR(IF(ISBLANK(A8),0,IF(ISBLANK(B8),0,VLOOKUP(A8,Nutrients_from_future_land_use!$A$5:$D$21,4,FALSE)*(B8/VLOOKUP(A8,Nutrients_from_future_land_use!$A$5:$D$21,2,FALSE)))),0)</f>
        <v>0</v>
      </c>
      <c r="F8" s="75"/>
      <c r="G8" s="75"/>
      <c r="H8" s="75"/>
      <c r="I8" s="63">
        <f t="shared" si="0"/>
        <v>0</v>
      </c>
      <c r="J8" s="63">
        <f t="shared" si="1"/>
        <v>0</v>
      </c>
      <c r="K8" s="17" t="str">
        <f>IF(SUMIFS($B$5:$B$29,$A$5:$A$29,A8)&gt;SUMIFS(Nutrients_from_future_land_use!$B$5:$B$21,Nutrients_from_future_land_use!$A$5:$A$21,A8),"Area of new land covers within SuDS catchment area exceeds the area of new land covers proposed","Not applicable")</f>
        <v>Not applicable</v>
      </c>
    </row>
    <row r="9" spans="1:14" s="17" customFormat="1" ht="28.5" customHeight="1" x14ac:dyDescent="0.35">
      <c r="A9" s="68"/>
      <c r="B9" s="69"/>
      <c r="C9" s="75"/>
      <c r="D9" s="63">
        <f>IFERROR(IF(ISBLANK(A9),0,IF(ISBLANK(B9),0,VLOOKUP(A9,Nutrients_from_future_land_use!$A$5:$D$21,3,FALSE)*(B9/VLOOKUP(A9,Nutrients_from_future_land_use!$A$5:$D$21,2,FALSE)))),0)</f>
        <v>0</v>
      </c>
      <c r="E9" s="63">
        <f>IFERROR(IF(ISBLANK(A9),0,IF(ISBLANK(B9),0,VLOOKUP(A9,Nutrients_from_future_land_use!$A$5:$D$21,4,FALSE)*(B9/VLOOKUP(A9,Nutrients_from_future_land_use!$A$5:$D$21,2,FALSE)))),0)</f>
        <v>0</v>
      </c>
      <c r="F9" s="75"/>
      <c r="G9" s="75"/>
      <c r="H9" s="75"/>
      <c r="I9" s="63">
        <f t="shared" si="0"/>
        <v>0</v>
      </c>
      <c r="J9" s="63">
        <f t="shared" si="1"/>
        <v>0</v>
      </c>
      <c r="K9" s="17" t="str">
        <f>IF(SUMIFS($B$5:$B$29,$A$5:$A$29,A9)&gt;SUMIFS(Nutrients_from_future_land_use!$B$5:$B$21,Nutrients_from_future_land_use!$A$5:$A$21,A9),"Area of new land covers within SuDS catchment area exceeds the area of new land covers proposed","Not applicable")</f>
        <v>Not applicable</v>
      </c>
      <c r="N9" s="73"/>
    </row>
    <row r="10" spans="1:14" s="17" customFormat="1" ht="28.5" customHeight="1" x14ac:dyDescent="0.35">
      <c r="A10" s="68"/>
      <c r="B10" s="69"/>
      <c r="C10" s="75"/>
      <c r="D10" s="63">
        <f>IFERROR(IF(ISBLANK(A10),0,IF(ISBLANK(B10),0,VLOOKUP(A10,Nutrients_from_future_land_use!$A$5:$D$21,3,FALSE)*(B10/VLOOKUP(A10,Nutrients_from_future_land_use!$A$5:$D$21,2,FALSE)))),0)</f>
        <v>0</v>
      </c>
      <c r="E10" s="63">
        <f>IFERROR(IF(ISBLANK(A10),0,IF(ISBLANK(B10),0,VLOOKUP(A10,Nutrients_from_future_land_use!$A$5:$D$21,4,FALSE)*(B10/VLOOKUP(A10,Nutrients_from_future_land_use!$A$5:$D$21,2,FALSE)))),0)</f>
        <v>0</v>
      </c>
      <c r="F10" s="75"/>
      <c r="G10" s="75"/>
      <c r="H10" s="75"/>
      <c r="I10" s="63">
        <f t="shared" si="0"/>
        <v>0</v>
      </c>
      <c r="J10" s="63">
        <f t="shared" si="1"/>
        <v>0</v>
      </c>
      <c r="K10" s="17" t="str">
        <f>IF(SUMIFS($B$5:$B$29,$A$5:$A$29,A10)&gt;SUMIFS(Nutrients_from_future_land_use!$B$5:$B$21,Nutrients_from_future_land_use!$A$5:$A$21,A10),"Area of new land covers within SuDS catchment area exceeds the area of new land covers proposed","Not applicable")</f>
        <v>Not applicable</v>
      </c>
      <c r="N10" s="73"/>
    </row>
    <row r="11" spans="1:14" s="17" customFormat="1" ht="28.5" customHeight="1" x14ac:dyDescent="0.35">
      <c r="A11" s="68"/>
      <c r="B11" s="69"/>
      <c r="C11" s="75"/>
      <c r="D11" s="63">
        <f>IFERROR(IF(ISBLANK(A11),0,IF(ISBLANK(B11),0,VLOOKUP(A11,Nutrients_from_future_land_use!$A$5:$D$21,3,FALSE)*(B11/VLOOKUP(A11,Nutrients_from_future_land_use!$A$5:$D$21,2,FALSE)))),0)</f>
        <v>0</v>
      </c>
      <c r="E11" s="63">
        <f>IFERROR(IF(ISBLANK(A11),0,IF(ISBLANK(B11),0,VLOOKUP(A11,Nutrients_from_future_land_use!$A$5:$D$21,4,FALSE)*(B11/VLOOKUP(A11,Nutrients_from_future_land_use!$A$5:$D$21,2,FALSE)))),0)</f>
        <v>0</v>
      </c>
      <c r="F11" s="75"/>
      <c r="G11" s="75"/>
      <c r="H11" s="75"/>
      <c r="I11" s="63">
        <f t="shared" si="0"/>
        <v>0</v>
      </c>
      <c r="J11" s="63">
        <f t="shared" si="1"/>
        <v>0</v>
      </c>
      <c r="K11" s="17" t="str">
        <f>IF(SUMIFS($B$5:$B$29,$A$5:$A$29,A11)&gt;SUMIFS(Nutrients_from_future_land_use!$B$5:$B$21,Nutrients_from_future_land_use!$A$5:$A$21,A11),"Area of new land covers within SuDS catchment area exceeds the area of new land covers proposed","Not applicable")</f>
        <v>Not applicable</v>
      </c>
      <c r="N11" s="73"/>
    </row>
    <row r="12" spans="1:14" s="17" customFormat="1" ht="28.5" customHeight="1" x14ac:dyDescent="0.35">
      <c r="A12" s="68"/>
      <c r="B12" s="69"/>
      <c r="C12" s="75"/>
      <c r="D12" s="63">
        <f>IFERROR(IF(ISBLANK(A12),0,IF(ISBLANK(B12),0,VLOOKUP(A12,Nutrients_from_future_land_use!$A$5:$D$21,3,FALSE)*(B12/VLOOKUP(A12,Nutrients_from_future_land_use!$A$5:$D$21,2,FALSE)))),0)</f>
        <v>0</v>
      </c>
      <c r="E12" s="63">
        <f>IFERROR(IF(ISBLANK(A12),0,IF(ISBLANK(B12),0,VLOOKUP(A12,Nutrients_from_future_land_use!$A$5:$D$21,4,FALSE)*(B12/VLOOKUP(A12,Nutrients_from_future_land_use!$A$5:$D$21,2,FALSE)))),0)</f>
        <v>0</v>
      </c>
      <c r="F12" s="75"/>
      <c r="G12" s="75"/>
      <c r="H12" s="75"/>
      <c r="I12" s="63">
        <f t="shared" si="0"/>
        <v>0</v>
      </c>
      <c r="J12" s="63">
        <f t="shared" si="1"/>
        <v>0</v>
      </c>
      <c r="K12" s="17" t="str">
        <f>IF(SUMIFS($B$5:$B$29,$A$5:$A$29,A12)&gt;SUMIFS(Nutrients_from_future_land_use!$B$5:$B$21,Nutrients_from_future_land_use!$A$5:$A$21,A12),"Area of new land covers within SuDS catchment area exceeds the area of new land covers proposed","Not applicable")</f>
        <v>Not applicable</v>
      </c>
      <c r="N12" s="73"/>
    </row>
    <row r="13" spans="1:14" s="17" customFormat="1" ht="28.5" customHeight="1" x14ac:dyDescent="0.35">
      <c r="A13" s="68"/>
      <c r="B13" s="69"/>
      <c r="C13" s="75"/>
      <c r="D13" s="63">
        <f>IFERROR(IF(ISBLANK(A13),0,IF(ISBLANK(B13),0,VLOOKUP(A13,Nutrients_from_future_land_use!$A$5:$D$21,3,FALSE)*(B13/VLOOKUP(A13,Nutrients_from_future_land_use!$A$5:$D$21,2,FALSE)))),0)</f>
        <v>0</v>
      </c>
      <c r="E13" s="63">
        <f>IFERROR(IF(ISBLANK(A13),0,IF(ISBLANK(B13),0,VLOOKUP(A13,Nutrients_from_future_land_use!$A$5:$D$21,4,FALSE)*(B13/VLOOKUP(A13,Nutrients_from_future_land_use!$A$5:$D$21,2,FALSE)))),0)</f>
        <v>0</v>
      </c>
      <c r="F13" s="75"/>
      <c r="G13" s="75"/>
      <c r="H13" s="75"/>
      <c r="I13" s="63">
        <f t="shared" si="0"/>
        <v>0</v>
      </c>
      <c r="J13" s="63">
        <f t="shared" si="1"/>
        <v>0</v>
      </c>
      <c r="K13" s="17" t="str">
        <f>IF(SUMIFS($B$5:$B$29,$A$5:$A$29,A13)&gt;SUMIFS(Nutrients_from_future_land_use!$B$5:$B$21,Nutrients_from_future_land_use!$A$5:$A$21,A13),"Area of new land covers within SuDS catchment area exceeds the area of new land covers proposed","Not applicable")</f>
        <v>Not applicable</v>
      </c>
      <c r="N13" s="73"/>
    </row>
    <row r="14" spans="1:14" s="17" customFormat="1" ht="28.5" customHeight="1" x14ac:dyDescent="0.35">
      <c r="A14" s="68"/>
      <c r="B14" s="69"/>
      <c r="C14" s="75"/>
      <c r="D14" s="63">
        <f>IFERROR(IF(ISBLANK(A14),0,IF(ISBLANK(B14),0,VLOOKUP(A14,Nutrients_from_future_land_use!$A$5:$D$21,3,FALSE)*(B14/VLOOKUP(A14,Nutrients_from_future_land_use!$A$5:$D$21,2,FALSE)))),0)</f>
        <v>0</v>
      </c>
      <c r="E14" s="63">
        <f>IFERROR(IF(ISBLANK(A14),0,IF(ISBLANK(B14),0,VLOOKUP(A14,Nutrients_from_future_land_use!$A$5:$D$21,4,FALSE)*(B14/VLOOKUP(A14,Nutrients_from_future_land_use!$A$5:$D$21,2,FALSE)))),0)</f>
        <v>0</v>
      </c>
      <c r="F14" s="75"/>
      <c r="G14" s="75"/>
      <c r="H14" s="75"/>
      <c r="I14" s="63">
        <f t="shared" si="0"/>
        <v>0</v>
      </c>
      <c r="J14" s="63">
        <f t="shared" si="1"/>
        <v>0</v>
      </c>
      <c r="K14" s="17" t="str">
        <f>IF(SUMIFS($B$5:$B$29,$A$5:$A$29,A14)&gt;SUMIFS(Nutrients_from_future_land_use!$B$5:$B$21,Nutrients_from_future_land_use!$A$5:$A$21,A14),"Area of new land covers within SuDS catchment area exceeds the area of new land covers proposed","Not applicable")</f>
        <v>Not applicable</v>
      </c>
      <c r="N14" s="73"/>
    </row>
    <row r="15" spans="1:14" s="17" customFormat="1" ht="28.5" customHeight="1" x14ac:dyDescent="0.35">
      <c r="A15" s="68"/>
      <c r="B15" s="69"/>
      <c r="C15" s="75"/>
      <c r="D15" s="63">
        <f>IFERROR(IF(ISBLANK(A15),0,IF(ISBLANK(B15),0,VLOOKUP(A15,Nutrients_from_future_land_use!$A$5:$D$21,3,FALSE)*(B15/VLOOKUP(A15,Nutrients_from_future_land_use!$A$5:$D$21,2,FALSE)))),0)</f>
        <v>0</v>
      </c>
      <c r="E15" s="63">
        <f>IFERROR(IF(ISBLANK(A15),0,IF(ISBLANK(B15),0,VLOOKUP(A15,Nutrients_from_future_land_use!$A$5:$D$21,4,FALSE)*(B15/VLOOKUP(A15,Nutrients_from_future_land_use!$A$5:$D$21,2,FALSE)))),0)</f>
        <v>0</v>
      </c>
      <c r="F15" s="75"/>
      <c r="G15" s="75"/>
      <c r="H15" s="75"/>
      <c r="I15" s="63">
        <f t="shared" si="0"/>
        <v>0</v>
      </c>
      <c r="J15" s="63">
        <f t="shared" si="1"/>
        <v>0</v>
      </c>
      <c r="K15" s="17" t="str">
        <f>IF(SUMIFS($B$5:$B$29,$A$5:$A$29,A15)&gt;SUMIFS(Nutrients_from_future_land_use!$B$5:$B$21,Nutrients_from_future_land_use!$A$5:$A$21,A15),"Area of new land covers within SuDS catchment area exceeds the area of new land covers proposed","Not applicable")</f>
        <v>Not applicable</v>
      </c>
    </row>
    <row r="16" spans="1:14" s="17" customFormat="1" ht="28.5" customHeight="1" x14ac:dyDescent="0.35">
      <c r="A16" s="68"/>
      <c r="B16" s="69"/>
      <c r="C16" s="75"/>
      <c r="D16" s="63">
        <f>IFERROR(IF(ISBLANK(A16),0,IF(ISBLANK(B16),0,VLOOKUP(A16,Nutrients_from_future_land_use!$A$5:$D$21,3,FALSE)*(B16/VLOOKUP(A16,Nutrients_from_future_land_use!$A$5:$D$21,2,FALSE)))),0)</f>
        <v>0</v>
      </c>
      <c r="E16" s="63">
        <f>IFERROR(IF(ISBLANK(A16),0,IF(ISBLANK(B16),0,VLOOKUP(A16,Nutrients_from_future_land_use!$A$5:$D$21,4,FALSE)*(B16/VLOOKUP(A16,Nutrients_from_future_land_use!$A$5:$D$21,2,FALSE)))),0)</f>
        <v>0</v>
      </c>
      <c r="F16" s="75"/>
      <c r="G16" s="75"/>
      <c r="H16" s="75"/>
      <c r="I16" s="63">
        <f t="shared" si="0"/>
        <v>0</v>
      </c>
      <c r="J16" s="63">
        <f t="shared" si="1"/>
        <v>0</v>
      </c>
      <c r="K16" s="17" t="str">
        <f>IF(SUMIFS($B$5:$B$29,$A$5:$A$29,A16)&gt;SUMIFS(Nutrients_from_future_land_use!$B$5:$B$21,Nutrients_from_future_land_use!$A$5:$A$21,A16),"Area of new land covers within SuDS catchment area exceeds the area of new land covers proposed","Not applicable")</f>
        <v>Not applicable</v>
      </c>
    </row>
    <row r="17" spans="1:11" s="17" customFormat="1" ht="28.5" customHeight="1" x14ac:dyDescent="0.35">
      <c r="A17" s="68"/>
      <c r="B17" s="69"/>
      <c r="C17" s="75"/>
      <c r="D17" s="63">
        <f>IFERROR(IF(ISBLANK(A17),0,IF(ISBLANK(B17),0,VLOOKUP(A17,Nutrients_from_future_land_use!$A$5:$D$21,3,FALSE)*(B17/VLOOKUP(A17,Nutrients_from_future_land_use!$A$5:$D$21,2,FALSE)))),0)</f>
        <v>0</v>
      </c>
      <c r="E17" s="63">
        <f>IFERROR(IF(ISBLANK(A17),0,IF(ISBLANK(B17),0,VLOOKUP(A17,Nutrients_from_future_land_use!$A$5:$D$21,4,FALSE)*(B17/VLOOKUP(A17,Nutrients_from_future_land_use!$A$5:$D$21,2,FALSE)))),0)</f>
        <v>0</v>
      </c>
      <c r="F17" s="75"/>
      <c r="G17" s="75"/>
      <c r="H17" s="75"/>
      <c r="I17" s="63">
        <f t="shared" si="0"/>
        <v>0</v>
      </c>
      <c r="J17" s="63">
        <f t="shared" si="1"/>
        <v>0</v>
      </c>
      <c r="K17" s="17" t="str">
        <f>IF(SUMIFS($B$5:$B$29,$A$5:$A$29,A17)&gt;SUMIFS(Nutrients_from_future_land_use!$B$5:$B$21,Nutrients_from_future_land_use!$A$5:$A$21,A17),"Area of new land covers within SuDS catchment area exceeds the area of new land covers proposed","Not applicable")</f>
        <v>Not applicable</v>
      </c>
    </row>
    <row r="18" spans="1:11" s="17" customFormat="1" ht="28.5" customHeight="1" x14ac:dyDescent="0.35">
      <c r="A18" s="68"/>
      <c r="B18" s="69"/>
      <c r="C18" s="75"/>
      <c r="D18" s="63">
        <f>IFERROR(IF(ISBLANK(A18),0,IF(ISBLANK(B18),0,VLOOKUP(A18,Nutrients_from_future_land_use!$A$5:$D$21,3,FALSE)*(B18/VLOOKUP(A18,Nutrients_from_future_land_use!$A$5:$D$21,2,FALSE)))),0)</f>
        <v>0</v>
      </c>
      <c r="E18" s="63">
        <f>IFERROR(IF(ISBLANK(A18),0,IF(ISBLANK(B18),0,VLOOKUP(A18,Nutrients_from_future_land_use!$A$5:$D$21,4,FALSE)*(B18/VLOOKUP(A18,Nutrients_from_future_land_use!$A$5:$D$21,2,FALSE)))),0)</f>
        <v>0</v>
      </c>
      <c r="F18" s="75"/>
      <c r="G18" s="75"/>
      <c r="H18" s="75"/>
      <c r="I18" s="63">
        <f t="shared" si="0"/>
        <v>0</v>
      </c>
      <c r="J18" s="63">
        <f t="shared" si="1"/>
        <v>0</v>
      </c>
      <c r="K18" s="17" t="str">
        <f>IF(SUMIFS($B$5:$B$29,$A$5:$A$29,A18)&gt;SUMIFS(Nutrients_from_future_land_use!$B$5:$B$21,Nutrients_from_future_land_use!$A$5:$A$21,A18),"Area of new land covers within SuDS catchment area exceeds the area of new land covers proposed","Not applicable")</f>
        <v>Not applicable</v>
      </c>
    </row>
    <row r="19" spans="1:11" s="17" customFormat="1" ht="28.5" customHeight="1" x14ac:dyDescent="0.35">
      <c r="A19" s="68"/>
      <c r="B19" s="69"/>
      <c r="C19" s="75"/>
      <c r="D19" s="63">
        <f>IFERROR(IF(ISBLANK(A19),0,IF(ISBLANK(B19),0,VLOOKUP(A19,Nutrients_from_future_land_use!$A$5:$D$21,3,FALSE)*(B19/VLOOKUP(A19,Nutrients_from_future_land_use!$A$5:$D$21,2,FALSE)))),0)</f>
        <v>0</v>
      </c>
      <c r="E19" s="63">
        <f>IFERROR(IF(ISBLANK(A19),0,IF(ISBLANK(B19),0,VLOOKUP(A19,Nutrients_from_future_land_use!$A$5:$D$21,4,FALSE)*(B19/VLOOKUP(A19,Nutrients_from_future_land_use!$A$5:$D$21,2,FALSE)))),0)</f>
        <v>0</v>
      </c>
      <c r="F19" s="75"/>
      <c r="G19" s="75"/>
      <c r="H19" s="75"/>
      <c r="I19" s="63">
        <f t="shared" si="0"/>
        <v>0</v>
      </c>
      <c r="J19" s="63">
        <f t="shared" si="1"/>
        <v>0</v>
      </c>
      <c r="K19" s="17" t="str">
        <f>IF(SUMIFS($B$5:$B$29,$A$5:$A$29,A19)&gt;SUMIFS(Nutrients_from_future_land_use!$B$5:$B$21,Nutrients_from_future_land_use!$A$5:$A$21,A19),"Area of new land covers within SuDS catchment area exceeds the area of new land covers proposed","Not applicable")</f>
        <v>Not applicable</v>
      </c>
    </row>
    <row r="20" spans="1:11" s="17" customFormat="1" ht="28.5" customHeight="1" x14ac:dyDescent="0.35">
      <c r="A20" s="68"/>
      <c r="B20" s="69"/>
      <c r="C20" s="75"/>
      <c r="D20" s="63">
        <f>IFERROR(IF(ISBLANK(A20),0,IF(ISBLANK(B20),0,VLOOKUP(A20,Nutrients_from_future_land_use!$A$5:$D$21,3,FALSE)*(B20/VLOOKUP(A20,Nutrients_from_future_land_use!$A$5:$D$21,2,FALSE)))),0)</f>
        <v>0</v>
      </c>
      <c r="E20" s="63">
        <f>IFERROR(IF(ISBLANK(A20),0,IF(ISBLANK(B20),0,VLOOKUP(A20,Nutrients_from_future_land_use!$A$5:$D$21,4,FALSE)*(B20/VLOOKUP(A20,Nutrients_from_future_land_use!$A$5:$D$21,2,FALSE)))),0)</f>
        <v>0</v>
      </c>
      <c r="F20" s="75"/>
      <c r="G20" s="75"/>
      <c r="H20" s="75"/>
      <c r="I20" s="63">
        <f t="shared" si="0"/>
        <v>0</v>
      </c>
      <c r="J20" s="63">
        <f t="shared" si="1"/>
        <v>0</v>
      </c>
      <c r="K20" s="17" t="str">
        <f>IF(SUMIFS($B$5:$B$29,$A$5:$A$29,A20)&gt;SUMIFS(Nutrients_from_future_land_use!$B$5:$B$21,Nutrients_from_future_land_use!$A$5:$A$21,A20),"Area of new land covers within SuDS catchment area exceeds the area of new land covers proposed","Not applicable")</f>
        <v>Not applicable</v>
      </c>
    </row>
    <row r="21" spans="1:11" s="17" customFormat="1" ht="28.5" customHeight="1" x14ac:dyDescent="0.35">
      <c r="A21" s="68"/>
      <c r="B21" s="69"/>
      <c r="C21" s="75"/>
      <c r="D21" s="63">
        <f>IFERROR(IF(ISBLANK(A21),0,IF(ISBLANK(B21),0,VLOOKUP(A21,Nutrients_from_future_land_use!$A$5:$D$21,3,FALSE)*(B21/VLOOKUP(A21,Nutrients_from_future_land_use!$A$5:$D$21,2,FALSE)))),0)</f>
        <v>0</v>
      </c>
      <c r="E21" s="63">
        <f>IFERROR(IF(ISBLANK(A21),0,IF(ISBLANK(B21),0,VLOOKUP(A21,Nutrients_from_future_land_use!$A$5:$D$21,4,FALSE)*(B21/VLOOKUP(A21,Nutrients_from_future_land_use!$A$5:$D$21,2,FALSE)))),0)</f>
        <v>0</v>
      </c>
      <c r="F21" s="75"/>
      <c r="G21" s="75"/>
      <c r="H21" s="75"/>
      <c r="I21" s="63">
        <f t="shared" si="0"/>
        <v>0</v>
      </c>
      <c r="J21" s="63">
        <f t="shared" si="1"/>
        <v>0</v>
      </c>
      <c r="K21" s="17" t="str">
        <f>IF(SUMIFS($B$5:$B$29,$A$5:$A$29,A21)&gt;SUMIFS(Nutrients_from_future_land_use!$B$5:$B$21,Nutrients_from_future_land_use!$A$5:$A$21,A21),"Area of new land covers within SuDS catchment area exceeds the area of new land covers proposed","Not applicable")</f>
        <v>Not applicable</v>
      </c>
    </row>
    <row r="22" spans="1:11" s="17" customFormat="1" ht="28.5" customHeight="1" x14ac:dyDescent="0.35">
      <c r="A22" s="68"/>
      <c r="B22" s="69"/>
      <c r="C22" s="75"/>
      <c r="D22" s="63">
        <f>IFERROR(IF(ISBLANK(A22),0,IF(ISBLANK(B22),0,VLOOKUP(A22,Nutrients_from_future_land_use!$A$5:$D$21,3,FALSE)*(B22/VLOOKUP(A22,Nutrients_from_future_land_use!$A$5:$D$21,2,FALSE)))),0)</f>
        <v>0</v>
      </c>
      <c r="E22" s="63">
        <f>IFERROR(IF(ISBLANK(A22),0,IF(ISBLANK(B22),0,VLOOKUP(A22,Nutrients_from_future_land_use!$A$5:$D$21,4,FALSE)*(B22/VLOOKUP(A22,Nutrients_from_future_land_use!$A$5:$D$21,2,FALSE)))),0)</f>
        <v>0</v>
      </c>
      <c r="F22" s="75"/>
      <c r="G22" s="75"/>
      <c r="H22" s="75"/>
      <c r="I22" s="63">
        <f t="shared" si="0"/>
        <v>0</v>
      </c>
      <c r="J22" s="63">
        <f t="shared" si="1"/>
        <v>0</v>
      </c>
      <c r="K22" s="17" t="str">
        <f>IF(SUMIFS($B$5:$B$29,$A$5:$A$29,A22)&gt;SUMIFS(Nutrients_from_future_land_use!$B$5:$B$21,Nutrients_from_future_land_use!$A$5:$A$21,A22),"Area of new land covers within SuDS catchment area exceeds the area of new land covers proposed","Not applicable")</f>
        <v>Not applicable</v>
      </c>
    </row>
    <row r="23" spans="1:11" s="17" customFormat="1" ht="28.5" customHeight="1" x14ac:dyDescent="0.35">
      <c r="A23" s="68"/>
      <c r="B23" s="69"/>
      <c r="C23" s="75"/>
      <c r="D23" s="63">
        <f>IFERROR(IF(ISBLANK(A23),0,IF(ISBLANK(B23),0,VLOOKUP(A23,Nutrients_from_future_land_use!$A$5:$D$21,3,FALSE)*(B23/VLOOKUP(A23,Nutrients_from_future_land_use!$A$5:$D$21,2,FALSE)))),0)</f>
        <v>0</v>
      </c>
      <c r="E23" s="63">
        <f>IFERROR(IF(ISBLANK(A23),0,IF(ISBLANK(B23),0,VLOOKUP(A23,Nutrients_from_future_land_use!$A$5:$D$21,4,FALSE)*(B23/VLOOKUP(A23,Nutrients_from_future_land_use!$A$5:$D$21,2,FALSE)))),0)</f>
        <v>0</v>
      </c>
      <c r="F23" s="75"/>
      <c r="G23" s="75"/>
      <c r="H23" s="75"/>
      <c r="I23" s="63">
        <f t="shared" si="0"/>
        <v>0</v>
      </c>
      <c r="J23" s="63">
        <f t="shared" si="1"/>
        <v>0</v>
      </c>
      <c r="K23" s="17" t="str">
        <f>IF(SUMIFS($B$5:$B$29,$A$5:$A$29,A23)&gt;SUMIFS(Nutrients_from_future_land_use!$B$5:$B$21,Nutrients_from_future_land_use!$A$5:$A$21,A23),"Area of new land covers within SuDS catchment area exceeds the area of new land covers proposed","Not applicable")</f>
        <v>Not applicable</v>
      </c>
    </row>
    <row r="24" spans="1:11" s="17" customFormat="1" ht="28.5" customHeight="1" x14ac:dyDescent="0.35">
      <c r="A24" s="68"/>
      <c r="B24" s="69"/>
      <c r="C24" s="75"/>
      <c r="D24" s="63">
        <f>IFERROR(IF(ISBLANK(A24),0,IF(ISBLANK(B24),0,VLOOKUP(A24,Nutrients_from_future_land_use!$A$5:$D$21,3,FALSE)*(B24/VLOOKUP(A24,Nutrients_from_future_land_use!$A$5:$D$21,2,FALSE)))),0)</f>
        <v>0</v>
      </c>
      <c r="E24" s="63">
        <f>IFERROR(IF(ISBLANK(A24),0,IF(ISBLANK(B24),0,VLOOKUP(A24,Nutrients_from_future_land_use!$A$5:$D$21,4,FALSE)*(B24/VLOOKUP(A24,Nutrients_from_future_land_use!$A$5:$D$21,2,FALSE)))),0)</f>
        <v>0</v>
      </c>
      <c r="F24" s="75"/>
      <c r="G24" s="75"/>
      <c r="H24" s="75"/>
      <c r="I24" s="63">
        <f t="shared" si="0"/>
        <v>0</v>
      </c>
      <c r="J24" s="63">
        <f t="shared" si="1"/>
        <v>0</v>
      </c>
      <c r="K24" s="17" t="str">
        <f>IF(SUMIFS($B$5:$B$29,$A$5:$A$29,A24)&gt;SUMIFS(Nutrients_from_future_land_use!$B$5:$B$21,Nutrients_from_future_land_use!$A$5:$A$21,A24),"Area of new land covers within SuDS catchment area exceeds the area of new land covers proposed","Not applicable")</f>
        <v>Not applicable</v>
      </c>
    </row>
    <row r="25" spans="1:11" s="17" customFormat="1" ht="28.5" customHeight="1" x14ac:dyDescent="0.35">
      <c r="A25" s="68"/>
      <c r="B25" s="69"/>
      <c r="C25" s="75"/>
      <c r="D25" s="63">
        <f>IFERROR(IF(ISBLANK(A25),0,IF(ISBLANK(B25),0,VLOOKUP(A25,Nutrients_from_future_land_use!$A$5:$D$21,3,FALSE)*(B25/VLOOKUP(A25,Nutrients_from_future_land_use!$A$5:$D$21,2,FALSE)))),0)</f>
        <v>0</v>
      </c>
      <c r="E25" s="63">
        <f>IFERROR(IF(ISBLANK(A25),0,IF(ISBLANK(B25),0,VLOOKUP(A25,Nutrients_from_future_land_use!$A$5:$D$21,4,FALSE)*(B25/VLOOKUP(A25,Nutrients_from_future_land_use!$A$5:$D$21,2,FALSE)))),0)</f>
        <v>0</v>
      </c>
      <c r="F25" s="75"/>
      <c r="G25" s="75"/>
      <c r="H25" s="75"/>
      <c r="I25" s="63">
        <f t="shared" si="0"/>
        <v>0</v>
      </c>
      <c r="J25" s="63">
        <f t="shared" si="1"/>
        <v>0</v>
      </c>
      <c r="K25" s="17" t="str">
        <f>IF(SUMIFS($B$5:$B$29,$A$5:$A$29,A25)&gt;SUMIFS(Nutrients_from_future_land_use!$B$5:$B$21,Nutrients_from_future_land_use!$A$5:$A$21,A25),"Area of new land covers within SuDS catchment area exceeds the area of new land covers proposed","Not applicable")</f>
        <v>Not applicable</v>
      </c>
    </row>
    <row r="26" spans="1:11" s="17" customFormat="1" ht="28.5" customHeight="1" x14ac:dyDescent="0.35">
      <c r="A26" s="68"/>
      <c r="B26" s="69"/>
      <c r="C26" s="75"/>
      <c r="D26" s="63">
        <f>IFERROR(IF(ISBLANK(A26),0,IF(ISBLANK(B26),0,VLOOKUP(A26,Nutrients_from_future_land_use!$A$5:$D$21,3,FALSE)*(B26/VLOOKUP(A26,Nutrients_from_future_land_use!$A$5:$D$21,2,FALSE)))),0)</f>
        <v>0</v>
      </c>
      <c r="E26" s="63">
        <f>IFERROR(IF(ISBLANK(A26),0,IF(ISBLANK(B26),0,VLOOKUP(A26,Nutrients_from_future_land_use!$A$5:$D$21,4,FALSE)*(B26/VLOOKUP(A26,Nutrients_from_future_land_use!$A$5:$D$21,2,FALSE)))),0)</f>
        <v>0</v>
      </c>
      <c r="F26" s="75"/>
      <c r="G26" s="75"/>
      <c r="H26" s="75"/>
      <c r="I26" s="63">
        <f t="shared" si="0"/>
        <v>0</v>
      </c>
      <c r="J26" s="63">
        <f t="shared" si="1"/>
        <v>0</v>
      </c>
      <c r="K26" s="17" t="str">
        <f>IF(SUMIFS($B$5:$B$29,$A$5:$A$29,A26)&gt;SUMIFS(Nutrients_from_future_land_use!$B$5:$B$21,Nutrients_from_future_land_use!$A$5:$A$21,A26),"Area of new land covers within SuDS catchment area exceeds the area of new land covers proposed","Not applicable")</f>
        <v>Not applicable</v>
      </c>
    </row>
    <row r="27" spans="1:11" s="17" customFormat="1" ht="28.5" customHeight="1" x14ac:dyDescent="0.35">
      <c r="A27" s="68"/>
      <c r="B27" s="69"/>
      <c r="C27" s="75"/>
      <c r="D27" s="63">
        <f>IFERROR(IF(ISBLANK(A27),0,IF(ISBLANK(B27),0,VLOOKUP(A27,Nutrients_from_future_land_use!$A$5:$D$21,3,FALSE)*(B27/VLOOKUP(A27,Nutrients_from_future_land_use!$A$5:$D$21,2,FALSE)))),0)</f>
        <v>0</v>
      </c>
      <c r="E27" s="63">
        <f>IFERROR(IF(ISBLANK(A27),0,IF(ISBLANK(B27),0,VLOOKUP(A27,Nutrients_from_future_land_use!$A$5:$D$21,4,FALSE)*(B27/VLOOKUP(A27,Nutrients_from_future_land_use!$A$5:$D$21,2,FALSE)))),0)</f>
        <v>0</v>
      </c>
      <c r="F27" s="75"/>
      <c r="G27" s="75"/>
      <c r="H27" s="75"/>
      <c r="I27" s="63">
        <f t="shared" si="0"/>
        <v>0</v>
      </c>
      <c r="J27" s="63">
        <f t="shared" si="1"/>
        <v>0</v>
      </c>
      <c r="K27" s="17" t="str">
        <f>IF(SUMIFS($B$5:$B$29,$A$5:$A$29,A27)&gt;SUMIFS(Nutrients_from_future_land_use!$B$5:$B$21,Nutrients_from_future_land_use!$A$5:$A$21,A27),"Area of new land covers within SuDS catchment area exceeds the area of new land covers proposed","Not applicable")</f>
        <v>Not applicable</v>
      </c>
    </row>
    <row r="28" spans="1:11" s="17" customFormat="1" ht="28.5" customHeight="1" x14ac:dyDescent="0.35">
      <c r="A28" s="68"/>
      <c r="B28" s="69"/>
      <c r="C28" s="75"/>
      <c r="D28" s="63">
        <f>IFERROR(IF(ISBLANK(A28),0,IF(ISBLANK(B28),0,VLOOKUP(A28,Nutrients_from_future_land_use!$A$5:$D$21,3,FALSE)*(B28/VLOOKUP(A28,Nutrients_from_future_land_use!$A$5:$D$21,2,FALSE)))),0)</f>
        <v>0</v>
      </c>
      <c r="E28" s="63">
        <f>IFERROR(IF(ISBLANK(A28),0,IF(ISBLANK(B28),0,VLOOKUP(A28,Nutrients_from_future_land_use!$A$5:$D$21,4,FALSE)*(B28/VLOOKUP(A28,Nutrients_from_future_land_use!$A$5:$D$21,2,FALSE)))),0)</f>
        <v>0</v>
      </c>
      <c r="F28" s="75"/>
      <c r="G28" s="75"/>
      <c r="H28" s="75"/>
      <c r="I28" s="63">
        <f t="shared" si="0"/>
        <v>0</v>
      </c>
      <c r="J28" s="63">
        <f t="shared" si="1"/>
        <v>0</v>
      </c>
      <c r="K28" s="17" t="str">
        <f>IF(SUMIFS($B$5:$B$29,$A$5:$A$29,A28)&gt;SUMIFS(Nutrients_from_future_land_use!$B$5:$B$21,Nutrients_from_future_land_use!$A$5:$A$21,A28),"Area of new land covers within SuDS catchment area exceeds the area of new land covers proposed","Not applicable")</f>
        <v>Not applicable</v>
      </c>
    </row>
    <row r="29" spans="1:11" s="17" customFormat="1" ht="28.5" customHeight="1" x14ac:dyDescent="0.35">
      <c r="A29" s="68"/>
      <c r="B29" s="69"/>
      <c r="C29" s="75"/>
      <c r="D29" s="63">
        <f>IFERROR(IF(ISBLANK(A29),0,IF(ISBLANK(B29),0,VLOOKUP(A29,Nutrients_from_future_land_use!$A$5:$D$21,3,FALSE)*(B29/VLOOKUP(A29,Nutrients_from_future_land_use!$A$5:$D$21,2,FALSE)))),0)</f>
        <v>0</v>
      </c>
      <c r="E29" s="63">
        <f>IFERROR(IF(ISBLANK(A29),0,IF(ISBLANK(B29),0,VLOOKUP(A29,Nutrients_from_future_land_use!$A$5:$D$21,4,FALSE)*(B29/VLOOKUP(A29,Nutrients_from_future_land_use!$A$5:$D$21,2,FALSE)))),0)</f>
        <v>0</v>
      </c>
      <c r="F29" s="75"/>
      <c r="G29" s="75"/>
      <c r="H29" s="75"/>
      <c r="I29" s="63">
        <f t="shared" si="0"/>
        <v>0</v>
      </c>
      <c r="J29" s="63">
        <f t="shared" si="1"/>
        <v>0</v>
      </c>
      <c r="K29" s="17" t="str">
        <f>IF(SUMIFS($B$5:$B$29,$A$5:$A$29,A29)&gt;SUMIFS(Nutrients_from_future_land_use!$B$5:$B$21,Nutrients_from_future_land_use!$A$5:$A$21,A29),"Area of new land covers within SuDS catchment area exceeds the area of new land covers proposed","Not applicable")</f>
        <v>Not applicable</v>
      </c>
    </row>
    <row r="30" spans="1:11" s="17" customFormat="1" ht="22.5" customHeight="1" x14ac:dyDescent="0.35">
      <c r="A30" s="71" t="s">
        <v>94</v>
      </c>
      <c r="B30" s="74">
        <f>SUM(B5:B29)</f>
        <v>0</v>
      </c>
      <c r="C30" s="94"/>
      <c r="D30" s="74">
        <f t="shared" ref="D30:E30" si="2">SUM(D5:D29)</f>
        <v>0</v>
      </c>
      <c r="E30" s="74">
        <f t="shared" si="2"/>
        <v>0</v>
      </c>
      <c r="F30" s="76"/>
      <c r="G30" s="76"/>
      <c r="H30" s="76"/>
      <c r="I30" s="64">
        <f>SUM(I5:I29)</f>
        <v>0</v>
      </c>
      <c r="J30" s="64">
        <f>SUM(J5:J29)</f>
        <v>0</v>
      </c>
      <c r="K30" s="77" t="str">
        <f>IF(SUMIFS($B$5:$B$29,$A$5:$A$29,A30)&gt;SUMIFS(Nutrients_from_future_land_use!$B$5:$B$21,Nutrients_from_future_land_use!$A$5:$A$21,A30),"Area of new land covers within SuDS catchment area exceeds the area of new land covers proposed","")</f>
        <v/>
      </c>
    </row>
  </sheetData>
  <sheetProtection algorithmName="SHA-512" hashValue="uzDix7JEWrShb3nQEEnryIEcx0Y/oL7b25OZHiic+8CCvVx/AukW23wCZ5W/LEbgG9Ijklgr2kbYqp2cCWFMGg==" saltValue="dUsssFAJEeBk7lu9Jw51Iw=="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_xlfn.ANCHORARRAY(Value_look_up_tables!$A$326)</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796875" defaultRowHeight="14" x14ac:dyDescent="0.35"/>
  <cols>
    <col min="1" max="1" width="69.7265625" style="72" customWidth="1"/>
    <col min="2" max="2" width="24" style="72" customWidth="1"/>
    <col min="3" max="4" width="40.54296875" style="72" customWidth="1"/>
    <col min="5" max="466" width="8.54296875" style="72" customWidth="1"/>
    <col min="467" max="16384" width="9.1796875" style="72"/>
  </cols>
  <sheetData>
    <row r="1" spans="1:4" ht="51" customHeight="1" x14ac:dyDescent="0.35">
      <c r="A1" s="36" t="s">
        <v>113</v>
      </c>
      <c r="B1" s="58"/>
    </row>
    <row r="2" spans="1:4" s="17" customFormat="1" ht="248" x14ac:dyDescent="0.35">
      <c r="A2" s="93" t="s">
        <v>114</v>
      </c>
      <c r="B2" s="60"/>
    </row>
    <row r="3" spans="1:4" ht="59.15" customHeight="1" x14ac:dyDescent="0.35">
      <c r="A3" s="7" t="s">
        <v>115</v>
      </c>
      <c r="B3" s="66"/>
      <c r="C3" s="17"/>
      <c r="D3" s="17"/>
    </row>
    <row r="4" spans="1:4" s="17" customFormat="1" ht="22.5" customHeight="1" x14ac:dyDescent="0.35">
      <c r="A4" s="37" t="s">
        <v>76</v>
      </c>
      <c r="B4" s="2" t="s">
        <v>77</v>
      </c>
    </row>
    <row r="5" spans="1:4" s="17" customFormat="1" ht="22.5" customHeight="1" x14ac:dyDescent="0.35">
      <c r="A5" s="78" t="s">
        <v>116</v>
      </c>
      <c r="B5" s="79">
        <f>Nutrients_from_wastewater!B21</f>
        <v>0</v>
      </c>
    </row>
    <row r="6" spans="1:4" s="17" customFormat="1" ht="22.5" customHeight="1" x14ac:dyDescent="0.35">
      <c r="A6" s="22" t="s">
        <v>117</v>
      </c>
      <c r="B6" s="80">
        <f>IFERROR(Nutrients_from_future_land_use!C22-SuDS!I30-Nutrients_from_current_land_use!C28,0)</f>
        <v>0</v>
      </c>
    </row>
    <row r="7" spans="1:4" s="17" customFormat="1" ht="22.5" customHeight="1" x14ac:dyDescent="0.35">
      <c r="A7" s="22" t="s">
        <v>118</v>
      </c>
      <c r="B7" s="81">
        <f>IFERROR(B5+B6,0)</f>
        <v>0</v>
      </c>
    </row>
    <row r="8" spans="1:4" s="17" customFormat="1" ht="22.5" customHeight="1" x14ac:dyDescent="0.35">
      <c r="A8" s="22" t="s">
        <v>119</v>
      </c>
      <c r="B8" s="81">
        <f>IFERROR(IF(B7&lt;0,B7,B7*1.2),0)</f>
        <v>0</v>
      </c>
    </row>
    <row r="9" spans="1:4" s="17" customFormat="1" ht="22.5" customHeight="1" x14ac:dyDescent="0.35">
      <c r="A9" s="78" t="s">
        <v>120</v>
      </c>
      <c r="B9" s="79">
        <f>Nutrients_from_wastewater!B22</f>
        <v>0</v>
      </c>
    </row>
    <row r="10" spans="1:4" s="17" customFormat="1" ht="22.5" customHeight="1" x14ac:dyDescent="0.35">
      <c r="A10" s="22" t="s">
        <v>121</v>
      </c>
      <c r="B10" s="81">
        <f>IFERROR(Nutrients_from_future_land_use!D22-SuDS!J30-Nutrients_from_current_land_use!D28,0)</f>
        <v>0</v>
      </c>
    </row>
    <row r="11" spans="1:4" s="17" customFormat="1" ht="22.5" customHeight="1" x14ac:dyDescent="0.35">
      <c r="A11" s="22" t="s">
        <v>122</v>
      </c>
      <c r="B11" s="81">
        <f>IFERROR(B9+B10,0)</f>
        <v>0</v>
      </c>
    </row>
    <row r="12" spans="1:4" s="17" customFormat="1" ht="22.5" customHeight="1" x14ac:dyDescent="0.35">
      <c r="A12" s="22" t="s">
        <v>123</v>
      </c>
      <c r="B12" s="81">
        <f>IFERROR(IF(B11&lt;0,B11,B11*1.2),0)</f>
        <v>0</v>
      </c>
    </row>
    <row r="13" spans="1:4" s="17" customFormat="1" ht="22.5" customHeight="1" x14ac:dyDescent="0.35">
      <c r="A13" s="87" t="str">
        <f>IFERROR(IF(Nutrients_from_wastewater!A18="Post-2025 wastewater nutrient loading","Post-2025 annual nutrient budget",IF(Nutrients_from_wastewater!A18="Post-2030 wastewater nutrient loading","Post-2030 annual nutrient budget",IF(Nutrients_from_wastewater!A18="Wastewater nutrient loading","Annual nutrient budget"))),"Annual nutrient budget")</f>
        <v>Annual nutrient budget</v>
      </c>
      <c r="B13" s="88"/>
    </row>
    <row r="14" spans="1:4" s="17" customFormat="1" ht="22.5" customHeight="1" x14ac:dyDescent="0.35">
      <c r="A14" s="78" t="s">
        <v>124</v>
      </c>
      <c r="B14" s="81">
        <f>IFERROR(IF(ROUND(B8,2)&lt;0,0,ROUND(B8,2)),0)</f>
        <v>0</v>
      </c>
    </row>
    <row r="15" spans="1:4" s="17" customFormat="1" ht="22.5" customHeight="1" x14ac:dyDescent="0.35">
      <c r="A15" s="78" t="s">
        <v>125</v>
      </c>
      <c r="B15" s="81">
        <f>IFERROR(IF(ROUND(B12,2)&lt;0,0,ROUND(B12,2)),0)</f>
        <v>0</v>
      </c>
    </row>
    <row r="16" spans="1:4" s="17" customFormat="1" ht="22.5" customHeight="1" x14ac:dyDescent="0.35">
      <c r="A16" s="87" t="str">
        <f>IF(Nutrients_from_wastewater!A23="Not applicable","Not applicable",LEFT(Nutrients_from_wastewater!A23,9)&amp;"nutrient budget")</f>
        <v>Not applicable</v>
      </c>
      <c r="B16" s="88"/>
    </row>
    <row r="17" spans="1:3" s="17" customFormat="1" ht="22.5" customHeight="1" x14ac:dyDescent="0.35">
      <c r="A17" s="78" t="str">
        <f>IF(A16&lt;&gt;"Not applicable","The total annual phosphorus load to mitigate is (kg TP/yr):","Not applicable")</f>
        <v>Not applicable</v>
      </c>
      <c r="B17" s="81" t="str">
        <f>IFERROR(IF(ROUND((Nutrients_from_wastewater!B24+$B$6)*1.2,2)&lt;0,0,ROUND((Nutrients_from_wastewater!B24+$B$6)*1.2,2)),"Not applicable")</f>
        <v>Not applicable</v>
      </c>
    </row>
    <row r="18" spans="1:3" s="17" customFormat="1" ht="22.5" customHeight="1" x14ac:dyDescent="0.35">
      <c r="A18" s="78" t="str">
        <f>IF(A16&lt;&gt;"Not applicable","The total annual nitrogen load to mitigate is (kg TN/yr):","Not applicable")</f>
        <v>Not applicable</v>
      </c>
      <c r="B18" s="83" t="str">
        <f>IFERROR(IF(ROUND((Nutrients_from_wastewater!B25+$B$10)*1.2,2)&lt;0,0,ROUND((Nutrients_from_wastewater!B25+$B$10)*1.2,2)),"Not applicable")</f>
        <v>Not applicable</v>
      </c>
    </row>
    <row r="19" spans="1:3" s="17" customFormat="1" ht="22.5" customHeight="1" x14ac:dyDescent="0.35">
      <c r="A19" s="87" t="str">
        <f>IF(Nutrients_from_wastewater!A26="Not applicable","Not applicable",LEFT(Nutrients_from_wastewater!A26,9)&amp;"nutrient budget")</f>
        <v>Not applicable</v>
      </c>
      <c r="B19" s="88"/>
    </row>
    <row r="20" spans="1:3" s="17" customFormat="1" ht="22.5" customHeight="1" x14ac:dyDescent="0.35">
      <c r="A20" s="78" t="str">
        <f>IF(A19&lt;&gt;"Not applicable","The total annual phosphorus load to mitigate is (kg TP/yr):","Not applicable")</f>
        <v>Not applicable</v>
      </c>
      <c r="B20" s="82" t="str">
        <f>IFERROR(IF(Nutrients_from_wastewater!$A$26="Not applicable","Not applicable",ROUND((Nutrients_from_wastewater!B27+$B$6)*1.2,2)),IFERROR(B17,"Not applicable"))</f>
        <v>Not applicable</v>
      </c>
    </row>
    <row r="21" spans="1:3" s="17" customFormat="1" ht="22.5" customHeight="1" x14ac:dyDescent="0.35">
      <c r="A21" s="84" t="str">
        <f>IF(A19&lt;&gt;"Not applicable","The total annual nitrogen load to mitigate is (kg TN/yr):","Not applicable")</f>
        <v>Not applicable</v>
      </c>
      <c r="B21" s="85" t="str">
        <f>IFERROR(IF(Nutrients_from_wastewater!$A$26="Not applicable","Not applicable",ROUND((Nutrients_from_wastewater!B28+$B$10)*1.2,2)),IFERROR(B18,"Not applicable"))</f>
        <v>Not applicable</v>
      </c>
    </row>
    <row r="22" spans="1:3" ht="22.5" customHeight="1" x14ac:dyDescent="0.35">
      <c r="A22" s="86"/>
      <c r="B22" s="64"/>
    </row>
    <row r="23" spans="1:3" ht="15.5" x14ac:dyDescent="0.35">
      <c r="A23" s="86"/>
      <c r="B23" s="64"/>
      <c r="C23" s="66"/>
    </row>
  </sheetData>
  <sheetProtection algorithmName="SHA-512" hashValue="hIVdE83EXNPLlOd2B/5GCzUZulcHJ2dM3XD0ncHo+BcWRtDN75B7M4afZP7F8Xb1wnP9h2YHoxvohYcgHFpirQ==" saltValue="/OjwGEAiGSiJAfQrzmEDN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36"/>
  <sheetViews>
    <sheetView zoomScale="80" zoomScaleNormal="80" workbookViewId="0">
      <selection activeCell="C13" sqref="C13"/>
    </sheetView>
  </sheetViews>
  <sheetFormatPr defaultColWidth="65.453125" defaultRowHeight="14" x14ac:dyDescent="0.3"/>
  <cols>
    <col min="1" max="1" width="41" style="125" customWidth="1"/>
    <col min="2" max="4" width="15.7265625" style="125" customWidth="1"/>
    <col min="5" max="5" width="25.7265625" style="125" customWidth="1"/>
    <col min="6" max="6" width="49.81640625" style="125" bestFit="1" customWidth="1"/>
    <col min="7" max="8" width="15.7265625" style="125" customWidth="1"/>
    <col min="9" max="9" width="25.7265625" style="125" customWidth="1"/>
    <col min="10" max="13" width="15.7265625" style="125" customWidth="1"/>
    <col min="14" max="16384" width="65.453125" style="125"/>
  </cols>
  <sheetData>
    <row r="1" spans="1:14" ht="51" customHeight="1" x14ac:dyDescent="0.3">
      <c r="A1" s="91" t="s">
        <v>12</v>
      </c>
      <c r="B1" s="149"/>
      <c r="C1" s="124"/>
      <c r="D1" s="124"/>
      <c r="E1" s="124"/>
      <c r="F1" s="124"/>
      <c r="G1" s="124"/>
      <c r="H1" s="124"/>
      <c r="I1" s="124"/>
      <c r="J1" s="124"/>
      <c r="K1" s="124"/>
      <c r="L1" s="124"/>
      <c r="M1" s="124"/>
      <c r="N1" s="124"/>
    </row>
    <row r="2" spans="1:14" ht="52.5" customHeight="1" x14ac:dyDescent="0.3">
      <c r="A2" s="95" t="s">
        <v>126</v>
      </c>
    </row>
    <row r="3" spans="1:14" s="126" customFormat="1" ht="37.5" customHeight="1" x14ac:dyDescent="0.3">
      <c r="A3" s="131" t="s">
        <v>127</v>
      </c>
    </row>
    <row r="4" spans="1:14" ht="75.75" customHeight="1" x14ac:dyDescent="0.3">
      <c r="A4" s="132" t="s">
        <v>128</v>
      </c>
      <c r="B4" s="133" t="s">
        <v>129</v>
      </c>
      <c r="C4" s="133" t="s">
        <v>130</v>
      </c>
      <c r="D4" s="133" t="s">
        <v>131</v>
      </c>
      <c r="E4" s="133" t="s">
        <v>132</v>
      </c>
      <c r="F4" s="133" t="s">
        <v>133</v>
      </c>
      <c r="G4" s="134" t="s">
        <v>134</v>
      </c>
      <c r="H4" s="86"/>
      <c r="I4" s="86"/>
      <c r="J4" s="86"/>
      <c r="L4" s="72"/>
      <c r="M4" s="72"/>
    </row>
    <row r="5" spans="1:14" x14ac:dyDescent="0.3">
      <c r="A5" s="96" t="s">
        <v>135</v>
      </c>
      <c r="B5" s="97">
        <v>0.5</v>
      </c>
      <c r="C5" s="97">
        <v>27</v>
      </c>
      <c r="D5" s="97">
        <v>0.5</v>
      </c>
      <c r="E5" s="97">
        <v>27</v>
      </c>
      <c r="F5" s="97">
        <v>0.25</v>
      </c>
      <c r="G5" s="98">
        <v>10</v>
      </c>
      <c r="H5" s="72"/>
      <c r="I5" s="72"/>
      <c r="J5" s="72"/>
      <c r="L5" s="72"/>
      <c r="M5" s="72"/>
    </row>
    <row r="6" spans="1:14" x14ac:dyDescent="0.3">
      <c r="A6" s="96" t="s">
        <v>136</v>
      </c>
      <c r="B6" s="97">
        <v>8</v>
      </c>
      <c r="C6" s="97">
        <v>27</v>
      </c>
      <c r="D6" s="97">
        <v>8</v>
      </c>
      <c r="E6" s="97">
        <v>27</v>
      </c>
      <c r="F6" s="97">
        <v>8</v>
      </c>
      <c r="G6" s="98">
        <v>27</v>
      </c>
      <c r="H6" s="72"/>
      <c r="I6" s="72"/>
      <c r="J6" s="72"/>
      <c r="L6" s="72"/>
      <c r="M6" s="72"/>
    </row>
    <row r="7" spans="1:14" x14ac:dyDescent="0.3">
      <c r="A7" s="96" t="s">
        <v>137</v>
      </c>
      <c r="B7" s="97">
        <v>2</v>
      </c>
      <c r="C7" s="97">
        <v>27</v>
      </c>
      <c r="D7" s="97">
        <v>2</v>
      </c>
      <c r="E7" s="97">
        <v>27</v>
      </c>
      <c r="F7" s="97">
        <v>0.25</v>
      </c>
      <c r="G7" s="98">
        <v>10</v>
      </c>
      <c r="H7" s="72"/>
      <c r="I7" s="72"/>
      <c r="J7" s="72"/>
      <c r="L7" s="72"/>
      <c r="M7" s="72"/>
    </row>
    <row r="8" spans="1:14" x14ac:dyDescent="0.3">
      <c r="A8" s="96" t="s">
        <v>138</v>
      </c>
      <c r="B8" s="97">
        <v>1</v>
      </c>
      <c r="C8" s="97">
        <v>27</v>
      </c>
      <c r="D8" s="97">
        <v>0.5</v>
      </c>
      <c r="E8" s="97">
        <v>27</v>
      </c>
      <c r="F8" s="97">
        <v>0.25</v>
      </c>
      <c r="G8" s="98">
        <v>10</v>
      </c>
      <c r="H8" s="72"/>
      <c r="I8" s="72"/>
      <c r="J8" s="72"/>
      <c r="L8" s="72"/>
      <c r="M8" s="72"/>
    </row>
    <row r="9" spans="1:14" x14ac:dyDescent="0.3">
      <c r="A9" s="96" t="s">
        <v>139</v>
      </c>
      <c r="B9" s="97">
        <v>8</v>
      </c>
      <c r="C9" s="97">
        <v>27</v>
      </c>
      <c r="D9" s="97">
        <v>8</v>
      </c>
      <c r="E9" s="97">
        <v>27</v>
      </c>
      <c r="F9" s="97">
        <v>0.25</v>
      </c>
      <c r="G9" s="98">
        <v>10</v>
      </c>
      <c r="H9" s="72"/>
      <c r="I9" s="72"/>
      <c r="J9" s="72"/>
      <c r="L9" s="72"/>
      <c r="M9" s="72"/>
    </row>
    <row r="10" spans="1:14" x14ac:dyDescent="0.3">
      <c r="A10" s="96" t="s">
        <v>140</v>
      </c>
      <c r="B10" s="97">
        <v>8</v>
      </c>
      <c r="C10" s="97">
        <v>27</v>
      </c>
      <c r="D10" s="97">
        <v>8</v>
      </c>
      <c r="E10" s="97">
        <v>27</v>
      </c>
      <c r="F10" s="97">
        <v>0.25</v>
      </c>
      <c r="G10" s="98">
        <v>10</v>
      </c>
      <c r="H10" s="72"/>
      <c r="I10" s="72"/>
      <c r="J10" s="72"/>
      <c r="L10" s="72"/>
      <c r="M10" s="72"/>
    </row>
    <row r="11" spans="1:14" x14ac:dyDescent="0.3">
      <c r="A11" s="96" t="s">
        <v>141</v>
      </c>
      <c r="B11" s="97">
        <v>8</v>
      </c>
      <c r="C11" s="97">
        <v>27</v>
      </c>
      <c r="D11" s="97">
        <v>8</v>
      </c>
      <c r="E11" s="97">
        <v>27</v>
      </c>
      <c r="F11" s="97">
        <v>8</v>
      </c>
      <c r="G11" s="98">
        <v>27</v>
      </c>
      <c r="H11" s="72"/>
      <c r="I11" s="72"/>
      <c r="J11" s="72"/>
      <c r="L11" s="72"/>
      <c r="M11" s="72"/>
    </row>
    <row r="12" spans="1:14" x14ac:dyDescent="0.3">
      <c r="A12" s="96" t="s">
        <v>142</v>
      </c>
      <c r="B12" s="97">
        <v>2</v>
      </c>
      <c r="C12" s="97">
        <v>27</v>
      </c>
      <c r="D12" s="97">
        <v>0.3</v>
      </c>
      <c r="E12" s="97">
        <v>27</v>
      </c>
      <c r="F12" s="97">
        <v>0.25</v>
      </c>
      <c r="G12" s="98">
        <v>10</v>
      </c>
      <c r="H12" s="72"/>
      <c r="I12" s="72"/>
      <c r="J12" s="72"/>
      <c r="L12" s="72"/>
      <c r="M12" s="72"/>
    </row>
    <row r="13" spans="1:14" x14ac:dyDescent="0.3">
      <c r="A13" s="96" t="s">
        <v>143</v>
      </c>
      <c r="B13" s="97">
        <v>1</v>
      </c>
      <c r="C13" s="97">
        <v>27</v>
      </c>
      <c r="D13" s="97">
        <v>0.5</v>
      </c>
      <c r="E13" s="97">
        <v>27</v>
      </c>
      <c r="F13" s="97">
        <v>0.25</v>
      </c>
      <c r="G13" s="98">
        <v>10</v>
      </c>
      <c r="H13" s="72"/>
      <c r="I13" s="72"/>
      <c r="J13" s="72"/>
      <c r="L13" s="72"/>
      <c r="M13" s="72"/>
    </row>
    <row r="14" spans="1:14" x14ac:dyDescent="0.3">
      <c r="A14" s="96" t="s">
        <v>144</v>
      </c>
      <c r="B14" s="97">
        <v>8</v>
      </c>
      <c r="C14" s="97">
        <v>27</v>
      </c>
      <c r="D14" s="97">
        <v>1</v>
      </c>
      <c r="E14" s="97">
        <v>27</v>
      </c>
      <c r="F14" s="97">
        <v>1</v>
      </c>
      <c r="G14" s="98">
        <v>27</v>
      </c>
      <c r="H14" s="72"/>
      <c r="I14" s="72"/>
      <c r="J14" s="72"/>
      <c r="L14" s="72"/>
      <c r="M14" s="72"/>
    </row>
    <row r="15" spans="1:14" x14ac:dyDescent="0.3">
      <c r="A15" s="96" t="s">
        <v>145</v>
      </c>
      <c r="B15" s="97">
        <v>1</v>
      </c>
      <c r="C15" s="97">
        <v>27</v>
      </c>
      <c r="D15" s="97">
        <v>0.5</v>
      </c>
      <c r="E15" s="97">
        <v>27</v>
      </c>
      <c r="F15" s="97">
        <v>0.25</v>
      </c>
      <c r="G15" s="98">
        <v>10</v>
      </c>
      <c r="H15" s="72"/>
      <c r="I15" s="72"/>
      <c r="J15" s="72"/>
      <c r="L15" s="72"/>
      <c r="M15" s="72"/>
    </row>
    <row r="16" spans="1:14" x14ac:dyDescent="0.3">
      <c r="A16" s="96" t="s">
        <v>146</v>
      </c>
      <c r="B16" s="97">
        <v>8</v>
      </c>
      <c r="C16" s="97">
        <v>27</v>
      </c>
      <c r="D16" s="97">
        <v>8</v>
      </c>
      <c r="E16" s="97">
        <v>27</v>
      </c>
      <c r="F16" s="97">
        <v>0.25</v>
      </c>
      <c r="G16" s="98">
        <v>10</v>
      </c>
      <c r="H16" s="72"/>
      <c r="I16" s="72"/>
      <c r="J16" s="72"/>
      <c r="L16" s="72"/>
      <c r="M16" s="72"/>
    </row>
    <row r="17" spans="1:13" x14ac:dyDescent="0.3">
      <c r="A17" s="96" t="s">
        <v>147</v>
      </c>
      <c r="B17" s="97">
        <v>8</v>
      </c>
      <c r="C17" s="97">
        <v>27</v>
      </c>
      <c r="D17" s="97">
        <v>8</v>
      </c>
      <c r="E17" s="97">
        <v>27</v>
      </c>
      <c r="F17" s="97">
        <v>0.25</v>
      </c>
      <c r="G17" s="98">
        <v>10</v>
      </c>
      <c r="H17" s="72"/>
      <c r="I17" s="72"/>
      <c r="J17" s="72"/>
      <c r="L17" s="72"/>
      <c r="M17" s="72"/>
    </row>
    <row r="18" spans="1:13" x14ac:dyDescent="0.3">
      <c r="A18" s="96" t="s">
        <v>148</v>
      </c>
      <c r="B18" s="97">
        <v>8</v>
      </c>
      <c r="C18" s="97">
        <v>27</v>
      </c>
      <c r="D18" s="97">
        <v>8</v>
      </c>
      <c r="E18" s="97">
        <v>27</v>
      </c>
      <c r="F18" s="97">
        <v>0.25</v>
      </c>
      <c r="G18" s="98">
        <v>10</v>
      </c>
      <c r="H18" s="72"/>
      <c r="I18" s="72"/>
      <c r="J18" s="72"/>
      <c r="L18" s="72"/>
      <c r="M18" s="72"/>
    </row>
    <row r="19" spans="1:13" x14ac:dyDescent="0.3">
      <c r="A19" s="96" t="s">
        <v>149</v>
      </c>
      <c r="B19" s="97">
        <v>9.6999999999999993</v>
      </c>
      <c r="C19" s="97">
        <v>72.900000000000006</v>
      </c>
      <c r="D19" s="97">
        <v>9.6999999999999993</v>
      </c>
      <c r="E19" s="97">
        <v>72.900000000000006</v>
      </c>
      <c r="F19" s="97">
        <v>9.6999999999999993</v>
      </c>
      <c r="G19" s="98">
        <v>72.900000000000006</v>
      </c>
      <c r="H19" s="72"/>
      <c r="I19" s="72"/>
      <c r="J19" s="72"/>
      <c r="L19" s="72"/>
      <c r="M19" s="72"/>
    </row>
    <row r="20" spans="1:13" x14ac:dyDescent="0.3">
      <c r="A20" s="96" t="s">
        <v>150</v>
      </c>
      <c r="B20" s="97">
        <v>11.6</v>
      </c>
      <c r="C20" s="97">
        <v>96.3</v>
      </c>
      <c r="D20" s="97">
        <v>11.6</v>
      </c>
      <c r="E20" s="97">
        <v>96.3</v>
      </c>
      <c r="F20" s="97">
        <v>11.6</v>
      </c>
      <c r="G20" s="98">
        <v>96.3</v>
      </c>
      <c r="H20" s="72"/>
      <c r="I20" s="72"/>
      <c r="J20" s="72"/>
      <c r="L20" s="72"/>
      <c r="M20" s="72"/>
    </row>
    <row r="21" spans="1:13" x14ac:dyDescent="0.3">
      <c r="A21" s="96" t="s">
        <v>151</v>
      </c>
      <c r="B21" s="97"/>
      <c r="C21" s="97"/>
      <c r="D21" s="97"/>
      <c r="E21" s="97"/>
      <c r="F21" s="97"/>
      <c r="G21" s="98"/>
      <c r="H21" s="72"/>
      <c r="I21" s="72"/>
      <c r="J21" s="72"/>
      <c r="L21" s="72"/>
      <c r="M21" s="72"/>
    </row>
    <row r="22" spans="1:13" x14ac:dyDescent="0.3">
      <c r="A22" s="99" t="s">
        <v>152</v>
      </c>
      <c r="B22" s="100"/>
      <c r="C22" s="100"/>
      <c r="D22" s="100"/>
      <c r="E22" s="100"/>
      <c r="F22" s="100"/>
      <c r="G22" s="101"/>
      <c r="H22" s="72"/>
      <c r="I22" s="72"/>
      <c r="J22" s="72"/>
      <c r="L22" s="72"/>
      <c r="M22" s="72"/>
    </row>
    <row r="23" spans="1:13" x14ac:dyDescent="0.3">
      <c r="A23" s="72"/>
      <c r="B23" s="72"/>
      <c r="C23" s="72"/>
      <c r="D23" s="72"/>
      <c r="E23" s="72"/>
      <c r="F23" s="72"/>
      <c r="G23" s="72"/>
      <c r="H23" s="72"/>
      <c r="I23" s="72"/>
      <c r="J23" s="72"/>
      <c r="K23" s="72"/>
      <c r="L23" s="72"/>
      <c r="M23" s="72"/>
    </row>
    <row r="24" spans="1:13" s="126" customFormat="1" ht="37.5" customHeight="1" x14ac:dyDescent="0.3">
      <c r="A24" s="131" t="s">
        <v>153</v>
      </c>
      <c r="B24" s="135"/>
      <c r="C24" s="120"/>
      <c r="D24" s="120"/>
      <c r="E24" s="120"/>
      <c r="F24" s="120"/>
      <c r="G24" s="120"/>
      <c r="H24" s="120"/>
      <c r="I24" s="120"/>
      <c r="J24" s="120"/>
      <c r="K24" s="120"/>
      <c r="L24" s="120"/>
      <c r="M24" s="120"/>
    </row>
    <row r="25" spans="1:13" ht="56" x14ac:dyDescent="0.3">
      <c r="A25" s="132" t="s">
        <v>154</v>
      </c>
      <c r="B25" s="133" t="s">
        <v>155</v>
      </c>
      <c r="C25" s="133" t="s">
        <v>156</v>
      </c>
      <c r="D25" s="133" t="s">
        <v>157</v>
      </c>
      <c r="E25" s="133" t="s">
        <v>158</v>
      </c>
      <c r="F25" s="133" t="s">
        <v>159</v>
      </c>
      <c r="G25" s="133" t="s">
        <v>160</v>
      </c>
      <c r="H25" s="133" t="s">
        <v>161</v>
      </c>
      <c r="I25" s="133" t="s">
        <v>162</v>
      </c>
      <c r="J25" s="133" t="s">
        <v>163</v>
      </c>
      <c r="K25" s="133" t="s">
        <v>164</v>
      </c>
      <c r="L25" s="133" t="s">
        <v>165</v>
      </c>
      <c r="M25" s="134" t="s">
        <v>166</v>
      </c>
    </row>
    <row r="26" spans="1:13" ht="17.25" customHeight="1" x14ac:dyDescent="0.3">
      <c r="A26" s="102" t="s">
        <v>167</v>
      </c>
      <c r="B26" s="103" t="s">
        <v>168</v>
      </c>
      <c r="C26" s="103" t="b">
        <v>1</v>
      </c>
      <c r="D26" s="103" t="s">
        <v>169</v>
      </c>
      <c r="E26" s="103" t="s">
        <v>170</v>
      </c>
      <c r="F26" s="97" t="s">
        <v>171</v>
      </c>
      <c r="G26" s="104">
        <v>0.16522791651029881</v>
      </c>
      <c r="H26" s="104">
        <v>31.180395967701898</v>
      </c>
      <c r="I26" s="97" t="s">
        <v>172</v>
      </c>
      <c r="J26" s="104">
        <v>0.59228689467347861</v>
      </c>
      <c r="K26" s="104">
        <v>25.601686514727977</v>
      </c>
      <c r="L26" s="104">
        <v>0.41616397725365323</v>
      </c>
      <c r="M26" s="105">
        <v>24.417435435238104</v>
      </c>
    </row>
    <row r="27" spans="1:13" x14ac:dyDescent="0.3">
      <c r="A27" s="102" t="s">
        <v>167</v>
      </c>
      <c r="B27" s="103" t="s">
        <v>168</v>
      </c>
      <c r="C27" s="103" t="b">
        <v>1</v>
      </c>
      <c r="D27" s="103" t="s">
        <v>169</v>
      </c>
      <c r="E27" s="103" t="s">
        <v>173</v>
      </c>
      <c r="F27" s="97" t="s">
        <v>174</v>
      </c>
      <c r="G27" s="104">
        <v>0.68208678137307155</v>
      </c>
      <c r="H27" s="104">
        <v>23.616063119455109</v>
      </c>
      <c r="I27" s="97" t="s">
        <v>172</v>
      </c>
      <c r="J27" s="104"/>
      <c r="K27" s="104"/>
      <c r="L27" s="104"/>
      <c r="M27" s="105"/>
    </row>
    <row r="28" spans="1:13" x14ac:dyDescent="0.3">
      <c r="A28" s="102" t="s">
        <v>167</v>
      </c>
      <c r="B28" s="103" t="s">
        <v>168</v>
      </c>
      <c r="C28" s="103" t="b">
        <v>1</v>
      </c>
      <c r="D28" s="103" t="s">
        <v>169</v>
      </c>
      <c r="E28" s="103" t="s">
        <v>175</v>
      </c>
      <c r="F28" s="97" t="s">
        <v>176</v>
      </c>
      <c r="G28" s="104">
        <v>0.92954598613706563</v>
      </c>
      <c r="H28" s="104">
        <v>22.008600457026933</v>
      </c>
      <c r="I28" s="97" t="s">
        <v>172</v>
      </c>
      <c r="J28" s="104"/>
      <c r="K28" s="104"/>
      <c r="L28" s="104"/>
      <c r="M28" s="105"/>
    </row>
    <row r="29" spans="1:13" x14ac:dyDescent="0.3">
      <c r="A29" s="102" t="s">
        <v>167</v>
      </c>
      <c r="B29" s="103" t="s">
        <v>177</v>
      </c>
      <c r="C29" s="103" t="b">
        <v>1</v>
      </c>
      <c r="D29" s="103" t="s">
        <v>169</v>
      </c>
      <c r="E29" s="103" t="s">
        <v>170</v>
      </c>
      <c r="F29" s="97" t="s">
        <v>178</v>
      </c>
      <c r="G29" s="104">
        <v>0.12894800956410588</v>
      </c>
      <c r="H29" s="104">
        <v>21.64067739273003</v>
      </c>
      <c r="I29" s="97" t="s">
        <v>179</v>
      </c>
      <c r="J29" s="104">
        <v>0.44145260182317864</v>
      </c>
      <c r="K29" s="104">
        <v>17.574173252785908</v>
      </c>
      <c r="L29" s="104">
        <v>0.26891526205705735</v>
      </c>
      <c r="M29" s="105">
        <v>19.897337872458642</v>
      </c>
    </row>
    <row r="30" spans="1:13" x14ac:dyDescent="0.3">
      <c r="A30" s="102" t="s">
        <v>167</v>
      </c>
      <c r="B30" s="103" t="s">
        <v>177</v>
      </c>
      <c r="C30" s="103" t="b">
        <v>1</v>
      </c>
      <c r="D30" s="103" t="s">
        <v>169</v>
      </c>
      <c r="E30" s="103" t="s">
        <v>173</v>
      </c>
      <c r="F30" s="97" t="s">
        <v>180</v>
      </c>
      <c r="G30" s="104">
        <v>0.47588401229450739</v>
      </c>
      <c r="H30" s="104">
        <v>16.248732002860933</v>
      </c>
      <c r="I30" s="97" t="s">
        <v>179</v>
      </c>
      <c r="J30" s="104"/>
      <c r="K30" s="104"/>
      <c r="L30" s="104"/>
      <c r="M30" s="105"/>
    </row>
    <row r="31" spans="1:13" x14ac:dyDescent="0.3">
      <c r="A31" s="102" t="s">
        <v>167</v>
      </c>
      <c r="B31" s="103" t="s">
        <v>177</v>
      </c>
      <c r="C31" s="103" t="b">
        <v>1</v>
      </c>
      <c r="D31" s="103" t="s">
        <v>169</v>
      </c>
      <c r="E31" s="103" t="s">
        <v>175</v>
      </c>
      <c r="F31" s="97" t="s">
        <v>181</v>
      </c>
      <c r="G31" s="104">
        <v>0.71952578361092279</v>
      </c>
      <c r="H31" s="104">
        <v>14.833110362766769</v>
      </c>
      <c r="I31" s="97" t="s">
        <v>179</v>
      </c>
      <c r="J31" s="104"/>
      <c r="K31" s="104"/>
      <c r="L31" s="104"/>
      <c r="M31" s="105"/>
    </row>
    <row r="32" spans="1:13" x14ac:dyDescent="0.3">
      <c r="A32" s="102" t="s">
        <v>167</v>
      </c>
      <c r="B32" s="103" t="s">
        <v>182</v>
      </c>
      <c r="C32" s="103" t="b">
        <v>1</v>
      </c>
      <c r="D32" s="103" t="s">
        <v>169</v>
      </c>
      <c r="E32" s="103" t="s">
        <v>170</v>
      </c>
      <c r="F32" s="97" t="s">
        <v>183</v>
      </c>
      <c r="G32" s="104">
        <v>0.11710769944570457</v>
      </c>
      <c r="H32" s="104">
        <v>19.06220083582248</v>
      </c>
      <c r="I32" s="97" t="s">
        <v>184</v>
      </c>
      <c r="J32" s="104">
        <v>0.41534605672742231</v>
      </c>
      <c r="K32" s="104">
        <v>15.298585675237783</v>
      </c>
      <c r="L32" s="104">
        <v>0.1989429294546384</v>
      </c>
      <c r="M32" s="105">
        <v>12.567359875576157</v>
      </c>
    </row>
    <row r="33" spans="1:13" x14ac:dyDescent="0.3">
      <c r="A33" s="102" t="s">
        <v>167</v>
      </c>
      <c r="B33" s="103" t="s">
        <v>182</v>
      </c>
      <c r="C33" s="103" t="b">
        <v>1</v>
      </c>
      <c r="D33" s="103" t="s">
        <v>169</v>
      </c>
      <c r="E33" s="103" t="s">
        <v>173</v>
      </c>
      <c r="F33" s="97" t="s">
        <v>185</v>
      </c>
      <c r="G33" s="104">
        <v>0.46062917483074628</v>
      </c>
      <c r="H33" s="104">
        <v>14.087021906623111</v>
      </c>
      <c r="I33" s="97" t="s">
        <v>184</v>
      </c>
      <c r="J33" s="104"/>
      <c r="K33" s="104"/>
      <c r="L33" s="104"/>
      <c r="M33" s="105"/>
    </row>
    <row r="34" spans="1:13" ht="28" x14ac:dyDescent="0.3">
      <c r="A34" s="102" t="s">
        <v>167</v>
      </c>
      <c r="B34" s="103" t="s">
        <v>182</v>
      </c>
      <c r="C34" s="103" t="b">
        <v>0</v>
      </c>
      <c r="D34" s="103" t="s">
        <v>169</v>
      </c>
      <c r="E34" s="103" t="s">
        <v>175</v>
      </c>
      <c r="F34" s="97" t="s">
        <v>186</v>
      </c>
      <c r="G34" s="104">
        <v>0.66830129590581611</v>
      </c>
      <c r="H34" s="104">
        <v>12.746534283267765</v>
      </c>
      <c r="I34" s="97" t="s">
        <v>184</v>
      </c>
      <c r="J34" s="104"/>
      <c r="K34" s="104"/>
      <c r="L34" s="104"/>
      <c r="M34" s="105"/>
    </row>
    <row r="35" spans="1:13" x14ac:dyDescent="0.3">
      <c r="A35" s="102" t="s">
        <v>167</v>
      </c>
      <c r="B35" s="103" t="s">
        <v>187</v>
      </c>
      <c r="C35" s="103" t="b">
        <v>1</v>
      </c>
      <c r="D35" s="103" t="s">
        <v>169</v>
      </c>
      <c r="E35" s="103" t="s">
        <v>170</v>
      </c>
      <c r="F35" s="97" t="s">
        <v>188</v>
      </c>
      <c r="G35" s="104">
        <v>0.16691799283911146</v>
      </c>
      <c r="H35" s="104">
        <v>64.126383817822983</v>
      </c>
      <c r="I35" s="97" t="s">
        <v>189</v>
      </c>
      <c r="J35" s="104">
        <v>0.47428109946544428</v>
      </c>
      <c r="K35" s="104">
        <v>47.609925646158445</v>
      </c>
      <c r="L35" s="104">
        <v>0.36906574326388092</v>
      </c>
      <c r="M35" s="105">
        <v>51.510106020111799</v>
      </c>
    </row>
    <row r="36" spans="1:13" x14ac:dyDescent="0.3">
      <c r="A36" s="102" t="s">
        <v>167</v>
      </c>
      <c r="B36" s="103" t="s">
        <v>187</v>
      </c>
      <c r="C36" s="103" t="b">
        <v>1</v>
      </c>
      <c r="D36" s="103" t="s">
        <v>169</v>
      </c>
      <c r="E36" s="103" t="s">
        <v>173</v>
      </c>
      <c r="F36" s="97" t="s">
        <v>190</v>
      </c>
      <c r="G36" s="104">
        <v>0.49379180243042414</v>
      </c>
      <c r="H36" s="104">
        <v>43.218271151681471</v>
      </c>
      <c r="I36" s="97" t="s">
        <v>189</v>
      </c>
      <c r="J36" s="104"/>
      <c r="K36" s="104"/>
      <c r="L36" s="104"/>
      <c r="M36" s="105"/>
    </row>
    <row r="37" spans="1:13" x14ac:dyDescent="0.3">
      <c r="A37" s="102" t="s">
        <v>167</v>
      </c>
      <c r="B37" s="103" t="s">
        <v>187</v>
      </c>
      <c r="C37" s="103" t="b">
        <v>1</v>
      </c>
      <c r="D37" s="103" t="s">
        <v>169</v>
      </c>
      <c r="E37" s="103" t="s">
        <v>175</v>
      </c>
      <c r="F37" s="97" t="s">
        <v>191</v>
      </c>
      <c r="G37" s="104">
        <v>0.76213350312679728</v>
      </c>
      <c r="H37" s="104">
        <v>35.485121968970887</v>
      </c>
      <c r="I37" s="97" t="s">
        <v>189</v>
      </c>
      <c r="J37" s="104"/>
      <c r="K37" s="104"/>
      <c r="L37" s="104"/>
      <c r="M37" s="105"/>
    </row>
    <row r="38" spans="1:13" x14ac:dyDescent="0.3">
      <c r="A38" s="102" t="s">
        <v>167</v>
      </c>
      <c r="B38" s="103" t="s">
        <v>192</v>
      </c>
      <c r="C38" s="103" t="b">
        <v>1</v>
      </c>
      <c r="D38" s="103" t="s">
        <v>169</v>
      </c>
      <c r="E38" s="103" t="s">
        <v>170</v>
      </c>
      <c r="F38" s="97" t="s">
        <v>193</v>
      </c>
      <c r="G38" s="104">
        <v>0.11217265085013295</v>
      </c>
      <c r="H38" s="104">
        <v>14.276181415143059</v>
      </c>
      <c r="I38" s="97" t="s">
        <v>194</v>
      </c>
      <c r="J38" s="104">
        <v>0.32597996472779783</v>
      </c>
      <c r="K38" s="104">
        <v>11.639486848937045</v>
      </c>
      <c r="L38" s="104">
        <v>0.1948567984107091</v>
      </c>
      <c r="M38" s="105">
        <v>11.924758923562123</v>
      </c>
    </row>
    <row r="39" spans="1:13" x14ac:dyDescent="0.3">
      <c r="A39" s="102" t="s">
        <v>167</v>
      </c>
      <c r="B39" s="103" t="s">
        <v>192</v>
      </c>
      <c r="C39" s="103" t="b">
        <v>1</v>
      </c>
      <c r="D39" s="103" t="s">
        <v>169</v>
      </c>
      <c r="E39" s="103" t="s">
        <v>173</v>
      </c>
      <c r="F39" s="97" t="s">
        <v>195</v>
      </c>
      <c r="G39" s="104">
        <v>0.1858558836925327</v>
      </c>
      <c r="H39" s="104">
        <v>11.168108445276443</v>
      </c>
      <c r="I39" s="97" t="s">
        <v>194</v>
      </c>
      <c r="J39" s="104"/>
      <c r="K39" s="104"/>
      <c r="L39" s="104"/>
      <c r="M39" s="105"/>
    </row>
    <row r="40" spans="1:13" x14ac:dyDescent="0.3">
      <c r="A40" s="102" t="s">
        <v>167</v>
      </c>
      <c r="B40" s="103" t="s">
        <v>192</v>
      </c>
      <c r="C40" s="103" t="b">
        <v>0</v>
      </c>
      <c r="D40" s="103" t="s">
        <v>169</v>
      </c>
      <c r="E40" s="103" t="s">
        <v>175</v>
      </c>
      <c r="F40" s="97" t="s">
        <v>196</v>
      </c>
      <c r="G40" s="104">
        <v>0.6799113596407278</v>
      </c>
      <c r="H40" s="104">
        <v>9.4741706863916288</v>
      </c>
      <c r="I40" s="97" t="s">
        <v>194</v>
      </c>
      <c r="J40" s="104"/>
      <c r="K40" s="104"/>
      <c r="L40" s="104"/>
      <c r="M40" s="105"/>
    </row>
    <row r="41" spans="1:13" x14ac:dyDescent="0.3">
      <c r="A41" s="102" t="s">
        <v>167</v>
      </c>
      <c r="B41" s="103" t="s">
        <v>192</v>
      </c>
      <c r="C41" s="103" t="b">
        <v>1</v>
      </c>
      <c r="D41" s="103" t="s">
        <v>169</v>
      </c>
      <c r="E41" s="103" t="s">
        <v>175</v>
      </c>
      <c r="F41" s="97" t="s">
        <v>197</v>
      </c>
      <c r="G41" s="104">
        <v>0.67990041796954714</v>
      </c>
      <c r="H41" s="104">
        <v>9.4625679850779782</v>
      </c>
      <c r="I41" s="97" t="s">
        <v>194</v>
      </c>
      <c r="J41" s="104"/>
      <c r="K41" s="104"/>
      <c r="L41" s="104"/>
      <c r="M41" s="105"/>
    </row>
    <row r="42" spans="1:13" x14ac:dyDescent="0.3">
      <c r="A42" s="102" t="s">
        <v>167</v>
      </c>
      <c r="B42" s="103" t="s">
        <v>198</v>
      </c>
      <c r="C42" s="103" t="b">
        <v>1</v>
      </c>
      <c r="D42" s="103" t="s">
        <v>169</v>
      </c>
      <c r="E42" s="103" t="s">
        <v>170</v>
      </c>
      <c r="F42" s="97" t="s">
        <v>199</v>
      </c>
      <c r="G42" s="104">
        <v>0.22860005115552318</v>
      </c>
      <c r="H42" s="104">
        <v>49.21526165412115</v>
      </c>
      <c r="I42" s="97" t="s">
        <v>200</v>
      </c>
      <c r="J42" s="104">
        <v>0.66966680938349255</v>
      </c>
      <c r="K42" s="104">
        <v>37.384671287662421</v>
      </c>
      <c r="L42" s="104">
        <v>0.40611566694892587</v>
      </c>
      <c r="M42" s="105">
        <v>26.964013193577422</v>
      </c>
    </row>
    <row r="43" spans="1:13" x14ac:dyDescent="0.3">
      <c r="A43" s="102" t="s">
        <v>167</v>
      </c>
      <c r="B43" s="103" t="s">
        <v>198</v>
      </c>
      <c r="C43" s="103" t="b">
        <v>1</v>
      </c>
      <c r="D43" s="103" t="s">
        <v>169</v>
      </c>
      <c r="E43" s="103" t="s">
        <v>173</v>
      </c>
      <c r="F43" s="97" t="s">
        <v>201</v>
      </c>
      <c r="G43" s="104">
        <v>0.58788750033087012</v>
      </c>
      <c r="H43" s="104">
        <v>37.059885270368675</v>
      </c>
      <c r="I43" s="97" t="s">
        <v>200</v>
      </c>
      <c r="J43" s="104"/>
      <c r="K43" s="104"/>
      <c r="L43" s="104"/>
      <c r="M43" s="105"/>
    </row>
    <row r="44" spans="1:13" x14ac:dyDescent="0.3">
      <c r="A44" s="102" t="s">
        <v>167</v>
      </c>
      <c r="B44" s="103" t="s">
        <v>198</v>
      </c>
      <c r="C44" s="103" t="b">
        <v>0</v>
      </c>
      <c r="D44" s="103" t="s">
        <v>169</v>
      </c>
      <c r="E44" s="103" t="s">
        <v>175</v>
      </c>
      <c r="F44" s="97" t="s">
        <v>202</v>
      </c>
      <c r="G44" s="104">
        <v>1.2029680319728047</v>
      </c>
      <c r="H44" s="104">
        <v>26.229309617372625</v>
      </c>
      <c r="I44" s="97" t="s">
        <v>200</v>
      </c>
      <c r="J44" s="104"/>
      <c r="K44" s="104"/>
      <c r="L44" s="104"/>
      <c r="M44" s="105"/>
    </row>
    <row r="45" spans="1:13" x14ac:dyDescent="0.3">
      <c r="A45" s="102" t="s">
        <v>167</v>
      </c>
      <c r="B45" s="103" t="s">
        <v>198</v>
      </c>
      <c r="C45" s="103" t="b">
        <v>1</v>
      </c>
      <c r="D45" s="103" t="s">
        <v>169</v>
      </c>
      <c r="E45" s="103" t="s">
        <v>175</v>
      </c>
      <c r="F45" s="97" t="s">
        <v>203</v>
      </c>
      <c r="G45" s="104">
        <v>1.1925128766640842</v>
      </c>
      <c r="H45" s="104">
        <v>25.878866938497438</v>
      </c>
      <c r="I45" s="97" t="s">
        <v>200</v>
      </c>
      <c r="J45" s="104"/>
      <c r="K45" s="104"/>
      <c r="L45" s="104"/>
      <c r="M45" s="105"/>
    </row>
    <row r="46" spans="1:13" x14ac:dyDescent="0.3">
      <c r="A46" s="102" t="s">
        <v>204</v>
      </c>
      <c r="B46" s="103" t="s">
        <v>168</v>
      </c>
      <c r="C46" s="103" t="b">
        <v>1</v>
      </c>
      <c r="D46" s="103" t="s">
        <v>205</v>
      </c>
      <c r="E46" s="103" t="s">
        <v>170</v>
      </c>
      <c r="F46" s="97" t="s">
        <v>206</v>
      </c>
      <c r="G46" s="104">
        <v>4.0852826324445334E-2</v>
      </c>
      <c r="H46" s="104">
        <v>25.414352159186979</v>
      </c>
      <c r="I46" s="97" t="s">
        <v>207</v>
      </c>
      <c r="J46" s="104">
        <v>0.29735663730967005</v>
      </c>
      <c r="K46" s="104">
        <v>21.054133163104304</v>
      </c>
      <c r="L46" s="104"/>
      <c r="M46" s="105"/>
    </row>
    <row r="47" spans="1:13" x14ac:dyDescent="0.3">
      <c r="A47" s="102" t="s">
        <v>204</v>
      </c>
      <c r="B47" s="103" t="s">
        <v>168</v>
      </c>
      <c r="C47" s="103" t="b">
        <v>0</v>
      </c>
      <c r="D47" s="103" t="s">
        <v>205</v>
      </c>
      <c r="E47" s="103" t="s">
        <v>173</v>
      </c>
      <c r="F47" s="97" t="s">
        <v>208</v>
      </c>
      <c r="G47" s="104">
        <v>0.31827552680950183</v>
      </c>
      <c r="H47" s="104">
        <v>18.365906986467863</v>
      </c>
      <c r="I47" s="97" t="s">
        <v>207</v>
      </c>
      <c r="J47" s="104"/>
      <c r="K47" s="104"/>
      <c r="L47" s="104"/>
      <c r="M47" s="105"/>
    </row>
    <row r="48" spans="1:13" x14ac:dyDescent="0.3">
      <c r="A48" s="102" t="s">
        <v>204</v>
      </c>
      <c r="B48" s="103" t="s">
        <v>168</v>
      </c>
      <c r="C48" s="103" t="b">
        <v>1</v>
      </c>
      <c r="D48" s="103" t="s">
        <v>205</v>
      </c>
      <c r="E48" s="103" t="s">
        <v>175</v>
      </c>
      <c r="F48" s="97" t="s">
        <v>209</v>
      </c>
      <c r="G48" s="104">
        <v>0.53294155879506289</v>
      </c>
      <c r="H48" s="104">
        <v>19.382140343658072</v>
      </c>
      <c r="I48" s="97" t="s">
        <v>207</v>
      </c>
      <c r="J48" s="104"/>
      <c r="K48" s="104"/>
      <c r="L48" s="104"/>
      <c r="M48" s="105"/>
    </row>
    <row r="49" spans="1:13" x14ac:dyDescent="0.3">
      <c r="A49" s="102" t="s">
        <v>204</v>
      </c>
      <c r="B49" s="103" t="s">
        <v>168</v>
      </c>
      <c r="C49" s="103" t="b">
        <v>1</v>
      </c>
      <c r="D49" s="103" t="s">
        <v>169</v>
      </c>
      <c r="E49" s="103" t="s">
        <v>170</v>
      </c>
      <c r="F49" s="97" t="s">
        <v>210</v>
      </c>
      <c r="G49" s="104">
        <v>9.6074945438504977E-2</v>
      </c>
      <c r="H49" s="104">
        <v>30.351214503440588</v>
      </c>
      <c r="I49" s="97" t="s">
        <v>172</v>
      </c>
      <c r="J49" s="104">
        <v>0.58479511229657433</v>
      </c>
      <c r="K49" s="104">
        <v>25.071874890579014</v>
      </c>
      <c r="L49" s="104"/>
      <c r="M49" s="105"/>
    </row>
    <row r="50" spans="1:13" x14ac:dyDescent="0.3">
      <c r="A50" s="102" t="s">
        <v>204</v>
      </c>
      <c r="B50" s="103" t="s">
        <v>168</v>
      </c>
      <c r="C50" s="103" t="b">
        <v>1</v>
      </c>
      <c r="D50" s="103" t="s">
        <v>169</v>
      </c>
      <c r="E50" s="103" t="s">
        <v>173</v>
      </c>
      <c r="F50" s="97" t="s">
        <v>211</v>
      </c>
      <c r="G50" s="104">
        <v>0.68785627008873562</v>
      </c>
      <c r="H50" s="104">
        <v>22.842131222675832</v>
      </c>
      <c r="I50" s="97" t="s">
        <v>172</v>
      </c>
      <c r="J50" s="104"/>
      <c r="K50" s="104"/>
      <c r="L50" s="104"/>
      <c r="M50" s="105"/>
    </row>
    <row r="51" spans="1:13" x14ac:dyDescent="0.3">
      <c r="A51" s="102" t="s">
        <v>204</v>
      </c>
      <c r="B51" s="103" t="s">
        <v>177</v>
      </c>
      <c r="C51" s="103" t="b">
        <v>0</v>
      </c>
      <c r="D51" s="103" t="s">
        <v>205</v>
      </c>
      <c r="E51" s="103" t="s">
        <v>170</v>
      </c>
      <c r="F51" s="97" t="s">
        <v>212</v>
      </c>
      <c r="G51" s="104">
        <v>3.2700828269889688E-2</v>
      </c>
      <c r="H51" s="104">
        <v>19.889779626424396</v>
      </c>
      <c r="I51" s="97" t="s">
        <v>213</v>
      </c>
      <c r="J51" s="104">
        <v>0.2203387659528934</v>
      </c>
      <c r="K51" s="104">
        <v>16.161153384258718</v>
      </c>
      <c r="L51" s="104"/>
      <c r="M51" s="105"/>
    </row>
    <row r="52" spans="1:13" x14ac:dyDescent="0.3">
      <c r="A52" s="102" t="s">
        <v>204</v>
      </c>
      <c r="B52" s="103" t="s">
        <v>177</v>
      </c>
      <c r="C52" s="103" t="b">
        <v>1</v>
      </c>
      <c r="D52" s="103" t="s">
        <v>205</v>
      </c>
      <c r="E52" s="103" t="s">
        <v>170</v>
      </c>
      <c r="F52" s="97" t="s">
        <v>214</v>
      </c>
      <c r="G52" s="104">
        <v>3.2700828269889688E-2</v>
      </c>
      <c r="H52" s="104">
        <v>19.831963209642495</v>
      </c>
      <c r="I52" s="97" t="s">
        <v>213</v>
      </c>
      <c r="J52" s="104"/>
      <c r="K52" s="104"/>
      <c r="L52" s="104"/>
      <c r="M52" s="105"/>
    </row>
    <row r="53" spans="1:13" x14ac:dyDescent="0.3">
      <c r="A53" s="102" t="s">
        <v>204</v>
      </c>
      <c r="B53" s="103" t="s">
        <v>177</v>
      </c>
      <c r="C53" s="103" t="b">
        <v>0</v>
      </c>
      <c r="D53" s="103" t="s">
        <v>205</v>
      </c>
      <c r="E53" s="103" t="s">
        <v>173</v>
      </c>
      <c r="F53" s="97" t="s">
        <v>215</v>
      </c>
      <c r="G53" s="104">
        <v>0.22047479442971948</v>
      </c>
      <c r="H53" s="104">
        <v>14.041598585602575</v>
      </c>
      <c r="I53" s="97" t="s">
        <v>213</v>
      </c>
      <c r="J53" s="104"/>
      <c r="K53" s="104"/>
      <c r="L53" s="104"/>
      <c r="M53" s="105"/>
    </row>
    <row r="54" spans="1:13" x14ac:dyDescent="0.3">
      <c r="A54" s="102" t="s">
        <v>204</v>
      </c>
      <c r="B54" s="103" t="s">
        <v>177</v>
      </c>
      <c r="C54" s="103" t="b">
        <v>1</v>
      </c>
      <c r="D54" s="103" t="s">
        <v>205</v>
      </c>
      <c r="E54" s="103" t="s">
        <v>173</v>
      </c>
      <c r="F54" s="97" t="s">
        <v>216</v>
      </c>
      <c r="G54" s="104">
        <v>0.22047479442971948</v>
      </c>
      <c r="H54" s="104">
        <v>14.004415494451276</v>
      </c>
      <c r="I54" s="97" t="s">
        <v>213</v>
      </c>
      <c r="J54" s="104"/>
      <c r="K54" s="104"/>
      <c r="L54" s="104"/>
      <c r="M54" s="105"/>
    </row>
    <row r="55" spans="1:13" x14ac:dyDescent="0.3">
      <c r="A55" s="102" t="s">
        <v>204</v>
      </c>
      <c r="B55" s="103" t="s">
        <v>177</v>
      </c>
      <c r="C55" s="103" t="b">
        <v>1</v>
      </c>
      <c r="D55" s="103" t="s">
        <v>205</v>
      </c>
      <c r="E55" s="103" t="s">
        <v>175</v>
      </c>
      <c r="F55" s="97" t="s">
        <v>217</v>
      </c>
      <c r="G55" s="104">
        <v>0.40784067515907096</v>
      </c>
      <c r="H55" s="104">
        <v>14.552081940749181</v>
      </c>
      <c r="I55" s="97" t="s">
        <v>213</v>
      </c>
      <c r="J55" s="104"/>
      <c r="K55" s="104"/>
      <c r="L55" s="104"/>
      <c r="M55" s="105"/>
    </row>
    <row r="56" spans="1:13" x14ac:dyDescent="0.3">
      <c r="A56" s="102" t="s">
        <v>204</v>
      </c>
      <c r="B56" s="103" t="s">
        <v>177</v>
      </c>
      <c r="C56" s="103" t="b">
        <v>0</v>
      </c>
      <c r="D56" s="103" t="s">
        <v>169</v>
      </c>
      <c r="E56" s="103" t="s">
        <v>170</v>
      </c>
      <c r="F56" s="97" t="s">
        <v>218</v>
      </c>
      <c r="G56" s="104">
        <v>7.5539243964215352E-2</v>
      </c>
      <c r="H56" s="104">
        <v>23.791657471888772</v>
      </c>
      <c r="I56" s="97" t="s">
        <v>179</v>
      </c>
      <c r="J56" s="104">
        <v>0.44878013576403059</v>
      </c>
      <c r="K56" s="104">
        <v>19.595908201304038</v>
      </c>
      <c r="L56" s="104"/>
      <c r="M56" s="105"/>
    </row>
    <row r="57" spans="1:13" x14ac:dyDescent="0.3">
      <c r="A57" s="102" t="s">
        <v>204</v>
      </c>
      <c r="B57" s="103" t="s">
        <v>177</v>
      </c>
      <c r="C57" s="103" t="b">
        <v>1</v>
      </c>
      <c r="D57" s="103" t="s">
        <v>169</v>
      </c>
      <c r="E57" s="103" t="s">
        <v>170</v>
      </c>
      <c r="F57" s="97" t="s">
        <v>219</v>
      </c>
      <c r="G57" s="104">
        <v>7.5539243964215352E-2</v>
      </c>
      <c r="H57" s="104">
        <v>23.723636104665584</v>
      </c>
      <c r="I57" s="97" t="s">
        <v>179</v>
      </c>
      <c r="J57" s="104"/>
      <c r="K57" s="104"/>
      <c r="L57" s="104"/>
      <c r="M57" s="105"/>
    </row>
    <row r="58" spans="1:13" x14ac:dyDescent="0.3">
      <c r="A58" s="102" t="s">
        <v>204</v>
      </c>
      <c r="B58" s="103" t="s">
        <v>177</v>
      </c>
      <c r="C58" s="103" t="b">
        <v>1</v>
      </c>
      <c r="D58" s="103" t="s">
        <v>169</v>
      </c>
      <c r="E58" s="103" t="s">
        <v>173</v>
      </c>
      <c r="F58" s="97" t="s">
        <v>220</v>
      </c>
      <c r="G58" s="104">
        <v>0.47142460093532446</v>
      </c>
      <c r="H58" s="104">
        <v>17.504868403245418</v>
      </c>
      <c r="I58" s="97" t="s">
        <v>179</v>
      </c>
      <c r="J58" s="104"/>
      <c r="K58" s="104"/>
      <c r="L58" s="104"/>
      <c r="M58" s="105"/>
    </row>
    <row r="59" spans="1:13" x14ac:dyDescent="0.3">
      <c r="A59" s="102" t="s">
        <v>204</v>
      </c>
      <c r="B59" s="103" t="s">
        <v>182</v>
      </c>
      <c r="C59" s="103" t="b">
        <v>1</v>
      </c>
      <c r="D59" s="103" t="s">
        <v>205</v>
      </c>
      <c r="E59" s="103" t="s">
        <v>170</v>
      </c>
      <c r="F59" s="97" t="s">
        <v>221</v>
      </c>
      <c r="G59" s="104">
        <v>2.0210791952289801E-2</v>
      </c>
      <c r="H59" s="104">
        <v>10.787603330071402</v>
      </c>
      <c r="I59" s="97" t="s">
        <v>222</v>
      </c>
      <c r="J59" s="104">
        <v>0.19157434110900518</v>
      </c>
      <c r="K59" s="104">
        <v>9.9483596247676598</v>
      </c>
      <c r="L59" s="104"/>
      <c r="M59" s="105"/>
    </row>
    <row r="60" spans="1:13" x14ac:dyDescent="0.3">
      <c r="A60" s="102" t="s">
        <v>204</v>
      </c>
      <c r="B60" s="103" t="s">
        <v>182</v>
      </c>
      <c r="C60" s="103" t="b">
        <v>0</v>
      </c>
      <c r="D60" s="103" t="s">
        <v>169</v>
      </c>
      <c r="E60" s="103" t="s">
        <v>170</v>
      </c>
      <c r="F60" s="97" t="s">
        <v>223</v>
      </c>
      <c r="G60" s="104">
        <v>4.8810461428306341E-2</v>
      </c>
      <c r="H60" s="104">
        <v>13.083396758374894</v>
      </c>
      <c r="I60" s="97" t="s">
        <v>184</v>
      </c>
      <c r="J60" s="104">
        <v>0.33588053353152908</v>
      </c>
      <c r="K60" s="104">
        <v>10.994063752466843</v>
      </c>
      <c r="L60" s="104"/>
      <c r="M60" s="105"/>
    </row>
    <row r="61" spans="1:13" x14ac:dyDescent="0.3">
      <c r="A61" s="102" t="s">
        <v>204</v>
      </c>
      <c r="B61" s="103" t="s">
        <v>182</v>
      </c>
      <c r="C61" s="103" t="b">
        <v>1</v>
      </c>
      <c r="D61" s="103" t="s">
        <v>169</v>
      </c>
      <c r="E61" s="103" t="s">
        <v>170</v>
      </c>
      <c r="F61" s="97" t="s">
        <v>224</v>
      </c>
      <c r="G61" s="104">
        <v>4.8810461428306341E-2</v>
      </c>
      <c r="H61" s="104">
        <v>13.049181617038023</v>
      </c>
      <c r="I61" s="97" t="s">
        <v>184</v>
      </c>
      <c r="J61" s="104"/>
      <c r="K61" s="104"/>
      <c r="L61" s="104"/>
      <c r="M61" s="105"/>
    </row>
    <row r="62" spans="1:13" x14ac:dyDescent="0.3">
      <c r="A62" s="102" t="s">
        <v>204</v>
      </c>
      <c r="B62" s="103" t="s">
        <v>182</v>
      </c>
      <c r="C62" s="103" t="b">
        <v>1</v>
      </c>
      <c r="D62" s="103" t="s">
        <v>169</v>
      </c>
      <c r="E62" s="103" t="s">
        <v>173</v>
      </c>
      <c r="F62" s="97" t="s">
        <v>225</v>
      </c>
      <c r="G62" s="104">
        <v>0.34952669326733898</v>
      </c>
      <c r="H62" s="104">
        <v>9.4003701703265445</v>
      </c>
      <c r="I62" s="97" t="s">
        <v>184</v>
      </c>
      <c r="J62" s="104"/>
      <c r="K62" s="104"/>
      <c r="L62" s="104"/>
      <c r="M62" s="105"/>
    </row>
    <row r="63" spans="1:13" x14ac:dyDescent="0.3">
      <c r="A63" s="102" t="s">
        <v>204</v>
      </c>
      <c r="B63" s="103" t="s">
        <v>192</v>
      </c>
      <c r="C63" s="103" t="b">
        <v>0</v>
      </c>
      <c r="D63" s="103" t="s">
        <v>205</v>
      </c>
      <c r="E63" s="103" t="s">
        <v>170</v>
      </c>
      <c r="F63" s="97" t="s">
        <v>226</v>
      </c>
      <c r="G63" s="104">
        <v>3.2612424629658632E-2</v>
      </c>
      <c r="H63" s="104">
        <v>10.560818421846154</v>
      </c>
      <c r="I63" s="97" t="s">
        <v>227</v>
      </c>
      <c r="J63" s="104">
        <v>0.19063393596914871</v>
      </c>
      <c r="K63" s="104">
        <v>8.6905665469408291</v>
      </c>
      <c r="L63" s="104"/>
      <c r="M63" s="105"/>
    </row>
    <row r="64" spans="1:13" x14ac:dyDescent="0.3">
      <c r="A64" s="102" t="s">
        <v>204</v>
      </c>
      <c r="B64" s="103" t="s">
        <v>192</v>
      </c>
      <c r="C64" s="103" t="b">
        <v>1</v>
      </c>
      <c r="D64" s="103" t="s">
        <v>205</v>
      </c>
      <c r="E64" s="103" t="s">
        <v>170</v>
      </c>
      <c r="F64" s="97" t="s">
        <v>228</v>
      </c>
      <c r="G64" s="104">
        <v>3.2612383151314733E-2</v>
      </c>
      <c r="H64" s="104">
        <v>10.504110994537308</v>
      </c>
      <c r="I64" s="97" t="s">
        <v>227</v>
      </c>
      <c r="J64" s="104"/>
      <c r="K64" s="104"/>
      <c r="L64" s="104"/>
      <c r="M64" s="105"/>
    </row>
    <row r="65" spans="1:13" x14ac:dyDescent="0.3">
      <c r="A65" s="102" t="s">
        <v>204</v>
      </c>
      <c r="B65" s="103" t="s">
        <v>192</v>
      </c>
      <c r="C65" s="103" t="b">
        <v>1</v>
      </c>
      <c r="D65" s="103" t="s">
        <v>169</v>
      </c>
      <c r="E65" s="103" t="s">
        <v>170</v>
      </c>
      <c r="F65" s="97" t="s">
        <v>229</v>
      </c>
      <c r="G65" s="104">
        <v>6.0688200035643167E-2</v>
      </c>
      <c r="H65" s="104">
        <v>14.666439494360997</v>
      </c>
      <c r="I65" s="97" t="s">
        <v>194</v>
      </c>
      <c r="J65" s="104">
        <v>0.29203104821925496</v>
      </c>
      <c r="K65" s="104">
        <v>11.568506023125176</v>
      </c>
      <c r="L65" s="104"/>
      <c r="M65" s="105"/>
    </row>
    <row r="66" spans="1:13" x14ac:dyDescent="0.3">
      <c r="A66" s="102" t="s">
        <v>204</v>
      </c>
      <c r="B66" s="103" t="s">
        <v>192</v>
      </c>
      <c r="C66" s="103" t="b">
        <v>0</v>
      </c>
      <c r="D66" s="103" t="s">
        <v>169</v>
      </c>
      <c r="E66" s="103" t="s">
        <v>173</v>
      </c>
      <c r="F66" s="97" t="s">
        <v>230</v>
      </c>
      <c r="G66" s="104">
        <v>0.14964939494164414</v>
      </c>
      <c r="H66" s="104">
        <v>11.401515701077146</v>
      </c>
      <c r="I66" s="97" t="s">
        <v>194</v>
      </c>
      <c r="J66" s="104"/>
      <c r="K66" s="104"/>
      <c r="L66" s="104"/>
      <c r="M66" s="105"/>
    </row>
    <row r="67" spans="1:13" x14ac:dyDescent="0.3">
      <c r="A67" s="102" t="s">
        <v>204</v>
      </c>
      <c r="B67" s="103" t="s">
        <v>192</v>
      </c>
      <c r="C67" s="103" t="b">
        <v>1</v>
      </c>
      <c r="D67" s="103" t="s">
        <v>169</v>
      </c>
      <c r="E67" s="103" t="s">
        <v>173</v>
      </c>
      <c r="F67" s="97" t="s">
        <v>231</v>
      </c>
      <c r="G67" s="104">
        <v>0.14964931300345863</v>
      </c>
      <c r="H67" s="104">
        <v>11.344895327498515</v>
      </c>
      <c r="I67" s="97" t="s">
        <v>194</v>
      </c>
      <c r="J67" s="104"/>
      <c r="K67" s="104"/>
      <c r="L67" s="104"/>
      <c r="M67" s="105"/>
    </row>
    <row r="68" spans="1:13" x14ac:dyDescent="0.3">
      <c r="A68" s="102" t="s">
        <v>204</v>
      </c>
      <c r="B68" s="103" t="s">
        <v>192</v>
      </c>
      <c r="C68" s="103" t="b">
        <v>1</v>
      </c>
      <c r="D68" s="103" t="s">
        <v>169</v>
      </c>
      <c r="E68" s="103" t="s">
        <v>175</v>
      </c>
      <c r="F68" s="97" t="s">
        <v>232</v>
      </c>
      <c r="G68" s="104">
        <v>0.66575554968047757</v>
      </c>
      <c r="H68" s="104">
        <v>8.637562873937382</v>
      </c>
      <c r="I68" s="97" t="s">
        <v>194</v>
      </c>
      <c r="J68" s="104"/>
      <c r="K68" s="104"/>
      <c r="L68" s="104"/>
      <c r="M68" s="105"/>
    </row>
    <row r="69" spans="1:13" x14ac:dyDescent="0.3">
      <c r="A69" s="102" t="s">
        <v>204</v>
      </c>
      <c r="B69" s="103" t="s">
        <v>198</v>
      </c>
      <c r="C69" s="103" t="b">
        <v>1</v>
      </c>
      <c r="D69" s="103" t="s">
        <v>205</v>
      </c>
      <c r="E69" s="103" t="s">
        <v>170</v>
      </c>
      <c r="F69" s="97" t="s">
        <v>233</v>
      </c>
      <c r="G69" s="104">
        <v>4.1004124256161845E-2</v>
      </c>
      <c r="H69" s="104">
        <v>24.408134144006414</v>
      </c>
      <c r="I69" s="97" t="s">
        <v>234</v>
      </c>
      <c r="J69" s="104">
        <v>0.28335875964354079</v>
      </c>
      <c r="K69" s="104">
        <v>19.363593995430236</v>
      </c>
      <c r="L69" s="104"/>
      <c r="M69" s="105"/>
    </row>
    <row r="70" spans="1:13" x14ac:dyDescent="0.3">
      <c r="A70" s="102" t="s">
        <v>204</v>
      </c>
      <c r="B70" s="103" t="s">
        <v>198</v>
      </c>
      <c r="C70" s="103" t="b">
        <v>0</v>
      </c>
      <c r="D70" s="103" t="s">
        <v>205</v>
      </c>
      <c r="E70" s="103" t="s">
        <v>175</v>
      </c>
      <c r="F70" s="97" t="s">
        <v>235</v>
      </c>
      <c r="G70" s="104">
        <v>0.54569871598520403</v>
      </c>
      <c r="H70" s="104">
        <v>17.490322329467894</v>
      </c>
      <c r="I70" s="97" t="s">
        <v>234</v>
      </c>
      <c r="J70" s="104"/>
      <c r="K70" s="104"/>
      <c r="L70" s="104"/>
      <c r="M70" s="105"/>
    </row>
    <row r="71" spans="1:13" x14ac:dyDescent="0.3">
      <c r="A71" s="102" t="s">
        <v>204</v>
      </c>
      <c r="B71" s="103" t="s">
        <v>198</v>
      </c>
      <c r="C71" s="103" t="b">
        <v>1</v>
      </c>
      <c r="D71" s="103" t="s">
        <v>169</v>
      </c>
      <c r="E71" s="103" t="s">
        <v>170</v>
      </c>
      <c r="F71" s="97" t="s">
        <v>236</v>
      </c>
      <c r="G71" s="104">
        <v>8.9307015431550479E-2</v>
      </c>
      <c r="H71" s="104">
        <v>30.122447577538871</v>
      </c>
      <c r="I71" s="97" t="s">
        <v>200</v>
      </c>
      <c r="J71" s="104">
        <v>0.51984537643264073</v>
      </c>
      <c r="K71" s="104">
        <v>23.799359425309593</v>
      </c>
      <c r="L71" s="104"/>
      <c r="M71" s="105"/>
    </row>
    <row r="72" spans="1:13" x14ac:dyDescent="0.3">
      <c r="A72" s="102" t="s">
        <v>204</v>
      </c>
      <c r="B72" s="103" t="s">
        <v>198</v>
      </c>
      <c r="C72" s="103" t="b">
        <v>1</v>
      </c>
      <c r="D72" s="103" t="s">
        <v>169</v>
      </c>
      <c r="E72" s="103" t="s">
        <v>173</v>
      </c>
      <c r="F72" s="97" t="s">
        <v>237</v>
      </c>
      <c r="G72" s="104">
        <v>0.51619901042657823</v>
      </c>
      <c r="H72" s="104">
        <v>22.496469552306742</v>
      </c>
      <c r="I72" s="97" t="s">
        <v>200</v>
      </c>
      <c r="J72" s="104"/>
      <c r="K72" s="104"/>
      <c r="L72" s="104"/>
      <c r="M72" s="105"/>
    </row>
    <row r="73" spans="1:13" ht="28" x14ac:dyDescent="0.3">
      <c r="A73" s="102" t="s">
        <v>238</v>
      </c>
      <c r="B73" s="103" t="s">
        <v>168</v>
      </c>
      <c r="C73" s="103" t="b">
        <v>0</v>
      </c>
      <c r="D73" s="103" t="s">
        <v>205</v>
      </c>
      <c r="E73" s="103" t="s">
        <v>170</v>
      </c>
      <c r="F73" s="97" t="s">
        <v>239</v>
      </c>
      <c r="G73" s="104">
        <v>4.1621650157991061E-2</v>
      </c>
      <c r="H73" s="104">
        <v>25.627721295994828</v>
      </c>
      <c r="I73" s="97" t="s">
        <v>207</v>
      </c>
      <c r="J73" s="104">
        <v>0.30652266471303219</v>
      </c>
      <c r="K73" s="104">
        <v>21.461291487805525</v>
      </c>
      <c r="L73" s="104"/>
      <c r="M73" s="105"/>
    </row>
    <row r="74" spans="1:13" ht="28" x14ac:dyDescent="0.3">
      <c r="A74" s="102" t="s">
        <v>238</v>
      </c>
      <c r="B74" s="103" t="s">
        <v>168</v>
      </c>
      <c r="C74" s="103" t="b">
        <v>1</v>
      </c>
      <c r="D74" s="103" t="s">
        <v>205</v>
      </c>
      <c r="E74" s="103" t="s">
        <v>170</v>
      </c>
      <c r="F74" s="97" t="s">
        <v>240</v>
      </c>
      <c r="G74" s="104">
        <v>4.1619982361421462E-2</v>
      </c>
      <c r="H74" s="104">
        <v>25.550356131383172</v>
      </c>
      <c r="I74" s="97" t="s">
        <v>207</v>
      </c>
      <c r="J74" s="104"/>
      <c r="K74" s="104"/>
      <c r="L74" s="104"/>
      <c r="M74" s="105"/>
    </row>
    <row r="75" spans="1:13" ht="28" x14ac:dyDescent="0.3">
      <c r="A75" s="102" t="s">
        <v>238</v>
      </c>
      <c r="B75" s="103" t="s">
        <v>168</v>
      </c>
      <c r="C75" s="103" t="b">
        <v>0</v>
      </c>
      <c r="D75" s="103" t="s">
        <v>205</v>
      </c>
      <c r="E75" s="103" t="s">
        <v>173</v>
      </c>
      <c r="F75" s="97" t="s">
        <v>241</v>
      </c>
      <c r="G75" s="104">
        <v>0.32757141011514257</v>
      </c>
      <c r="H75" s="104">
        <v>18.659301988590023</v>
      </c>
      <c r="I75" s="97" t="s">
        <v>207</v>
      </c>
      <c r="J75" s="104"/>
      <c r="K75" s="104"/>
      <c r="L75" s="104"/>
      <c r="M75" s="105"/>
    </row>
    <row r="76" spans="1:13" ht="28" x14ac:dyDescent="0.3">
      <c r="A76" s="102" t="s">
        <v>238</v>
      </c>
      <c r="B76" s="103" t="s">
        <v>168</v>
      </c>
      <c r="C76" s="103" t="b">
        <v>0</v>
      </c>
      <c r="D76" s="103" t="s">
        <v>169</v>
      </c>
      <c r="E76" s="103" t="s">
        <v>170</v>
      </c>
      <c r="F76" s="97" t="s">
        <v>242</v>
      </c>
      <c r="G76" s="104">
        <v>9.6309007059669494E-2</v>
      </c>
      <c r="H76" s="104">
        <v>30.621864909749327</v>
      </c>
      <c r="I76" s="97" t="s">
        <v>172</v>
      </c>
      <c r="J76" s="104">
        <v>0.59018635788373608</v>
      </c>
      <c r="K76" s="104">
        <v>25.282213891374383</v>
      </c>
      <c r="L76" s="104"/>
      <c r="M76" s="105"/>
    </row>
    <row r="77" spans="1:13" ht="28" x14ac:dyDescent="0.3">
      <c r="A77" s="102" t="s">
        <v>238</v>
      </c>
      <c r="B77" s="103" t="s">
        <v>168</v>
      </c>
      <c r="C77" s="103" t="b">
        <v>1</v>
      </c>
      <c r="D77" s="103" t="s">
        <v>169</v>
      </c>
      <c r="E77" s="103" t="s">
        <v>170</v>
      </c>
      <c r="F77" s="97" t="s">
        <v>243</v>
      </c>
      <c r="G77" s="104">
        <v>9.630593229755631E-2</v>
      </c>
      <c r="H77" s="104">
        <v>30.530227944207219</v>
      </c>
      <c r="I77" s="97" t="s">
        <v>172</v>
      </c>
      <c r="J77" s="104"/>
      <c r="K77" s="104"/>
      <c r="L77" s="104"/>
      <c r="M77" s="105"/>
    </row>
    <row r="78" spans="1:13" ht="28" x14ac:dyDescent="0.3">
      <c r="A78" s="102" t="s">
        <v>238</v>
      </c>
      <c r="B78" s="103" t="s">
        <v>168</v>
      </c>
      <c r="C78" s="103" t="b">
        <v>0</v>
      </c>
      <c r="D78" s="103" t="s">
        <v>169</v>
      </c>
      <c r="E78" s="103" t="s">
        <v>173</v>
      </c>
      <c r="F78" s="97" t="s">
        <v>244</v>
      </c>
      <c r="G78" s="104">
        <v>0.70379901999116989</v>
      </c>
      <c r="H78" s="104">
        <v>23.294134784295306</v>
      </c>
      <c r="I78" s="97" t="s">
        <v>172</v>
      </c>
      <c r="J78" s="104"/>
      <c r="K78" s="104"/>
      <c r="L78" s="104"/>
      <c r="M78" s="105"/>
    </row>
    <row r="79" spans="1:13" ht="28" x14ac:dyDescent="0.3">
      <c r="A79" s="102" t="s">
        <v>238</v>
      </c>
      <c r="B79" s="103" t="s">
        <v>168</v>
      </c>
      <c r="C79" s="103" t="b">
        <v>1</v>
      </c>
      <c r="D79" s="103" t="s">
        <v>169</v>
      </c>
      <c r="E79" s="103" t="s">
        <v>173</v>
      </c>
      <c r="F79" s="97" t="s">
        <v>245</v>
      </c>
      <c r="G79" s="104">
        <v>0.70376743271167375</v>
      </c>
      <c r="H79" s="104">
        <v>23.231127952614234</v>
      </c>
      <c r="I79" s="97" t="s">
        <v>172</v>
      </c>
      <c r="J79" s="104"/>
      <c r="K79" s="104"/>
      <c r="L79" s="104"/>
      <c r="M79" s="105"/>
    </row>
    <row r="80" spans="1:13" ht="28" x14ac:dyDescent="0.3">
      <c r="A80" s="102" t="s">
        <v>238</v>
      </c>
      <c r="B80" s="103" t="s">
        <v>177</v>
      </c>
      <c r="C80" s="103" t="b">
        <v>0</v>
      </c>
      <c r="D80" s="103" t="s">
        <v>205</v>
      </c>
      <c r="E80" s="103" t="s">
        <v>170</v>
      </c>
      <c r="F80" s="97" t="s">
        <v>246</v>
      </c>
      <c r="G80" s="104">
        <v>3.4223273072311933E-2</v>
      </c>
      <c r="H80" s="104">
        <v>21.753457303117365</v>
      </c>
      <c r="I80" s="97" t="s">
        <v>213</v>
      </c>
      <c r="J80" s="104">
        <v>0.24917690434162551</v>
      </c>
      <c r="K80" s="104">
        <v>17.808566831694773</v>
      </c>
      <c r="L80" s="104"/>
      <c r="M80" s="105"/>
    </row>
    <row r="81" spans="1:13" ht="28" x14ac:dyDescent="0.3">
      <c r="A81" s="102" t="s">
        <v>238</v>
      </c>
      <c r="B81" s="103" t="s">
        <v>177</v>
      </c>
      <c r="C81" s="103" t="b">
        <v>1</v>
      </c>
      <c r="D81" s="103" t="s">
        <v>205</v>
      </c>
      <c r="E81" s="103" t="s">
        <v>170</v>
      </c>
      <c r="F81" s="97" t="s">
        <v>247</v>
      </c>
      <c r="G81" s="104">
        <v>3.4223273072311933E-2</v>
      </c>
      <c r="H81" s="104">
        <v>21.690651034874982</v>
      </c>
      <c r="I81" s="97" t="s">
        <v>213</v>
      </c>
      <c r="J81" s="104"/>
      <c r="K81" s="104"/>
      <c r="L81" s="104"/>
      <c r="M81" s="105"/>
    </row>
    <row r="82" spans="1:13" ht="28" x14ac:dyDescent="0.3">
      <c r="A82" s="102" t="s">
        <v>238</v>
      </c>
      <c r="B82" s="103" t="s">
        <v>177</v>
      </c>
      <c r="C82" s="103" t="b">
        <v>0</v>
      </c>
      <c r="D82" s="103" t="s">
        <v>169</v>
      </c>
      <c r="E82" s="103" t="s">
        <v>170</v>
      </c>
      <c r="F82" s="97" t="s">
        <v>248</v>
      </c>
      <c r="G82" s="104">
        <v>7.8354075935755163E-2</v>
      </c>
      <c r="H82" s="104">
        <v>25.995308885535966</v>
      </c>
      <c r="I82" s="97" t="s">
        <v>179</v>
      </c>
      <c r="J82" s="104">
        <v>0.4627191934016987</v>
      </c>
      <c r="K82" s="104">
        <v>20.860276721866995</v>
      </c>
      <c r="L82" s="104"/>
      <c r="M82" s="105"/>
    </row>
    <row r="83" spans="1:13" ht="28" x14ac:dyDescent="0.3">
      <c r="A83" s="102" t="s">
        <v>238</v>
      </c>
      <c r="B83" s="103" t="s">
        <v>177</v>
      </c>
      <c r="C83" s="103" t="b">
        <v>1</v>
      </c>
      <c r="D83" s="103" t="s">
        <v>169</v>
      </c>
      <c r="E83" s="103" t="s">
        <v>170</v>
      </c>
      <c r="F83" s="97" t="s">
        <v>249</v>
      </c>
      <c r="G83" s="104">
        <v>7.8354075935755163E-2</v>
      </c>
      <c r="H83" s="104">
        <v>25.921360030239462</v>
      </c>
      <c r="I83" s="97" t="s">
        <v>179</v>
      </c>
      <c r="J83" s="104"/>
      <c r="K83" s="104"/>
      <c r="L83" s="104"/>
      <c r="M83" s="105"/>
    </row>
    <row r="84" spans="1:13" ht="28" x14ac:dyDescent="0.3">
      <c r="A84" s="102" t="s">
        <v>238</v>
      </c>
      <c r="B84" s="103" t="s">
        <v>177</v>
      </c>
      <c r="C84" s="103" t="b">
        <v>0</v>
      </c>
      <c r="D84" s="103" t="s">
        <v>169</v>
      </c>
      <c r="E84" s="103" t="s">
        <v>173</v>
      </c>
      <c r="F84" s="97" t="s">
        <v>250</v>
      </c>
      <c r="G84" s="104">
        <v>0.51042694187678905</v>
      </c>
      <c r="H84" s="104">
        <v>19.168271406583607</v>
      </c>
      <c r="I84" s="97" t="s">
        <v>179</v>
      </c>
      <c r="J84" s="104"/>
      <c r="K84" s="104"/>
      <c r="L84" s="104"/>
      <c r="M84" s="105"/>
    </row>
    <row r="85" spans="1:13" ht="28" x14ac:dyDescent="0.3">
      <c r="A85" s="102" t="s">
        <v>238</v>
      </c>
      <c r="B85" s="103" t="s">
        <v>177</v>
      </c>
      <c r="C85" s="103" t="b">
        <v>1</v>
      </c>
      <c r="D85" s="103" t="s">
        <v>169</v>
      </c>
      <c r="E85" s="103" t="s">
        <v>173</v>
      </c>
      <c r="F85" s="97" t="s">
        <v>251</v>
      </c>
      <c r="G85" s="104">
        <v>0.51042694187678905</v>
      </c>
      <c r="H85" s="104">
        <v>19.119451598460113</v>
      </c>
      <c r="I85" s="97" t="s">
        <v>179</v>
      </c>
      <c r="J85" s="104"/>
      <c r="K85" s="104"/>
      <c r="L85" s="104"/>
      <c r="M85" s="105"/>
    </row>
    <row r="86" spans="1:13" ht="28" x14ac:dyDescent="0.3">
      <c r="A86" s="102" t="s">
        <v>238</v>
      </c>
      <c r="B86" s="103" t="s">
        <v>182</v>
      </c>
      <c r="C86" s="103" t="b">
        <v>0</v>
      </c>
      <c r="D86" s="103" t="s">
        <v>205</v>
      </c>
      <c r="E86" s="103" t="s">
        <v>170</v>
      </c>
      <c r="F86" s="97" t="s">
        <v>252</v>
      </c>
      <c r="G86" s="104">
        <v>2.5762822770899155E-2</v>
      </c>
      <c r="H86" s="104">
        <v>13.716683134710573</v>
      </c>
      <c r="I86" s="97" t="s">
        <v>222</v>
      </c>
      <c r="J86" s="104">
        <v>0.19471893382600347</v>
      </c>
      <c r="K86" s="104">
        <v>10.966262226753443</v>
      </c>
      <c r="L86" s="104"/>
      <c r="M86" s="105"/>
    </row>
    <row r="87" spans="1:13" ht="28" x14ac:dyDescent="0.3">
      <c r="A87" s="102" t="s">
        <v>238</v>
      </c>
      <c r="B87" s="103" t="s">
        <v>182</v>
      </c>
      <c r="C87" s="103" t="b">
        <v>1</v>
      </c>
      <c r="D87" s="103" t="s">
        <v>205</v>
      </c>
      <c r="E87" s="103" t="s">
        <v>170</v>
      </c>
      <c r="F87" s="97" t="s">
        <v>253</v>
      </c>
      <c r="G87" s="104">
        <v>2.5762822770899155E-2</v>
      </c>
      <c r="H87" s="104">
        <v>13.680050138700715</v>
      </c>
      <c r="I87" s="97" t="s">
        <v>222</v>
      </c>
      <c r="J87" s="104"/>
      <c r="K87" s="104"/>
      <c r="L87" s="104"/>
      <c r="M87" s="105"/>
    </row>
    <row r="88" spans="1:13" ht="28" x14ac:dyDescent="0.3">
      <c r="A88" s="102" t="s">
        <v>238</v>
      </c>
      <c r="B88" s="103" t="s">
        <v>182</v>
      </c>
      <c r="C88" s="103" t="b">
        <v>0</v>
      </c>
      <c r="D88" s="103" t="s">
        <v>205</v>
      </c>
      <c r="E88" s="103" t="s">
        <v>173</v>
      </c>
      <c r="F88" s="97" t="s">
        <v>254</v>
      </c>
      <c r="G88" s="104">
        <v>0.20870826309085419</v>
      </c>
      <c r="H88" s="104">
        <v>9.5690587328801637</v>
      </c>
      <c r="I88" s="97" t="s">
        <v>222</v>
      </c>
      <c r="J88" s="104"/>
      <c r="K88" s="104"/>
      <c r="L88" s="104"/>
      <c r="M88" s="105"/>
    </row>
    <row r="89" spans="1:13" ht="28" x14ac:dyDescent="0.3">
      <c r="A89" s="102" t="s">
        <v>238</v>
      </c>
      <c r="B89" s="103" t="s">
        <v>182</v>
      </c>
      <c r="C89" s="103" t="b">
        <v>0</v>
      </c>
      <c r="D89" s="103" t="s">
        <v>169</v>
      </c>
      <c r="E89" s="103" t="s">
        <v>170</v>
      </c>
      <c r="F89" s="97" t="s">
        <v>255</v>
      </c>
      <c r="G89" s="104">
        <v>6.0372770754876411E-2</v>
      </c>
      <c r="H89" s="104">
        <v>16.442111071387611</v>
      </c>
      <c r="I89" s="97" t="s">
        <v>184</v>
      </c>
      <c r="J89" s="104">
        <v>0.37006557068754176</v>
      </c>
      <c r="K89" s="104">
        <v>12.955710049405965</v>
      </c>
      <c r="L89" s="104"/>
      <c r="M89" s="105"/>
    </row>
    <row r="90" spans="1:13" ht="28" x14ac:dyDescent="0.3">
      <c r="A90" s="102" t="s">
        <v>238</v>
      </c>
      <c r="B90" s="103" t="s">
        <v>182</v>
      </c>
      <c r="C90" s="103" t="b">
        <v>1</v>
      </c>
      <c r="D90" s="103" t="s">
        <v>169</v>
      </c>
      <c r="E90" s="103" t="s">
        <v>170</v>
      </c>
      <c r="F90" s="97" t="s">
        <v>256</v>
      </c>
      <c r="G90" s="104">
        <v>6.0372770754876411E-2</v>
      </c>
      <c r="H90" s="104">
        <v>16.398681348671907</v>
      </c>
      <c r="I90" s="97" t="s">
        <v>184</v>
      </c>
      <c r="J90" s="104"/>
      <c r="K90" s="104"/>
      <c r="L90" s="104"/>
      <c r="M90" s="105"/>
    </row>
    <row r="91" spans="1:13" ht="28" x14ac:dyDescent="0.3">
      <c r="A91" s="102" t="s">
        <v>238</v>
      </c>
      <c r="B91" s="103" t="s">
        <v>182</v>
      </c>
      <c r="C91" s="103" t="b">
        <v>0</v>
      </c>
      <c r="D91" s="103" t="s">
        <v>169</v>
      </c>
      <c r="E91" s="103" t="s">
        <v>173</v>
      </c>
      <c r="F91" s="97" t="s">
        <v>257</v>
      </c>
      <c r="G91" s="104">
        <v>0.44051949540880697</v>
      </c>
      <c r="H91" s="104">
        <v>11.970024470846893</v>
      </c>
      <c r="I91" s="97" t="s">
        <v>184</v>
      </c>
      <c r="J91" s="104"/>
      <c r="K91" s="104"/>
      <c r="L91" s="104"/>
      <c r="M91" s="105"/>
    </row>
    <row r="92" spans="1:13" ht="28" x14ac:dyDescent="0.3">
      <c r="A92" s="102" t="s">
        <v>238</v>
      </c>
      <c r="B92" s="103" t="s">
        <v>182</v>
      </c>
      <c r="C92" s="103" t="b">
        <v>1</v>
      </c>
      <c r="D92" s="103" t="s">
        <v>169</v>
      </c>
      <c r="E92" s="103" t="s">
        <v>173</v>
      </c>
      <c r="F92" s="97" t="s">
        <v>258</v>
      </c>
      <c r="G92" s="104">
        <v>0.44051949540880697</v>
      </c>
      <c r="H92" s="104">
        <v>11.941280112305762</v>
      </c>
      <c r="I92" s="97" t="s">
        <v>184</v>
      </c>
      <c r="J92" s="104"/>
      <c r="K92" s="104"/>
      <c r="L92" s="104"/>
      <c r="M92" s="105"/>
    </row>
    <row r="93" spans="1:13" ht="28" x14ac:dyDescent="0.3">
      <c r="A93" s="102" t="s">
        <v>238</v>
      </c>
      <c r="B93" s="103" t="s">
        <v>192</v>
      </c>
      <c r="C93" s="103" t="b">
        <v>0</v>
      </c>
      <c r="D93" s="103" t="s">
        <v>205</v>
      </c>
      <c r="E93" s="103" t="s">
        <v>170</v>
      </c>
      <c r="F93" s="97" t="s">
        <v>259</v>
      </c>
      <c r="G93" s="104">
        <v>3.2362836506790331E-2</v>
      </c>
      <c r="H93" s="104">
        <v>10.787677927841395</v>
      </c>
      <c r="I93" s="97" t="s">
        <v>227</v>
      </c>
      <c r="J93" s="104">
        <v>0.18341390235879507</v>
      </c>
      <c r="K93" s="104">
        <v>8.6133891678560239</v>
      </c>
      <c r="L93" s="104"/>
      <c r="M93" s="105"/>
    </row>
    <row r="94" spans="1:13" ht="28" x14ac:dyDescent="0.3">
      <c r="A94" s="102" t="s">
        <v>238</v>
      </c>
      <c r="B94" s="103" t="s">
        <v>192</v>
      </c>
      <c r="C94" s="103" t="b">
        <v>1</v>
      </c>
      <c r="D94" s="103" t="s">
        <v>205</v>
      </c>
      <c r="E94" s="103" t="s">
        <v>170</v>
      </c>
      <c r="F94" s="97" t="s">
        <v>260</v>
      </c>
      <c r="G94" s="104">
        <v>3.2362799052308031E-2</v>
      </c>
      <c r="H94" s="104">
        <v>10.733392770070372</v>
      </c>
      <c r="I94" s="97" t="s">
        <v>227</v>
      </c>
      <c r="J94" s="104"/>
      <c r="K94" s="104"/>
      <c r="L94" s="104"/>
      <c r="M94" s="105"/>
    </row>
    <row r="95" spans="1:13" ht="28" x14ac:dyDescent="0.3">
      <c r="A95" s="102" t="s">
        <v>238</v>
      </c>
      <c r="B95" s="103" t="s">
        <v>192</v>
      </c>
      <c r="C95" s="103" t="b">
        <v>0</v>
      </c>
      <c r="D95" s="103" t="s">
        <v>205</v>
      </c>
      <c r="E95" s="103" t="s">
        <v>173</v>
      </c>
      <c r="F95" s="97" t="s">
        <v>261</v>
      </c>
      <c r="G95" s="104">
        <v>7.9169953248206013E-2</v>
      </c>
      <c r="H95" s="104">
        <v>7.3248251388871974</v>
      </c>
      <c r="I95" s="97" t="s">
        <v>227</v>
      </c>
      <c r="J95" s="104"/>
      <c r="K95" s="104"/>
      <c r="L95" s="104"/>
      <c r="M95" s="105"/>
    </row>
    <row r="96" spans="1:13" ht="28" x14ac:dyDescent="0.3">
      <c r="A96" s="102" t="s">
        <v>238</v>
      </c>
      <c r="B96" s="103" t="s">
        <v>192</v>
      </c>
      <c r="C96" s="103" t="b">
        <v>1</v>
      </c>
      <c r="D96" s="103" t="s">
        <v>205</v>
      </c>
      <c r="E96" s="103" t="s">
        <v>173</v>
      </c>
      <c r="F96" s="97" t="s">
        <v>262</v>
      </c>
      <c r="G96" s="104">
        <v>7.9169896758465058E-2</v>
      </c>
      <c r="H96" s="104">
        <v>7.2897017734777165</v>
      </c>
      <c r="I96" s="97" t="s">
        <v>227</v>
      </c>
      <c r="J96" s="104"/>
      <c r="K96" s="104"/>
      <c r="L96" s="104"/>
      <c r="M96" s="105"/>
    </row>
    <row r="97" spans="1:13" ht="28" x14ac:dyDescent="0.3">
      <c r="A97" s="102" t="s">
        <v>238</v>
      </c>
      <c r="B97" s="103" t="s">
        <v>192</v>
      </c>
      <c r="C97" s="103" t="b">
        <v>0</v>
      </c>
      <c r="D97" s="103" t="s">
        <v>169</v>
      </c>
      <c r="E97" s="103" t="s">
        <v>170</v>
      </c>
      <c r="F97" s="97" t="s">
        <v>263</v>
      </c>
      <c r="G97" s="104">
        <v>6.0619327900353744E-2</v>
      </c>
      <c r="H97" s="104">
        <v>15.012031947926751</v>
      </c>
      <c r="I97" s="97" t="s">
        <v>194</v>
      </c>
      <c r="J97" s="104">
        <v>0.305446848606094</v>
      </c>
      <c r="K97" s="104">
        <v>12.004171583261339</v>
      </c>
      <c r="L97" s="104"/>
      <c r="M97" s="105"/>
    </row>
    <row r="98" spans="1:13" ht="28" x14ac:dyDescent="0.3">
      <c r="A98" s="102" t="s">
        <v>238</v>
      </c>
      <c r="B98" s="103" t="s">
        <v>192</v>
      </c>
      <c r="C98" s="103" t="b">
        <v>1</v>
      </c>
      <c r="D98" s="103" t="s">
        <v>169</v>
      </c>
      <c r="E98" s="103" t="s">
        <v>170</v>
      </c>
      <c r="F98" s="97" t="s">
        <v>264</v>
      </c>
      <c r="G98" s="104">
        <v>6.0619268263953023E-2</v>
      </c>
      <c r="H98" s="104">
        <v>14.941042781499743</v>
      </c>
      <c r="I98" s="97" t="s">
        <v>194</v>
      </c>
      <c r="J98" s="104"/>
      <c r="K98" s="104"/>
      <c r="L98" s="104"/>
      <c r="M98" s="105"/>
    </row>
    <row r="99" spans="1:13" ht="28" x14ac:dyDescent="0.3">
      <c r="A99" s="102" t="s">
        <v>238</v>
      </c>
      <c r="B99" s="103" t="s">
        <v>192</v>
      </c>
      <c r="C99" s="103" t="b">
        <v>0</v>
      </c>
      <c r="D99" s="103" t="s">
        <v>169</v>
      </c>
      <c r="E99" s="103" t="s">
        <v>173</v>
      </c>
      <c r="F99" s="97" t="s">
        <v>265</v>
      </c>
      <c r="G99" s="104">
        <v>0.15881589149521713</v>
      </c>
      <c r="H99" s="104">
        <v>11.611846450346176</v>
      </c>
      <c r="I99" s="97" t="s">
        <v>194</v>
      </c>
      <c r="J99" s="104"/>
      <c r="K99" s="104"/>
      <c r="L99" s="104"/>
      <c r="M99" s="105"/>
    </row>
    <row r="100" spans="1:13" ht="28" x14ac:dyDescent="0.3">
      <c r="A100" s="102" t="s">
        <v>238</v>
      </c>
      <c r="B100" s="103" t="s">
        <v>192</v>
      </c>
      <c r="C100" s="103" t="b">
        <v>1</v>
      </c>
      <c r="D100" s="103" t="s">
        <v>169</v>
      </c>
      <c r="E100" s="103" t="s">
        <v>173</v>
      </c>
      <c r="F100" s="97" t="s">
        <v>266</v>
      </c>
      <c r="G100" s="104">
        <v>0.15881581750594875</v>
      </c>
      <c r="H100" s="104">
        <v>11.557781032772283</v>
      </c>
      <c r="I100" s="97" t="s">
        <v>194</v>
      </c>
      <c r="J100" s="104"/>
      <c r="K100" s="104"/>
      <c r="L100" s="104"/>
      <c r="M100" s="105"/>
    </row>
    <row r="101" spans="1:13" ht="28" x14ac:dyDescent="0.3">
      <c r="A101" s="102" t="s">
        <v>238</v>
      </c>
      <c r="B101" s="103" t="s">
        <v>192</v>
      </c>
      <c r="C101" s="103" t="b">
        <v>0</v>
      </c>
      <c r="D101" s="103" t="s">
        <v>267</v>
      </c>
      <c r="E101" s="103" t="s">
        <v>170</v>
      </c>
      <c r="F101" s="97" t="s">
        <v>268</v>
      </c>
      <c r="G101" s="104">
        <v>0.10036525044493413</v>
      </c>
      <c r="H101" s="104">
        <v>16.094799972735341</v>
      </c>
      <c r="I101" s="97" t="s">
        <v>269</v>
      </c>
      <c r="J101" s="104">
        <v>0.36295174242515094</v>
      </c>
      <c r="K101" s="104">
        <v>13.469147635976052</v>
      </c>
      <c r="L101" s="104"/>
      <c r="M101" s="105"/>
    </row>
    <row r="102" spans="1:13" ht="28" x14ac:dyDescent="0.3">
      <c r="A102" s="102" t="s">
        <v>238</v>
      </c>
      <c r="B102" s="103" t="s">
        <v>192</v>
      </c>
      <c r="C102" s="103" t="b">
        <v>1</v>
      </c>
      <c r="D102" s="103" t="s">
        <v>267</v>
      </c>
      <c r="E102" s="103" t="s">
        <v>170</v>
      </c>
      <c r="F102" s="97" t="s">
        <v>270</v>
      </c>
      <c r="G102" s="104">
        <v>0.10036517429512525</v>
      </c>
      <c r="H102" s="104">
        <v>16.022437045010864</v>
      </c>
      <c r="I102" s="97" t="s">
        <v>269</v>
      </c>
      <c r="J102" s="104"/>
      <c r="K102" s="104"/>
      <c r="L102" s="104"/>
      <c r="M102" s="105"/>
    </row>
    <row r="103" spans="1:13" ht="28" x14ac:dyDescent="0.3">
      <c r="A103" s="102" t="s">
        <v>238</v>
      </c>
      <c r="B103" s="103" t="s">
        <v>192</v>
      </c>
      <c r="C103" s="103" t="b">
        <v>0</v>
      </c>
      <c r="D103" s="103" t="s">
        <v>267</v>
      </c>
      <c r="E103" s="103" t="s">
        <v>173</v>
      </c>
      <c r="F103" s="97" t="s">
        <v>271</v>
      </c>
      <c r="G103" s="104">
        <v>0.29160057650065685</v>
      </c>
      <c r="H103" s="104">
        <v>14.941699792841487</v>
      </c>
      <c r="I103" s="97" t="s">
        <v>269</v>
      </c>
      <c r="J103" s="104"/>
      <c r="K103" s="104"/>
      <c r="L103" s="104"/>
      <c r="M103" s="105"/>
    </row>
    <row r="104" spans="1:13" ht="28" x14ac:dyDescent="0.3">
      <c r="A104" s="102" t="s">
        <v>238</v>
      </c>
      <c r="B104" s="103" t="s">
        <v>198</v>
      </c>
      <c r="C104" s="103" t="b">
        <v>1</v>
      </c>
      <c r="D104" s="103" t="s">
        <v>205</v>
      </c>
      <c r="E104" s="103" t="s">
        <v>170</v>
      </c>
      <c r="F104" s="97" t="s">
        <v>272</v>
      </c>
      <c r="G104" s="104">
        <v>4.2625105286700771E-2</v>
      </c>
      <c r="H104" s="104">
        <v>24.620525466751033</v>
      </c>
      <c r="I104" s="97" t="s">
        <v>234</v>
      </c>
      <c r="J104" s="104">
        <v>0.28970281939077025</v>
      </c>
      <c r="K104" s="104">
        <v>19.227150115655814</v>
      </c>
      <c r="L104" s="104"/>
      <c r="M104" s="105"/>
    </row>
    <row r="105" spans="1:13" ht="28" x14ac:dyDescent="0.3">
      <c r="A105" s="102" t="s">
        <v>238</v>
      </c>
      <c r="B105" s="103" t="s">
        <v>198</v>
      </c>
      <c r="C105" s="103" t="b">
        <v>0</v>
      </c>
      <c r="D105" s="103" t="s">
        <v>169</v>
      </c>
      <c r="E105" s="103" t="s">
        <v>170</v>
      </c>
      <c r="F105" s="97" t="s">
        <v>273</v>
      </c>
      <c r="G105" s="104">
        <v>9.2167459934152429E-2</v>
      </c>
      <c r="H105" s="104">
        <v>30.782896047699289</v>
      </c>
      <c r="I105" s="97" t="s">
        <v>200</v>
      </c>
      <c r="J105" s="104">
        <v>0.53327388080767368</v>
      </c>
      <c r="K105" s="104">
        <v>24.244674069027031</v>
      </c>
      <c r="L105" s="104"/>
      <c r="M105" s="105"/>
    </row>
    <row r="106" spans="1:13" ht="28" x14ac:dyDescent="0.3">
      <c r="A106" s="102" t="s">
        <v>238</v>
      </c>
      <c r="B106" s="103" t="s">
        <v>198</v>
      </c>
      <c r="C106" s="103" t="b">
        <v>1</v>
      </c>
      <c r="D106" s="103" t="s">
        <v>169</v>
      </c>
      <c r="E106" s="103" t="s">
        <v>170</v>
      </c>
      <c r="F106" s="97" t="s">
        <v>274</v>
      </c>
      <c r="G106" s="104">
        <v>9.2000916952192188E-2</v>
      </c>
      <c r="H106" s="104">
        <v>30.621072484214473</v>
      </c>
      <c r="I106" s="97" t="s">
        <v>200</v>
      </c>
      <c r="J106" s="104"/>
      <c r="K106" s="104"/>
      <c r="L106" s="104"/>
      <c r="M106" s="105"/>
    </row>
    <row r="107" spans="1:13" ht="28" x14ac:dyDescent="0.3">
      <c r="A107" s="102" t="s">
        <v>238</v>
      </c>
      <c r="B107" s="103" t="s">
        <v>198</v>
      </c>
      <c r="C107" s="103" t="b">
        <v>0</v>
      </c>
      <c r="D107" s="103" t="s">
        <v>169</v>
      </c>
      <c r="E107" s="103" t="s">
        <v>173</v>
      </c>
      <c r="F107" s="97" t="s">
        <v>275</v>
      </c>
      <c r="G107" s="104">
        <v>0.55625030271470721</v>
      </c>
      <c r="H107" s="104">
        <v>23.494967164972593</v>
      </c>
      <c r="I107" s="97" t="s">
        <v>200</v>
      </c>
      <c r="J107" s="104"/>
      <c r="K107" s="104"/>
      <c r="L107" s="104"/>
      <c r="M107" s="105"/>
    </row>
    <row r="108" spans="1:13" ht="28" x14ac:dyDescent="0.3">
      <c r="A108" s="102" t="s">
        <v>238</v>
      </c>
      <c r="B108" s="103" t="s">
        <v>198</v>
      </c>
      <c r="C108" s="103" t="b">
        <v>1</v>
      </c>
      <c r="D108" s="103" t="s">
        <v>169</v>
      </c>
      <c r="E108" s="103" t="s">
        <v>173</v>
      </c>
      <c r="F108" s="97" t="s">
        <v>276</v>
      </c>
      <c r="G108" s="104">
        <v>0.55446740345075984</v>
      </c>
      <c r="H108" s="104">
        <v>23.267563021720402</v>
      </c>
      <c r="I108" s="97" t="s">
        <v>200</v>
      </c>
      <c r="J108" s="104"/>
      <c r="K108" s="104"/>
      <c r="L108" s="104"/>
      <c r="M108" s="105"/>
    </row>
    <row r="109" spans="1:13" ht="28" x14ac:dyDescent="0.3">
      <c r="A109" s="102" t="s">
        <v>238</v>
      </c>
      <c r="B109" s="103" t="s">
        <v>187</v>
      </c>
      <c r="C109" s="103" t="b">
        <v>1</v>
      </c>
      <c r="D109" s="103" t="s">
        <v>169</v>
      </c>
      <c r="E109" s="103" t="s">
        <v>170</v>
      </c>
      <c r="F109" s="97" t="s">
        <v>277</v>
      </c>
      <c r="G109" s="104">
        <v>8.3899715255578364E-2</v>
      </c>
      <c r="H109" s="104">
        <v>64.674707128695033</v>
      </c>
      <c r="I109" s="97" t="s">
        <v>189</v>
      </c>
      <c r="J109" s="104">
        <v>0.46292426918653468</v>
      </c>
      <c r="K109" s="104">
        <v>49.016856174208812</v>
      </c>
      <c r="L109" s="104"/>
      <c r="M109" s="105"/>
    </row>
    <row r="110" spans="1:13" ht="28" x14ac:dyDescent="0.3">
      <c r="A110" s="102" t="s">
        <v>238</v>
      </c>
      <c r="B110" s="103" t="s">
        <v>187</v>
      </c>
      <c r="C110" s="103" t="b">
        <v>0</v>
      </c>
      <c r="D110" s="103" t="s">
        <v>169</v>
      </c>
      <c r="E110" s="103" t="s">
        <v>170</v>
      </c>
      <c r="F110" s="97" t="s">
        <v>278</v>
      </c>
      <c r="G110" s="104">
        <v>8.4705064027573856E-2</v>
      </c>
      <c r="H110" s="104">
        <v>64.475726521872701</v>
      </c>
      <c r="I110" s="97" t="s">
        <v>189</v>
      </c>
      <c r="J110" s="104"/>
      <c r="K110" s="104"/>
      <c r="L110" s="104"/>
      <c r="M110" s="105"/>
    </row>
    <row r="111" spans="1:13" ht="28" x14ac:dyDescent="0.3">
      <c r="A111" s="102" t="s">
        <v>238</v>
      </c>
      <c r="B111" s="103" t="s">
        <v>187</v>
      </c>
      <c r="C111" s="103" t="b">
        <v>0</v>
      </c>
      <c r="D111" s="103" t="s">
        <v>169</v>
      </c>
      <c r="E111" s="103" t="s">
        <v>173</v>
      </c>
      <c r="F111" s="97" t="s">
        <v>279</v>
      </c>
      <c r="G111" s="104">
        <v>0.50019702734599369</v>
      </c>
      <c r="H111" s="104">
        <v>44.968286065107272</v>
      </c>
      <c r="I111" s="97" t="s">
        <v>189</v>
      </c>
      <c r="J111" s="104"/>
      <c r="K111" s="104"/>
      <c r="L111" s="104"/>
      <c r="M111" s="105"/>
    </row>
    <row r="112" spans="1:13" ht="28" x14ac:dyDescent="0.3">
      <c r="A112" s="102" t="s">
        <v>238</v>
      </c>
      <c r="B112" s="103" t="s">
        <v>187</v>
      </c>
      <c r="C112" s="103" t="b">
        <v>1</v>
      </c>
      <c r="D112" s="103" t="s">
        <v>169</v>
      </c>
      <c r="E112" s="103" t="s">
        <v>173</v>
      </c>
      <c r="F112" s="97" t="s">
        <v>280</v>
      </c>
      <c r="G112" s="104">
        <v>0.4918150978216877</v>
      </c>
      <c r="H112" s="104">
        <v>43.622245486632259</v>
      </c>
      <c r="I112" s="97" t="s">
        <v>189</v>
      </c>
      <c r="J112" s="104"/>
      <c r="K112" s="104"/>
      <c r="L112" s="104"/>
      <c r="M112" s="105"/>
    </row>
    <row r="113" spans="1:13" x14ac:dyDescent="0.3">
      <c r="A113" s="102" t="s">
        <v>281</v>
      </c>
      <c r="B113" s="103" t="s">
        <v>168</v>
      </c>
      <c r="C113" s="103" t="b">
        <v>0</v>
      </c>
      <c r="D113" s="103" t="s">
        <v>282</v>
      </c>
      <c r="E113" s="103" t="s">
        <v>170</v>
      </c>
      <c r="F113" s="97" t="s">
        <v>283</v>
      </c>
      <c r="G113" s="104">
        <v>4.769693974538948E-2</v>
      </c>
      <c r="H113" s="104">
        <v>19.920952731059661</v>
      </c>
      <c r="I113" s="97" t="s">
        <v>284</v>
      </c>
      <c r="J113" s="104">
        <v>0.22620032906234555</v>
      </c>
      <c r="K113" s="104">
        <v>18.472665763501585</v>
      </c>
      <c r="L113" s="104"/>
      <c r="M113" s="105"/>
    </row>
    <row r="114" spans="1:13" x14ac:dyDescent="0.3">
      <c r="A114" s="102" t="s">
        <v>281</v>
      </c>
      <c r="B114" s="103" t="s">
        <v>168</v>
      </c>
      <c r="C114" s="103" t="b">
        <v>0</v>
      </c>
      <c r="D114" s="103" t="s">
        <v>282</v>
      </c>
      <c r="E114" s="103" t="s">
        <v>173</v>
      </c>
      <c r="F114" s="97" t="s">
        <v>285</v>
      </c>
      <c r="G114" s="104">
        <v>0.2477353907625291</v>
      </c>
      <c r="H114" s="104">
        <v>16.6762317713134</v>
      </c>
      <c r="I114" s="97" t="s">
        <v>284</v>
      </c>
      <c r="J114" s="104"/>
      <c r="K114" s="104"/>
      <c r="L114" s="104"/>
      <c r="M114" s="105"/>
    </row>
    <row r="115" spans="1:13" ht="28" x14ac:dyDescent="0.3">
      <c r="A115" s="102" t="s">
        <v>281</v>
      </c>
      <c r="B115" s="103" t="s">
        <v>168</v>
      </c>
      <c r="C115" s="103" t="b">
        <v>0</v>
      </c>
      <c r="D115" s="103" t="s">
        <v>282</v>
      </c>
      <c r="E115" s="103" t="s">
        <v>175</v>
      </c>
      <c r="F115" s="97" t="s">
        <v>286</v>
      </c>
      <c r="G115" s="104">
        <v>0.38316865667911804</v>
      </c>
      <c r="H115" s="104">
        <v>18.82081278813169</v>
      </c>
      <c r="I115" s="97" t="s">
        <v>284</v>
      </c>
      <c r="J115" s="104"/>
      <c r="K115" s="104"/>
      <c r="L115" s="104"/>
      <c r="M115" s="105"/>
    </row>
    <row r="116" spans="1:13" x14ac:dyDescent="0.3">
      <c r="A116" s="102" t="s">
        <v>281</v>
      </c>
      <c r="B116" s="103" t="s">
        <v>168</v>
      </c>
      <c r="C116" s="103" t="b">
        <v>0</v>
      </c>
      <c r="D116" s="103" t="s">
        <v>205</v>
      </c>
      <c r="E116" s="103" t="s">
        <v>170</v>
      </c>
      <c r="F116" s="97" t="s">
        <v>287</v>
      </c>
      <c r="G116" s="104">
        <v>6.9580180512442219E-2</v>
      </c>
      <c r="H116" s="104">
        <v>26.441242069353077</v>
      </c>
      <c r="I116" s="97" t="s">
        <v>207</v>
      </c>
      <c r="J116" s="104">
        <v>0.34296906932140009</v>
      </c>
      <c r="K116" s="104">
        <v>21.984569086035311</v>
      </c>
      <c r="L116" s="104"/>
      <c r="M116" s="105"/>
    </row>
    <row r="117" spans="1:13" x14ac:dyDescent="0.3">
      <c r="A117" s="102" t="s">
        <v>281</v>
      </c>
      <c r="B117" s="103" t="s">
        <v>168</v>
      </c>
      <c r="C117" s="103" t="b">
        <v>1</v>
      </c>
      <c r="D117" s="103" t="s">
        <v>205</v>
      </c>
      <c r="E117" s="103" t="s">
        <v>170</v>
      </c>
      <c r="F117" s="97" t="s">
        <v>288</v>
      </c>
      <c r="G117" s="104">
        <v>6.9572199854986833E-2</v>
      </c>
      <c r="H117" s="104">
        <v>26.358069058837938</v>
      </c>
      <c r="I117" s="97" t="s">
        <v>207</v>
      </c>
      <c r="J117" s="104"/>
      <c r="K117" s="104"/>
      <c r="L117" s="104"/>
      <c r="M117" s="105"/>
    </row>
    <row r="118" spans="1:13" x14ac:dyDescent="0.3">
      <c r="A118" s="102" t="s">
        <v>281</v>
      </c>
      <c r="B118" s="103" t="s">
        <v>168</v>
      </c>
      <c r="C118" s="103" t="b">
        <v>0</v>
      </c>
      <c r="D118" s="103" t="s">
        <v>205</v>
      </c>
      <c r="E118" s="103" t="s">
        <v>173</v>
      </c>
      <c r="F118" s="97" t="s">
        <v>289</v>
      </c>
      <c r="G118" s="104">
        <v>0.36210882985911885</v>
      </c>
      <c r="H118" s="104">
        <v>19.2417534577447</v>
      </c>
      <c r="I118" s="97" t="s">
        <v>207</v>
      </c>
      <c r="J118" s="104"/>
      <c r="K118" s="104"/>
      <c r="L118" s="104"/>
      <c r="M118" s="105"/>
    </row>
    <row r="119" spans="1:13" x14ac:dyDescent="0.3">
      <c r="A119" s="102" t="s">
        <v>281</v>
      </c>
      <c r="B119" s="103" t="s">
        <v>168</v>
      </c>
      <c r="C119" s="103" t="b">
        <v>0</v>
      </c>
      <c r="D119" s="103" t="s">
        <v>205</v>
      </c>
      <c r="E119" s="103" t="s">
        <v>175</v>
      </c>
      <c r="F119" s="97" t="s">
        <v>290</v>
      </c>
      <c r="G119" s="104">
        <v>0.59722617825009472</v>
      </c>
      <c r="H119" s="104">
        <v>20.353884741523306</v>
      </c>
      <c r="I119" s="97" t="s">
        <v>207</v>
      </c>
      <c r="J119" s="104"/>
      <c r="K119" s="104"/>
      <c r="L119" s="104"/>
      <c r="M119" s="105"/>
    </row>
    <row r="120" spans="1:13" x14ac:dyDescent="0.3">
      <c r="A120" s="102" t="s">
        <v>281</v>
      </c>
      <c r="B120" s="103" t="s">
        <v>168</v>
      </c>
      <c r="C120" s="103" t="b">
        <v>0</v>
      </c>
      <c r="D120" s="103" t="s">
        <v>169</v>
      </c>
      <c r="E120" s="103" t="s">
        <v>175</v>
      </c>
      <c r="F120" s="97" t="s">
        <v>291</v>
      </c>
      <c r="G120" s="104">
        <v>1.0446601965652809</v>
      </c>
      <c r="H120" s="104">
        <v>22.211576333471015</v>
      </c>
      <c r="I120" s="97" t="s">
        <v>172</v>
      </c>
      <c r="J120" s="104">
        <v>0.63039902642590551</v>
      </c>
      <c r="K120" s="104">
        <v>25.608732995427776</v>
      </c>
      <c r="L120" s="104"/>
      <c r="M120" s="105"/>
    </row>
    <row r="121" spans="1:13" x14ac:dyDescent="0.3">
      <c r="A121" s="102" t="s">
        <v>281</v>
      </c>
      <c r="B121" s="103" t="s">
        <v>168</v>
      </c>
      <c r="C121" s="103" t="b">
        <v>0</v>
      </c>
      <c r="D121" s="103" t="s">
        <v>292</v>
      </c>
      <c r="E121" s="103" t="s">
        <v>170</v>
      </c>
      <c r="F121" s="97" t="s">
        <v>293</v>
      </c>
      <c r="G121" s="104">
        <v>1.0592618680999542</v>
      </c>
      <c r="H121" s="104">
        <v>34.919330034878712</v>
      </c>
      <c r="I121" s="97" t="s">
        <v>294</v>
      </c>
      <c r="J121" s="104">
        <v>1.0592618680999542</v>
      </c>
      <c r="K121" s="104">
        <v>34.919330034878712</v>
      </c>
      <c r="L121" s="104"/>
      <c r="M121" s="105"/>
    </row>
    <row r="122" spans="1:13" x14ac:dyDescent="0.3">
      <c r="A122" s="102" t="s">
        <v>281</v>
      </c>
      <c r="B122" s="103" t="s">
        <v>168</v>
      </c>
      <c r="C122" s="103" t="b">
        <v>1</v>
      </c>
      <c r="D122" s="103" t="s">
        <v>292</v>
      </c>
      <c r="E122" s="103" t="s">
        <v>170</v>
      </c>
      <c r="F122" s="97" t="s">
        <v>295</v>
      </c>
      <c r="G122" s="104">
        <v>1.059232744841107</v>
      </c>
      <c r="H122" s="104">
        <v>34.816493128191567</v>
      </c>
      <c r="I122" s="97" t="s">
        <v>294</v>
      </c>
      <c r="J122" s="104"/>
      <c r="K122" s="104"/>
      <c r="L122" s="104"/>
      <c r="M122" s="105"/>
    </row>
    <row r="123" spans="1:13" x14ac:dyDescent="0.3">
      <c r="A123" s="102" t="s">
        <v>281</v>
      </c>
      <c r="B123" s="103" t="s">
        <v>177</v>
      </c>
      <c r="C123" s="103" t="b">
        <v>0</v>
      </c>
      <c r="D123" s="103" t="s">
        <v>282</v>
      </c>
      <c r="E123" s="103" t="s">
        <v>173</v>
      </c>
      <c r="F123" s="97" t="s">
        <v>296</v>
      </c>
      <c r="G123" s="104">
        <v>0.21586438646470824</v>
      </c>
      <c r="H123" s="104">
        <v>15.74601880788355</v>
      </c>
      <c r="I123" s="97" t="s">
        <v>297</v>
      </c>
      <c r="J123" s="104">
        <v>0.25789949432512682</v>
      </c>
      <c r="K123" s="104">
        <v>15.41277023463358</v>
      </c>
      <c r="L123" s="104"/>
      <c r="M123" s="105"/>
    </row>
    <row r="124" spans="1:13" x14ac:dyDescent="0.3">
      <c r="A124" s="102" t="s">
        <v>281</v>
      </c>
      <c r="B124" s="103" t="s">
        <v>177</v>
      </c>
      <c r="C124" s="103" t="b">
        <v>0</v>
      </c>
      <c r="D124" s="103" t="s">
        <v>205</v>
      </c>
      <c r="E124" s="103" t="s">
        <v>170</v>
      </c>
      <c r="F124" s="97" t="s">
        <v>298</v>
      </c>
      <c r="G124" s="104">
        <v>6.1177279435710982E-2</v>
      </c>
      <c r="H124" s="104">
        <v>25.792715728037191</v>
      </c>
      <c r="I124" s="97" t="s">
        <v>213</v>
      </c>
      <c r="J124" s="104">
        <v>0.29791297987581222</v>
      </c>
      <c r="K124" s="104">
        <v>20.806591596025026</v>
      </c>
      <c r="L124" s="104"/>
      <c r="M124" s="105"/>
    </row>
    <row r="125" spans="1:13" x14ac:dyDescent="0.3">
      <c r="A125" s="102" t="s">
        <v>281</v>
      </c>
      <c r="B125" s="103" t="s">
        <v>177</v>
      </c>
      <c r="C125" s="103" t="b">
        <v>1</v>
      </c>
      <c r="D125" s="103" t="s">
        <v>205</v>
      </c>
      <c r="E125" s="103" t="s">
        <v>170</v>
      </c>
      <c r="F125" s="97" t="s">
        <v>299</v>
      </c>
      <c r="G125" s="104">
        <v>6.1177279435710982E-2</v>
      </c>
      <c r="H125" s="104">
        <v>25.717747031100288</v>
      </c>
      <c r="I125" s="97" t="s">
        <v>213</v>
      </c>
      <c r="J125" s="104"/>
      <c r="K125" s="104"/>
      <c r="L125" s="104"/>
      <c r="M125" s="105"/>
    </row>
    <row r="126" spans="1:13" x14ac:dyDescent="0.3">
      <c r="A126" s="102" t="s">
        <v>281</v>
      </c>
      <c r="B126" s="103" t="s">
        <v>177</v>
      </c>
      <c r="C126" s="103" t="b">
        <v>0</v>
      </c>
      <c r="D126" s="103" t="s">
        <v>205</v>
      </c>
      <c r="E126" s="103" t="s">
        <v>173</v>
      </c>
      <c r="F126" s="97" t="s">
        <v>300</v>
      </c>
      <c r="G126" s="104">
        <v>0.30768908223892966</v>
      </c>
      <c r="H126" s="104">
        <v>18.041577613383662</v>
      </c>
      <c r="I126" s="97" t="s">
        <v>213</v>
      </c>
      <c r="J126" s="104"/>
      <c r="K126" s="104"/>
      <c r="L126" s="104"/>
      <c r="M126" s="105"/>
    </row>
    <row r="127" spans="1:13" x14ac:dyDescent="0.3">
      <c r="A127" s="102" t="s">
        <v>281</v>
      </c>
      <c r="B127" s="103" t="s">
        <v>177</v>
      </c>
      <c r="C127" s="103" t="b">
        <v>0</v>
      </c>
      <c r="D127" s="103" t="s">
        <v>205</v>
      </c>
      <c r="E127" s="103" t="s">
        <v>175</v>
      </c>
      <c r="F127" s="97" t="s">
        <v>301</v>
      </c>
      <c r="G127" s="104">
        <v>0.52487257795279596</v>
      </c>
      <c r="H127" s="104">
        <v>18.660450143591124</v>
      </c>
      <c r="I127" s="97" t="s">
        <v>213</v>
      </c>
      <c r="J127" s="104"/>
      <c r="K127" s="104"/>
      <c r="L127" s="104"/>
      <c r="M127" s="105"/>
    </row>
    <row r="128" spans="1:13" x14ac:dyDescent="0.3">
      <c r="A128" s="102" t="s">
        <v>281</v>
      </c>
      <c r="B128" s="103" t="s">
        <v>177</v>
      </c>
      <c r="C128" s="103" t="b">
        <v>0</v>
      </c>
      <c r="D128" s="103" t="s">
        <v>169</v>
      </c>
      <c r="E128" s="103" t="s">
        <v>175</v>
      </c>
      <c r="F128" s="97" t="s">
        <v>302</v>
      </c>
      <c r="G128" s="104">
        <v>0.90720902512317192</v>
      </c>
      <c r="H128" s="104">
        <v>19.969240888714147</v>
      </c>
      <c r="I128" s="97" t="s">
        <v>179</v>
      </c>
      <c r="J128" s="104">
        <v>0.52191229374816051</v>
      </c>
      <c r="K128" s="104">
        <v>21.827957900172237</v>
      </c>
      <c r="L128" s="104"/>
      <c r="M128" s="105"/>
    </row>
    <row r="129" spans="1:13" ht="28" x14ac:dyDescent="0.3">
      <c r="A129" s="102" t="s">
        <v>281</v>
      </c>
      <c r="B129" s="103" t="s">
        <v>182</v>
      </c>
      <c r="C129" s="103" t="b">
        <v>0</v>
      </c>
      <c r="D129" s="103" t="s">
        <v>282</v>
      </c>
      <c r="E129" s="103" t="s">
        <v>170</v>
      </c>
      <c r="F129" s="97" t="s">
        <v>303</v>
      </c>
      <c r="G129" s="104">
        <v>2.4718157363063348E-2</v>
      </c>
      <c r="H129" s="104">
        <v>9.6900567638332227</v>
      </c>
      <c r="I129" s="97" t="s">
        <v>304</v>
      </c>
      <c r="J129" s="104">
        <v>8.3801693826364737E-2</v>
      </c>
      <c r="K129" s="104">
        <v>8.9659425483553612</v>
      </c>
      <c r="L129" s="104"/>
      <c r="M129" s="105"/>
    </row>
    <row r="130" spans="1:13" ht="28" x14ac:dyDescent="0.3">
      <c r="A130" s="102" t="s">
        <v>281</v>
      </c>
      <c r="B130" s="103" t="s">
        <v>182</v>
      </c>
      <c r="C130" s="103" t="b">
        <v>0</v>
      </c>
      <c r="D130" s="103" t="s">
        <v>205</v>
      </c>
      <c r="E130" s="103" t="s">
        <v>170</v>
      </c>
      <c r="F130" s="97" t="s">
        <v>305</v>
      </c>
      <c r="G130" s="104">
        <v>3.6497761028212512E-2</v>
      </c>
      <c r="H130" s="104">
        <v>12.683900549049158</v>
      </c>
      <c r="I130" s="97" t="s">
        <v>222</v>
      </c>
      <c r="J130" s="104">
        <v>0.19361318453396656</v>
      </c>
      <c r="K130" s="104">
        <v>10.196074361836601</v>
      </c>
      <c r="L130" s="104"/>
      <c r="M130" s="105"/>
    </row>
    <row r="131" spans="1:13" ht="28" x14ac:dyDescent="0.3">
      <c r="A131" s="102" t="s">
        <v>281</v>
      </c>
      <c r="B131" s="103" t="s">
        <v>182</v>
      </c>
      <c r="C131" s="103" t="b">
        <v>0</v>
      </c>
      <c r="D131" s="103" t="s">
        <v>205</v>
      </c>
      <c r="E131" s="103" t="s">
        <v>173</v>
      </c>
      <c r="F131" s="97" t="s">
        <v>306</v>
      </c>
      <c r="G131" s="104">
        <v>0.20336843693334164</v>
      </c>
      <c r="H131" s="104">
        <v>8.8520659372096553</v>
      </c>
      <c r="I131" s="97" t="s">
        <v>222</v>
      </c>
      <c r="J131" s="104"/>
      <c r="K131" s="104"/>
      <c r="L131" s="104"/>
      <c r="M131" s="105"/>
    </row>
    <row r="132" spans="1:13" ht="28" x14ac:dyDescent="0.3">
      <c r="A132" s="102" t="s">
        <v>281</v>
      </c>
      <c r="B132" s="103" t="s">
        <v>182</v>
      </c>
      <c r="C132" s="103" t="b">
        <v>0</v>
      </c>
      <c r="D132" s="103" t="s">
        <v>205</v>
      </c>
      <c r="E132" s="103" t="s">
        <v>175</v>
      </c>
      <c r="F132" s="97" t="s">
        <v>307</v>
      </c>
      <c r="G132" s="104">
        <v>0.34097335564034553</v>
      </c>
      <c r="H132" s="104">
        <v>9.0522565992509882</v>
      </c>
      <c r="I132" s="97" t="s">
        <v>222</v>
      </c>
      <c r="J132" s="104"/>
      <c r="K132" s="104"/>
      <c r="L132" s="104"/>
      <c r="M132" s="105"/>
    </row>
    <row r="133" spans="1:13" x14ac:dyDescent="0.3">
      <c r="A133" s="102" t="s">
        <v>281</v>
      </c>
      <c r="B133" s="103" t="s">
        <v>192</v>
      </c>
      <c r="C133" s="103" t="b">
        <v>0</v>
      </c>
      <c r="D133" s="103" t="s">
        <v>205</v>
      </c>
      <c r="E133" s="103" t="s">
        <v>170</v>
      </c>
      <c r="F133" s="97" t="s">
        <v>308</v>
      </c>
      <c r="G133" s="104">
        <v>9.8681369193176549E-2</v>
      </c>
      <c r="H133" s="104">
        <v>16.307183689209999</v>
      </c>
      <c r="I133" s="97" t="s">
        <v>227</v>
      </c>
      <c r="J133" s="104">
        <v>0.25782959742997413</v>
      </c>
      <c r="K133" s="104">
        <v>12.793535395645032</v>
      </c>
      <c r="L133" s="104"/>
      <c r="M133" s="105"/>
    </row>
    <row r="134" spans="1:13" x14ac:dyDescent="0.3">
      <c r="A134" s="102" t="s">
        <v>281</v>
      </c>
      <c r="B134" s="103" t="s">
        <v>192</v>
      </c>
      <c r="C134" s="103" t="b">
        <v>0</v>
      </c>
      <c r="D134" s="103" t="s">
        <v>205</v>
      </c>
      <c r="E134" s="103" t="s">
        <v>173</v>
      </c>
      <c r="F134" s="97" t="s">
        <v>309</v>
      </c>
      <c r="G134" s="104">
        <v>0.17969583107982021</v>
      </c>
      <c r="H134" s="104">
        <v>11.298434868061435</v>
      </c>
      <c r="I134" s="97" t="s">
        <v>227</v>
      </c>
      <c r="J134" s="104"/>
      <c r="K134" s="104"/>
      <c r="L134" s="104"/>
      <c r="M134" s="105"/>
    </row>
    <row r="135" spans="1:13" ht="28" x14ac:dyDescent="0.3">
      <c r="A135" s="102" t="s">
        <v>281</v>
      </c>
      <c r="B135" s="103" t="s">
        <v>192</v>
      </c>
      <c r="C135" s="103" t="b">
        <v>0</v>
      </c>
      <c r="D135" s="103" t="s">
        <v>205</v>
      </c>
      <c r="E135" s="103" t="s">
        <v>175</v>
      </c>
      <c r="F135" s="97" t="s">
        <v>310</v>
      </c>
      <c r="G135" s="104">
        <v>0.49511159201692567</v>
      </c>
      <c r="H135" s="104">
        <v>10.774987629663665</v>
      </c>
      <c r="I135" s="97" t="s">
        <v>227</v>
      </c>
      <c r="J135" s="104"/>
      <c r="K135" s="104"/>
      <c r="L135" s="104"/>
      <c r="M135" s="105"/>
    </row>
    <row r="136" spans="1:13" x14ac:dyDescent="0.3">
      <c r="A136" s="102" t="s">
        <v>281</v>
      </c>
      <c r="B136" s="103" t="s">
        <v>198</v>
      </c>
      <c r="C136" s="103" t="b">
        <v>0</v>
      </c>
      <c r="D136" s="103" t="s">
        <v>282</v>
      </c>
      <c r="E136" s="103" t="s">
        <v>170</v>
      </c>
      <c r="F136" s="97" t="s">
        <v>311</v>
      </c>
      <c r="G136" s="104">
        <v>6.7814889701048625E-2</v>
      </c>
      <c r="H136" s="104">
        <v>19.899424843904473</v>
      </c>
      <c r="I136" s="97" t="s">
        <v>312</v>
      </c>
      <c r="J136" s="104">
        <v>0.10535005999535738</v>
      </c>
      <c r="K136" s="104">
        <v>14.070626588390986</v>
      </c>
      <c r="L136" s="104"/>
      <c r="M136" s="105"/>
    </row>
    <row r="137" spans="1:13" x14ac:dyDescent="0.3">
      <c r="A137" s="102" t="s">
        <v>281</v>
      </c>
      <c r="B137" s="103" t="s">
        <v>198</v>
      </c>
      <c r="C137" s="103" t="b">
        <v>0</v>
      </c>
      <c r="D137" s="103" t="s">
        <v>205</v>
      </c>
      <c r="E137" s="103" t="s">
        <v>170</v>
      </c>
      <c r="F137" s="97" t="s">
        <v>313</v>
      </c>
      <c r="G137" s="104">
        <v>8.6682953807885404E-2</v>
      </c>
      <c r="H137" s="104">
        <v>27.191791349392357</v>
      </c>
      <c r="I137" s="97" t="s">
        <v>234</v>
      </c>
      <c r="J137" s="104">
        <v>0.31724023520324424</v>
      </c>
      <c r="K137" s="104">
        <v>20.676463499037709</v>
      </c>
      <c r="L137" s="104"/>
      <c r="M137" s="105"/>
    </row>
    <row r="138" spans="1:13" x14ac:dyDescent="0.3">
      <c r="A138" s="102" t="s">
        <v>281</v>
      </c>
      <c r="B138" s="103" t="s">
        <v>198</v>
      </c>
      <c r="C138" s="103" t="b">
        <v>0</v>
      </c>
      <c r="D138" s="103" t="s">
        <v>205</v>
      </c>
      <c r="E138" s="103" t="s">
        <v>175</v>
      </c>
      <c r="F138" s="97" t="s">
        <v>314</v>
      </c>
      <c r="G138" s="104">
        <v>0.60166431311259094</v>
      </c>
      <c r="H138" s="104">
        <v>18.645273634904367</v>
      </c>
      <c r="I138" s="97" t="s">
        <v>234</v>
      </c>
      <c r="J138" s="104"/>
      <c r="K138" s="104"/>
      <c r="L138" s="104"/>
      <c r="M138" s="105"/>
    </row>
    <row r="139" spans="1:13" x14ac:dyDescent="0.3">
      <c r="A139" s="102" t="s">
        <v>315</v>
      </c>
      <c r="B139" s="103" t="s">
        <v>168</v>
      </c>
      <c r="C139" s="103" t="b">
        <v>0</v>
      </c>
      <c r="D139" s="103" t="s">
        <v>282</v>
      </c>
      <c r="E139" s="103" t="s">
        <v>170</v>
      </c>
      <c r="F139" s="97" t="s">
        <v>316</v>
      </c>
      <c r="G139" s="104">
        <v>3.4960409237155418E-2</v>
      </c>
      <c r="H139" s="104">
        <v>19.486906630716735</v>
      </c>
      <c r="I139" s="97"/>
      <c r="J139" s="104"/>
      <c r="K139" s="104"/>
      <c r="L139" s="104"/>
      <c r="M139" s="105"/>
    </row>
    <row r="140" spans="1:13" x14ac:dyDescent="0.3">
      <c r="A140" s="102" t="s">
        <v>315</v>
      </c>
      <c r="B140" s="103" t="s">
        <v>168</v>
      </c>
      <c r="C140" s="103" t="b">
        <v>0</v>
      </c>
      <c r="D140" s="103" t="s">
        <v>282</v>
      </c>
      <c r="E140" s="103" t="s">
        <v>173</v>
      </c>
      <c r="F140" s="97" t="s">
        <v>317</v>
      </c>
      <c r="G140" s="104">
        <v>0.22438450151109107</v>
      </c>
      <c r="H140" s="104">
        <v>16.392137655416786</v>
      </c>
      <c r="I140" s="97"/>
      <c r="J140" s="104"/>
      <c r="K140" s="104"/>
      <c r="L140" s="104"/>
      <c r="M140" s="105"/>
    </row>
    <row r="141" spans="1:13" x14ac:dyDescent="0.3">
      <c r="A141" s="102" t="s">
        <v>315</v>
      </c>
      <c r="B141" s="103" t="s">
        <v>168</v>
      </c>
      <c r="C141" s="103" t="b">
        <v>0</v>
      </c>
      <c r="D141" s="103" t="s">
        <v>282</v>
      </c>
      <c r="E141" s="103" t="s">
        <v>175</v>
      </c>
      <c r="F141" s="97" t="s">
        <v>318</v>
      </c>
      <c r="G141" s="104">
        <v>0.3513190894109201</v>
      </c>
      <c r="H141" s="104">
        <v>18.608511187323199</v>
      </c>
      <c r="I141" s="97"/>
      <c r="J141" s="104"/>
      <c r="K141" s="104"/>
      <c r="L141" s="104"/>
      <c r="M141" s="105"/>
    </row>
    <row r="142" spans="1:13" x14ac:dyDescent="0.3">
      <c r="A142" s="102" t="s">
        <v>315</v>
      </c>
      <c r="B142" s="103" t="s">
        <v>168</v>
      </c>
      <c r="C142" s="103" t="b">
        <v>0</v>
      </c>
      <c r="D142" s="103" t="s">
        <v>205</v>
      </c>
      <c r="E142" s="103" t="s">
        <v>170</v>
      </c>
      <c r="F142" s="97" t="s">
        <v>319</v>
      </c>
      <c r="G142" s="104">
        <v>5.0318652665380936E-2</v>
      </c>
      <c r="H142" s="104">
        <v>25.988714706612178</v>
      </c>
      <c r="I142" s="97"/>
      <c r="J142" s="104"/>
      <c r="K142" s="104"/>
      <c r="L142" s="104"/>
      <c r="M142" s="105"/>
    </row>
    <row r="143" spans="1:13" x14ac:dyDescent="0.3">
      <c r="A143" s="102" t="s">
        <v>315</v>
      </c>
      <c r="B143" s="103" t="s">
        <v>168</v>
      </c>
      <c r="C143" s="103" t="b">
        <v>1</v>
      </c>
      <c r="D143" s="103" t="s">
        <v>205</v>
      </c>
      <c r="E143" s="103" t="s">
        <v>170</v>
      </c>
      <c r="F143" s="97" t="s">
        <v>320</v>
      </c>
      <c r="G143" s="104">
        <v>5.0315969305258633E-2</v>
      </c>
      <c r="H143" s="104">
        <v>25.909752468096791</v>
      </c>
      <c r="I143" s="97"/>
      <c r="J143" s="104"/>
      <c r="K143" s="104"/>
      <c r="L143" s="104"/>
      <c r="M143" s="105"/>
    </row>
    <row r="144" spans="1:13" x14ac:dyDescent="0.3">
      <c r="A144" s="102" t="s">
        <v>315</v>
      </c>
      <c r="B144" s="103" t="s">
        <v>168</v>
      </c>
      <c r="C144" s="103" t="b">
        <v>0</v>
      </c>
      <c r="D144" s="103" t="s">
        <v>205</v>
      </c>
      <c r="E144" s="103" t="s">
        <v>173</v>
      </c>
      <c r="F144" s="97" t="s">
        <v>321</v>
      </c>
      <c r="G144" s="104">
        <v>0.33088051545349867</v>
      </c>
      <c r="H144" s="104">
        <v>18.952582835870068</v>
      </c>
      <c r="I144" s="97"/>
      <c r="J144" s="104"/>
      <c r="K144" s="104"/>
      <c r="L144" s="104"/>
      <c r="M144" s="105"/>
    </row>
    <row r="145" spans="1:13" x14ac:dyDescent="0.3">
      <c r="A145" s="102" t="s">
        <v>315</v>
      </c>
      <c r="B145" s="103" t="s">
        <v>168</v>
      </c>
      <c r="C145" s="103" t="b">
        <v>1</v>
      </c>
      <c r="D145" s="103" t="s">
        <v>205</v>
      </c>
      <c r="E145" s="103" t="s">
        <v>173</v>
      </c>
      <c r="F145" s="97" t="s">
        <v>322</v>
      </c>
      <c r="G145" s="104">
        <v>0.33085782439932865</v>
      </c>
      <c r="H145" s="104">
        <v>18.899899498802792</v>
      </c>
      <c r="I145" s="97"/>
      <c r="J145" s="104"/>
      <c r="K145" s="104"/>
      <c r="L145" s="104"/>
      <c r="M145" s="105"/>
    </row>
    <row r="146" spans="1:13" x14ac:dyDescent="0.3">
      <c r="A146" s="102" t="s">
        <v>315</v>
      </c>
      <c r="B146" s="103" t="s">
        <v>168</v>
      </c>
      <c r="C146" s="103" t="b">
        <v>0</v>
      </c>
      <c r="D146" s="103" t="s">
        <v>205</v>
      </c>
      <c r="E146" s="103" t="s">
        <v>175</v>
      </c>
      <c r="F146" s="97" t="s">
        <v>323</v>
      </c>
      <c r="G146" s="104">
        <v>0.55037660166253255</v>
      </c>
      <c r="H146" s="104">
        <v>20.17421634344338</v>
      </c>
      <c r="I146" s="97"/>
      <c r="J146" s="104"/>
      <c r="K146" s="104"/>
      <c r="L146" s="104"/>
      <c r="M146" s="105"/>
    </row>
    <row r="147" spans="1:13" x14ac:dyDescent="0.3">
      <c r="A147" s="102" t="s">
        <v>315</v>
      </c>
      <c r="B147" s="103" t="s">
        <v>168</v>
      </c>
      <c r="C147" s="103" t="b">
        <v>1</v>
      </c>
      <c r="D147" s="103" t="s">
        <v>205</v>
      </c>
      <c r="E147" s="103" t="s">
        <v>175</v>
      </c>
      <c r="F147" s="97" t="s">
        <v>324</v>
      </c>
      <c r="G147" s="104">
        <v>0.55032576841788194</v>
      </c>
      <c r="H147" s="104">
        <v>20.122627405325396</v>
      </c>
      <c r="I147" s="97"/>
      <c r="J147" s="104"/>
      <c r="K147" s="104"/>
      <c r="L147" s="104"/>
      <c r="M147" s="105"/>
    </row>
    <row r="148" spans="1:13" x14ac:dyDescent="0.3">
      <c r="A148" s="102" t="s">
        <v>315</v>
      </c>
      <c r="B148" s="103" t="s">
        <v>168</v>
      </c>
      <c r="C148" s="103" t="b">
        <v>0</v>
      </c>
      <c r="D148" s="103" t="s">
        <v>169</v>
      </c>
      <c r="E148" s="103" t="s">
        <v>170</v>
      </c>
      <c r="F148" s="97" t="s">
        <v>325</v>
      </c>
      <c r="G148" s="104">
        <v>0.13345882303968182</v>
      </c>
      <c r="H148" s="104">
        <v>31.053103546751434</v>
      </c>
      <c r="I148" s="97"/>
      <c r="J148" s="104"/>
      <c r="K148" s="104"/>
      <c r="L148" s="104"/>
      <c r="M148" s="105"/>
    </row>
    <row r="149" spans="1:13" x14ac:dyDescent="0.3">
      <c r="A149" s="102" t="s">
        <v>315</v>
      </c>
      <c r="B149" s="103" t="s">
        <v>168</v>
      </c>
      <c r="C149" s="103" t="b">
        <v>1</v>
      </c>
      <c r="D149" s="103" t="s">
        <v>169</v>
      </c>
      <c r="E149" s="103" t="s">
        <v>170</v>
      </c>
      <c r="F149" s="97" t="s">
        <v>326</v>
      </c>
      <c r="G149" s="104">
        <v>0.13345387817364429</v>
      </c>
      <c r="H149" s="104">
        <v>30.959613651808152</v>
      </c>
      <c r="I149" s="97"/>
      <c r="J149" s="104"/>
      <c r="K149" s="104"/>
      <c r="L149" s="104"/>
      <c r="M149" s="105"/>
    </row>
    <row r="150" spans="1:13" x14ac:dyDescent="0.3">
      <c r="A150" s="102" t="s">
        <v>315</v>
      </c>
      <c r="B150" s="103" t="s">
        <v>168</v>
      </c>
      <c r="C150" s="103" t="b">
        <v>0</v>
      </c>
      <c r="D150" s="103" t="s">
        <v>169</v>
      </c>
      <c r="E150" s="103" t="s">
        <v>173</v>
      </c>
      <c r="F150" s="97" t="s">
        <v>327</v>
      </c>
      <c r="G150" s="104">
        <v>0.71308300453879148</v>
      </c>
      <c r="H150" s="104">
        <v>23.65500900100416</v>
      </c>
      <c r="I150" s="97"/>
      <c r="J150" s="104"/>
      <c r="K150" s="104"/>
      <c r="L150" s="104"/>
      <c r="M150" s="105"/>
    </row>
    <row r="151" spans="1:13" x14ac:dyDescent="0.3">
      <c r="A151" s="102" t="s">
        <v>315</v>
      </c>
      <c r="B151" s="103" t="s">
        <v>168</v>
      </c>
      <c r="C151" s="103" t="b">
        <v>1</v>
      </c>
      <c r="D151" s="103" t="s">
        <v>169</v>
      </c>
      <c r="E151" s="103" t="s">
        <v>173</v>
      </c>
      <c r="F151" s="97" t="s">
        <v>328</v>
      </c>
      <c r="G151" s="104">
        <v>0.71305181343858703</v>
      </c>
      <c r="H151" s="104">
        <v>23.590873385088923</v>
      </c>
      <c r="I151" s="97"/>
      <c r="J151" s="104"/>
      <c r="K151" s="104"/>
      <c r="L151" s="104"/>
      <c r="M151" s="105"/>
    </row>
    <row r="152" spans="1:13" x14ac:dyDescent="0.3">
      <c r="A152" s="102" t="s">
        <v>315</v>
      </c>
      <c r="B152" s="103" t="s">
        <v>168</v>
      </c>
      <c r="C152" s="103" t="b">
        <v>0</v>
      </c>
      <c r="D152" s="103" t="s">
        <v>169</v>
      </c>
      <c r="E152" s="103" t="s">
        <v>175</v>
      </c>
      <c r="F152" s="97" t="s">
        <v>329</v>
      </c>
      <c r="G152" s="104">
        <v>0.97052055997985853</v>
      </c>
      <c r="H152" s="104">
        <v>22.074783087056897</v>
      </c>
      <c r="I152" s="97"/>
      <c r="J152" s="104"/>
      <c r="K152" s="104"/>
      <c r="L152" s="104"/>
      <c r="M152" s="105"/>
    </row>
    <row r="153" spans="1:13" x14ac:dyDescent="0.3">
      <c r="A153" s="102" t="s">
        <v>315</v>
      </c>
      <c r="B153" s="103" t="s">
        <v>168</v>
      </c>
      <c r="C153" s="103" t="b">
        <v>1</v>
      </c>
      <c r="D153" s="103" t="s">
        <v>169</v>
      </c>
      <c r="E153" s="103" t="s">
        <v>175</v>
      </c>
      <c r="F153" s="97" t="s">
        <v>330</v>
      </c>
      <c r="G153" s="104">
        <v>0.9704541213624821</v>
      </c>
      <c r="H153" s="104">
        <v>22.022278945620627</v>
      </c>
      <c r="I153" s="97"/>
      <c r="J153" s="104"/>
      <c r="K153" s="104"/>
      <c r="L153" s="104"/>
      <c r="M153" s="105"/>
    </row>
    <row r="154" spans="1:13" x14ac:dyDescent="0.3">
      <c r="A154" s="102" t="s">
        <v>315</v>
      </c>
      <c r="B154" s="103" t="s">
        <v>168</v>
      </c>
      <c r="C154" s="103" t="b">
        <v>0</v>
      </c>
      <c r="D154" s="103" t="s">
        <v>267</v>
      </c>
      <c r="E154" s="103" t="s">
        <v>170</v>
      </c>
      <c r="F154" s="97" t="s">
        <v>331</v>
      </c>
      <c r="G154" s="104">
        <v>0.231117735011171</v>
      </c>
      <c r="H154" s="104">
        <v>32.950990911683498</v>
      </c>
      <c r="I154" s="97"/>
      <c r="J154" s="104"/>
      <c r="K154" s="104"/>
      <c r="L154" s="104"/>
      <c r="M154" s="105"/>
    </row>
    <row r="155" spans="1:13" x14ac:dyDescent="0.3">
      <c r="A155" s="102" t="s">
        <v>315</v>
      </c>
      <c r="B155" s="103" t="s">
        <v>168</v>
      </c>
      <c r="C155" s="103" t="b">
        <v>0</v>
      </c>
      <c r="D155" s="103" t="s">
        <v>267</v>
      </c>
      <c r="E155" s="103" t="s">
        <v>173</v>
      </c>
      <c r="F155" s="97" t="s">
        <v>332</v>
      </c>
      <c r="G155" s="104">
        <v>1.3432910670596279</v>
      </c>
      <c r="H155" s="104">
        <v>30.162006837436419</v>
      </c>
      <c r="I155" s="97"/>
      <c r="J155" s="104"/>
      <c r="K155" s="104"/>
      <c r="L155" s="104"/>
      <c r="M155" s="105"/>
    </row>
    <row r="156" spans="1:13" x14ac:dyDescent="0.3">
      <c r="A156" s="102" t="s">
        <v>315</v>
      </c>
      <c r="B156" s="103" t="s">
        <v>168</v>
      </c>
      <c r="C156" s="103" t="b">
        <v>0</v>
      </c>
      <c r="D156" s="103" t="s">
        <v>292</v>
      </c>
      <c r="E156" s="103" t="s">
        <v>170</v>
      </c>
      <c r="F156" s="97" t="s">
        <v>333</v>
      </c>
      <c r="G156" s="104">
        <v>0.63099101764179544</v>
      </c>
      <c r="H156" s="104">
        <v>34.674008850253152</v>
      </c>
      <c r="I156" s="97"/>
      <c r="J156" s="104"/>
      <c r="K156" s="104"/>
      <c r="L156" s="104"/>
      <c r="M156" s="105"/>
    </row>
    <row r="157" spans="1:13" x14ac:dyDescent="0.3">
      <c r="A157" s="102" t="s">
        <v>315</v>
      </c>
      <c r="B157" s="103" t="s">
        <v>168</v>
      </c>
      <c r="C157" s="103" t="b">
        <v>1</v>
      </c>
      <c r="D157" s="103" t="s">
        <v>292</v>
      </c>
      <c r="E157" s="103" t="s">
        <v>170</v>
      </c>
      <c r="F157" s="97" t="s">
        <v>334</v>
      </c>
      <c r="G157" s="104">
        <v>0.63098080211785756</v>
      </c>
      <c r="H157" s="104">
        <v>34.576032982812407</v>
      </c>
      <c r="I157" s="97"/>
      <c r="J157" s="104"/>
      <c r="K157" s="104"/>
      <c r="L157" s="104"/>
      <c r="M157" s="105"/>
    </row>
    <row r="158" spans="1:13" x14ac:dyDescent="0.3">
      <c r="A158" s="102" t="s">
        <v>315</v>
      </c>
      <c r="B158" s="103" t="s">
        <v>177</v>
      </c>
      <c r="C158" s="103" t="b">
        <v>0</v>
      </c>
      <c r="D158" s="103" t="s">
        <v>282</v>
      </c>
      <c r="E158" s="103" t="s">
        <v>173</v>
      </c>
      <c r="F158" s="97" t="s">
        <v>335</v>
      </c>
      <c r="G158" s="104">
        <v>0.17762620789076738</v>
      </c>
      <c r="H158" s="104">
        <v>13.486589518219411</v>
      </c>
      <c r="I158" s="97"/>
      <c r="J158" s="104"/>
      <c r="K158" s="104"/>
      <c r="L158" s="104"/>
      <c r="M158" s="105"/>
    </row>
    <row r="159" spans="1:13" x14ac:dyDescent="0.3">
      <c r="A159" s="102" t="s">
        <v>315</v>
      </c>
      <c r="B159" s="103" t="s">
        <v>177</v>
      </c>
      <c r="C159" s="103" t="b">
        <v>0</v>
      </c>
      <c r="D159" s="103" t="s">
        <v>282</v>
      </c>
      <c r="E159" s="103" t="s">
        <v>175</v>
      </c>
      <c r="F159" s="97" t="s">
        <v>336</v>
      </c>
      <c r="G159" s="104">
        <v>0.29993460218554546</v>
      </c>
      <c r="H159" s="104">
        <v>15.079521661383609</v>
      </c>
      <c r="I159" s="97"/>
      <c r="J159" s="104"/>
      <c r="K159" s="104"/>
      <c r="L159" s="104"/>
      <c r="M159" s="105"/>
    </row>
    <row r="160" spans="1:13" x14ac:dyDescent="0.3">
      <c r="A160" s="102" t="s">
        <v>315</v>
      </c>
      <c r="B160" s="103" t="s">
        <v>177</v>
      </c>
      <c r="C160" s="103" t="b">
        <v>0</v>
      </c>
      <c r="D160" s="103" t="s">
        <v>205</v>
      </c>
      <c r="E160" s="103" t="s">
        <v>170</v>
      </c>
      <c r="F160" s="97" t="s">
        <v>337</v>
      </c>
      <c r="G160" s="104">
        <v>4.2588393883866794E-2</v>
      </c>
      <c r="H160" s="104">
        <v>21.987535375612165</v>
      </c>
      <c r="I160" s="97"/>
      <c r="J160" s="104"/>
      <c r="K160" s="104"/>
      <c r="L160" s="104"/>
      <c r="M160" s="105"/>
    </row>
    <row r="161" spans="1:13" x14ac:dyDescent="0.3">
      <c r="A161" s="102" t="s">
        <v>315</v>
      </c>
      <c r="B161" s="103" t="s">
        <v>177</v>
      </c>
      <c r="C161" s="103" t="b">
        <v>1</v>
      </c>
      <c r="D161" s="103" t="s">
        <v>205</v>
      </c>
      <c r="E161" s="103" t="s">
        <v>170</v>
      </c>
      <c r="F161" s="97" t="s">
        <v>338</v>
      </c>
      <c r="G161" s="104">
        <v>4.2588393883866794E-2</v>
      </c>
      <c r="H161" s="104">
        <v>21.92448617652958</v>
      </c>
      <c r="I161" s="97"/>
      <c r="J161" s="104"/>
      <c r="K161" s="104"/>
      <c r="L161" s="104"/>
      <c r="M161" s="105"/>
    </row>
    <row r="162" spans="1:13" x14ac:dyDescent="0.3">
      <c r="A162" s="102" t="s">
        <v>315</v>
      </c>
      <c r="B162" s="103" t="s">
        <v>177</v>
      </c>
      <c r="C162" s="103" t="b">
        <v>0</v>
      </c>
      <c r="D162" s="103" t="s">
        <v>205</v>
      </c>
      <c r="E162" s="103" t="s">
        <v>173</v>
      </c>
      <c r="F162" s="97" t="s">
        <v>339</v>
      </c>
      <c r="G162" s="104">
        <v>0.25657703514154906</v>
      </c>
      <c r="H162" s="104">
        <v>15.538645206007349</v>
      </c>
      <c r="I162" s="97"/>
      <c r="J162" s="104"/>
      <c r="K162" s="104"/>
      <c r="L162" s="104"/>
      <c r="M162" s="105"/>
    </row>
    <row r="163" spans="1:13" x14ac:dyDescent="0.3">
      <c r="A163" s="102" t="s">
        <v>315</v>
      </c>
      <c r="B163" s="103" t="s">
        <v>177</v>
      </c>
      <c r="C163" s="103" t="b">
        <v>1</v>
      </c>
      <c r="D163" s="103" t="s">
        <v>205</v>
      </c>
      <c r="E163" s="103" t="s">
        <v>173</v>
      </c>
      <c r="F163" s="97" t="s">
        <v>340</v>
      </c>
      <c r="G163" s="104">
        <v>0.25657703514154906</v>
      </c>
      <c r="H163" s="104">
        <v>15.498088286508924</v>
      </c>
      <c r="I163" s="97"/>
      <c r="J163" s="104"/>
      <c r="K163" s="104"/>
      <c r="L163" s="104"/>
      <c r="M163" s="105"/>
    </row>
    <row r="164" spans="1:13" x14ac:dyDescent="0.3">
      <c r="A164" s="102" t="s">
        <v>315</v>
      </c>
      <c r="B164" s="103" t="s">
        <v>177</v>
      </c>
      <c r="C164" s="103" t="b">
        <v>0</v>
      </c>
      <c r="D164" s="103" t="s">
        <v>205</v>
      </c>
      <c r="E164" s="103" t="s">
        <v>175</v>
      </c>
      <c r="F164" s="97" t="s">
        <v>341</v>
      </c>
      <c r="G164" s="104">
        <v>0.45673040481101557</v>
      </c>
      <c r="H164" s="104">
        <v>16.174154905458028</v>
      </c>
      <c r="I164" s="97"/>
      <c r="J164" s="104"/>
      <c r="K164" s="104"/>
      <c r="L164" s="104"/>
      <c r="M164" s="105"/>
    </row>
    <row r="165" spans="1:13" x14ac:dyDescent="0.3">
      <c r="A165" s="102" t="s">
        <v>315</v>
      </c>
      <c r="B165" s="103" t="s">
        <v>177</v>
      </c>
      <c r="C165" s="103" t="b">
        <v>1</v>
      </c>
      <c r="D165" s="103" t="s">
        <v>205</v>
      </c>
      <c r="E165" s="103" t="s">
        <v>175</v>
      </c>
      <c r="F165" s="97" t="s">
        <v>342</v>
      </c>
      <c r="G165" s="104">
        <v>0.45673040481101557</v>
      </c>
      <c r="H165" s="104">
        <v>16.135139940832222</v>
      </c>
      <c r="I165" s="97"/>
      <c r="J165" s="104"/>
      <c r="K165" s="104"/>
      <c r="L165" s="104"/>
      <c r="M165" s="105"/>
    </row>
    <row r="166" spans="1:13" x14ac:dyDescent="0.3">
      <c r="A166" s="102" t="s">
        <v>315</v>
      </c>
      <c r="B166" s="103" t="s">
        <v>177</v>
      </c>
      <c r="C166" s="103" t="b">
        <v>0</v>
      </c>
      <c r="D166" s="103" t="s">
        <v>169</v>
      </c>
      <c r="E166" s="103" t="s">
        <v>170</v>
      </c>
      <c r="F166" s="97" t="s">
        <v>343</v>
      </c>
      <c r="G166" s="104">
        <v>0.11108289285037945</v>
      </c>
      <c r="H166" s="104">
        <v>26.24576569013799</v>
      </c>
      <c r="I166" s="97"/>
      <c r="J166" s="104"/>
      <c r="K166" s="104"/>
      <c r="L166" s="104"/>
      <c r="M166" s="105"/>
    </row>
    <row r="167" spans="1:13" x14ac:dyDescent="0.3">
      <c r="A167" s="102" t="s">
        <v>315</v>
      </c>
      <c r="B167" s="103" t="s">
        <v>177</v>
      </c>
      <c r="C167" s="103" t="b">
        <v>1</v>
      </c>
      <c r="D167" s="103" t="s">
        <v>169</v>
      </c>
      <c r="E167" s="103" t="s">
        <v>170</v>
      </c>
      <c r="F167" s="97" t="s">
        <v>344</v>
      </c>
      <c r="G167" s="104">
        <v>0.11108289285037945</v>
      </c>
      <c r="H167" s="104">
        <v>26.171557677772078</v>
      </c>
      <c r="I167" s="97"/>
      <c r="J167" s="104"/>
      <c r="K167" s="104"/>
      <c r="L167" s="104"/>
      <c r="M167" s="105"/>
    </row>
    <row r="168" spans="1:13" x14ac:dyDescent="0.3">
      <c r="A168" s="102" t="s">
        <v>315</v>
      </c>
      <c r="B168" s="103" t="s">
        <v>177</v>
      </c>
      <c r="C168" s="103" t="b">
        <v>0</v>
      </c>
      <c r="D168" s="103" t="s">
        <v>169</v>
      </c>
      <c r="E168" s="103" t="s">
        <v>173</v>
      </c>
      <c r="F168" s="97" t="s">
        <v>345</v>
      </c>
      <c r="G168" s="104">
        <v>0.54744496327093017</v>
      </c>
      <c r="H168" s="104">
        <v>19.343075134030492</v>
      </c>
      <c r="I168" s="97"/>
      <c r="J168" s="104"/>
      <c r="K168" s="104"/>
      <c r="L168" s="104"/>
      <c r="M168" s="105"/>
    </row>
    <row r="169" spans="1:13" x14ac:dyDescent="0.3">
      <c r="A169" s="102" t="s">
        <v>315</v>
      </c>
      <c r="B169" s="103" t="s">
        <v>177</v>
      </c>
      <c r="C169" s="103" t="b">
        <v>1</v>
      </c>
      <c r="D169" s="103" t="s">
        <v>169</v>
      </c>
      <c r="E169" s="103" t="s">
        <v>173</v>
      </c>
      <c r="F169" s="97" t="s">
        <v>346</v>
      </c>
      <c r="G169" s="104">
        <v>0.54744496327093017</v>
      </c>
      <c r="H169" s="104">
        <v>19.294077207498852</v>
      </c>
      <c r="I169" s="97"/>
      <c r="J169" s="104"/>
      <c r="K169" s="104"/>
      <c r="L169" s="104"/>
      <c r="M169" s="105"/>
    </row>
    <row r="170" spans="1:13" x14ac:dyDescent="0.3">
      <c r="A170" s="102" t="s">
        <v>315</v>
      </c>
      <c r="B170" s="103" t="s">
        <v>177</v>
      </c>
      <c r="C170" s="103" t="b">
        <v>0</v>
      </c>
      <c r="D170" s="103" t="s">
        <v>169</v>
      </c>
      <c r="E170" s="103" t="s">
        <v>175</v>
      </c>
      <c r="F170" s="97" t="s">
        <v>347</v>
      </c>
      <c r="G170" s="104">
        <v>0.79937656239255195</v>
      </c>
      <c r="H170" s="104">
        <v>17.491198728777917</v>
      </c>
      <c r="I170" s="97"/>
      <c r="J170" s="104"/>
      <c r="K170" s="104"/>
      <c r="L170" s="104"/>
      <c r="M170" s="105"/>
    </row>
    <row r="171" spans="1:13" x14ac:dyDescent="0.3">
      <c r="A171" s="102" t="s">
        <v>315</v>
      </c>
      <c r="B171" s="103" t="s">
        <v>177</v>
      </c>
      <c r="C171" s="103" t="b">
        <v>1</v>
      </c>
      <c r="D171" s="103" t="s">
        <v>169</v>
      </c>
      <c r="E171" s="103" t="s">
        <v>175</v>
      </c>
      <c r="F171" s="97" t="s">
        <v>348</v>
      </c>
      <c r="G171" s="104">
        <v>0.79937656239255195</v>
      </c>
      <c r="H171" s="104">
        <v>17.452061607461104</v>
      </c>
      <c r="I171" s="97"/>
      <c r="J171" s="104"/>
      <c r="K171" s="104"/>
      <c r="L171" s="104"/>
      <c r="M171" s="105"/>
    </row>
    <row r="172" spans="1:13" x14ac:dyDescent="0.3">
      <c r="A172" s="102" t="s">
        <v>315</v>
      </c>
      <c r="B172" s="103" t="s">
        <v>177</v>
      </c>
      <c r="C172" s="103" t="b">
        <v>0</v>
      </c>
      <c r="D172" s="103" t="s">
        <v>267</v>
      </c>
      <c r="E172" s="103" t="s">
        <v>173</v>
      </c>
      <c r="F172" s="97" t="s">
        <v>349</v>
      </c>
      <c r="G172" s="104">
        <v>1.0370421053873702</v>
      </c>
      <c r="H172" s="104">
        <v>24.395517368086455</v>
      </c>
      <c r="I172" s="97"/>
      <c r="J172" s="104"/>
      <c r="K172" s="104"/>
      <c r="L172" s="104"/>
      <c r="M172" s="105"/>
    </row>
    <row r="173" spans="1:13" x14ac:dyDescent="0.3">
      <c r="A173" s="102" t="s">
        <v>315</v>
      </c>
      <c r="B173" s="103" t="s">
        <v>182</v>
      </c>
      <c r="C173" s="103" t="b">
        <v>0</v>
      </c>
      <c r="D173" s="103" t="s">
        <v>282</v>
      </c>
      <c r="E173" s="103" t="s">
        <v>170</v>
      </c>
      <c r="F173" s="97" t="s">
        <v>350</v>
      </c>
      <c r="G173" s="104">
        <v>2.0653992884972952E-2</v>
      </c>
      <c r="H173" s="104">
        <v>10.26556328871092</v>
      </c>
      <c r="I173" s="97"/>
      <c r="J173" s="104"/>
      <c r="K173" s="104"/>
      <c r="L173" s="104"/>
      <c r="M173" s="105"/>
    </row>
    <row r="174" spans="1:13" x14ac:dyDescent="0.3">
      <c r="A174" s="102" t="s">
        <v>315</v>
      </c>
      <c r="B174" s="103" t="s">
        <v>182</v>
      </c>
      <c r="C174" s="103" t="b">
        <v>0</v>
      </c>
      <c r="D174" s="103" t="s">
        <v>282</v>
      </c>
      <c r="E174" s="103" t="s">
        <v>173</v>
      </c>
      <c r="F174" s="97" t="s">
        <v>351</v>
      </c>
      <c r="G174" s="104">
        <v>0.14288523028966613</v>
      </c>
      <c r="H174" s="104">
        <v>8.2418283328774997</v>
      </c>
      <c r="I174" s="97"/>
      <c r="J174" s="104"/>
      <c r="K174" s="104"/>
      <c r="L174" s="104"/>
      <c r="M174" s="105"/>
    </row>
    <row r="175" spans="1:13" x14ac:dyDescent="0.3">
      <c r="A175" s="102" t="s">
        <v>315</v>
      </c>
      <c r="B175" s="103" t="s">
        <v>182</v>
      </c>
      <c r="C175" s="103" t="b">
        <v>0</v>
      </c>
      <c r="D175" s="103" t="s">
        <v>205</v>
      </c>
      <c r="E175" s="103" t="s">
        <v>170</v>
      </c>
      <c r="F175" s="97" t="s">
        <v>352</v>
      </c>
      <c r="G175" s="104">
        <v>2.9993932599003341E-2</v>
      </c>
      <c r="H175" s="104">
        <v>13.498399856516111</v>
      </c>
      <c r="I175" s="97"/>
      <c r="J175" s="104"/>
      <c r="K175" s="104"/>
      <c r="L175" s="104"/>
      <c r="M175" s="105"/>
    </row>
    <row r="176" spans="1:13" x14ac:dyDescent="0.3">
      <c r="A176" s="102" t="s">
        <v>315</v>
      </c>
      <c r="B176" s="103" t="s">
        <v>182</v>
      </c>
      <c r="C176" s="103" t="b">
        <v>1</v>
      </c>
      <c r="D176" s="103" t="s">
        <v>205</v>
      </c>
      <c r="E176" s="103" t="s">
        <v>170</v>
      </c>
      <c r="F176" s="97" t="s">
        <v>353</v>
      </c>
      <c r="G176" s="104">
        <v>2.9993932599003341E-2</v>
      </c>
      <c r="H176" s="104">
        <v>13.462289185619078</v>
      </c>
      <c r="I176" s="97"/>
      <c r="J176" s="104"/>
      <c r="K176" s="104"/>
      <c r="L176" s="104"/>
      <c r="M176" s="105"/>
    </row>
    <row r="177" spans="1:13" x14ac:dyDescent="0.3">
      <c r="A177" s="102" t="s">
        <v>315</v>
      </c>
      <c r="B177" s="103" t="s">
        <v>182</v>
      </c>
      <c r="C177" s="103" t="b">
        <v>0</v>
      </c>
      <c r="D177" s="103" t="s">
        <v>205</v>
      </c>
      <c r="E177" s="103" t="s">
        <v>173</v>
      </c>
      <c r="F177" s="97" t="s">
        <v>354</v>
      </c>
      <c r="G177" s="104">
        <v>0.20482651575846866</v>
      </c>
      <c r="H177" s="104">
        <v>9.4077977355521245</v>
      </c>
      <c r="I177" s="97"/>
      <c r="J177" s="104"/>
      <c r="K177" s="104"/>
      <c r="L177" s="104"/>
      <c r="M177" s="105"/>
    </row>
    <row r="178" spans="1:13" x14ac:dyDescent="0.3">
      <c r="A178" s="102" t="s">
        <v>315</v>
      </c>
      <c r="B178" s="103" t="s">
        <v>182</v>
      </c>
      <c r="C178" s="103" t="b">
        <v>0</v>
      </c>
      <c r="D178" s="103" t="s">
        <v>205</v>
      </c>
      <c r="E178" s="103" t="s">
        <v>175</v>
      </c>
      <c r="F178" s="97" t="s">
        <v>355</v>
      </c>
      <c r="G178" s="104">
        <v>0.34968571561625705</v>
      </c>
      <c r="H178" s="104">
        <v>9.6496778086794475</v>
      </c>
      <c r="I178" s="97"/>
      <c r="J178" s="104"/>
      <c r="K178" s="104"/>
      <c r="L178" s="104"/>
      <c r="M178" s="105"/>
    </row>
    <row r="179" spans="1:13" x14ac:dyDescent="0.3">
      <c r="A179" s="102" t="s">
        <v>315</v>
      </c>
      <c r="B179" s="103" t="s">
        <v>182</v>
      </c>
      <c r="C179" s="103" t="b">
        <v>0</v>
      </c>
      <c r="D179" s="103" t="s">
        <v>169</v>
      </c>
      <c r="E179" s="103" t="s">
        <v>170</v>
      </c>
      <c r="F179" s="97" t="s">
        <v>356</v>
      </c>
      <c r="G179" s="104">
        <v>8.1157164279532096E-2</v>
      </c>
      <c r="H179" s="104">
        <v>16.194481609454204</v>
      </c>
      <c r="I179" s="97"/>
      <c r="J179" s="104"/>
      <c r="K179" s="104"/>
      <c r="L179" s="104"/>
      <c r="M179" s="105"/>
    </row>
    <row r="180" spans="1:13" x14ac:dyDescent="0.3">
      <c r="A180" s="102" t="s">
        <v>315</v>
      </c>
      <c r="B180" s="103" t="s">
        <v>182</v>
      </c>
      <c r="C180" s="103" t="b">
        <v>1</v>
      </c>
      <c r="D180" s="103" t="s">
        <v>169</v>
      </c>
      <c r="E180" s="103" t="s">
        <v>170</v>
      </c>
      <c r="F180" s="97" t="s">
        <v>357</v>
      </c>
      <c r="G180" s="104">
        <v>8.1157164279532096E-2</v>
      </c>
      <c r="H180" s="104">
        <v>16.151656129354865</v>
      </c>
      <c r="I180" s="97"/>
      <c r="J180" s="104"/>
      <c r="K180" s="104"/>
      <c r="L180" s="104"/>
      <c r="M180" s="105"/>
    </row>
    <row r="181" spans="1:13" x14ac:dyDescent="0.3">
      <c r="A181" s="102" t="s">
        <v>315</v>
      </c>
      <c r="B181" s="103" t="s">
        <v>182</v>
      </c>
      <c r="C181" s="103" t="b">
        <v>0</v>
      </c>
      <c r="D181" s="103" t="s">
        <v>169</v>
      </c>
      <c r="E181" s="103" t="s">
        <v>173</v>
      </c>
      <c r="F181" s="97" t="s">
        <v>358</v>
      </c>
      <c r="G181" s="104">
        <v>0.43516127910381996</v>
      </c>
      <c r="H181" s="104">
        <v>11.765813750414354</v>
      </c>
      <c r="I181" s="97"/>
      <c r="J181" s="104"/>
      <c r="K181" s="104"/>
      <c r="L181" s="104"/>
      <c r="M181" s="105"/>
    </row>
    <row r="182" spans="1:13" x14ac:dyDescent="0.3">
      <c r="A182" s="102" t="s">
        <v>315</v>
      </c>
      <c r="B182" s="103" t="s">
        <v>182</v>
      </c>
      <c r="C182" s="103" t="b">
        <v>1</v>
      </c>
      <c r="D182" s="103" t="s">
        <v>169</v>
      </c>
      <c r="E182" s="103" t="s">
        <v>173</v>
      </c>
      <c r="F182" s="97" t="s">
        <v>359</v>
      </c>
      <c r="G182" s="104">
        <v>0.43516127910381996</v>
      </c>
      <c r="H182" s="104">
        <v>11.73746162362837</v>
      </c>
      <c r="I182" s="97"/>
      <c r="J182" s="104"/>
      <c r="K182" s="104"/>
      <c r="L182" s="104"/>
      <c r="M182" s="105"/>
    </row>
    <row r="183" spans="1:13" x14ac:dyDescent="0.3">
      <c r="A183" s="102" t="s">
        <v>315</v>
      </c>
      <c r="B183" s="103" t="s">
        <v>182</v>
      </c>
      <c r="C183" s="103" t="b">
        <v>0</v>
      </c>
      <c r="D183" s="103" t="s">
        <v>169</v>
      </c>
      <c r="E183" s="103" t="s">
        <v>175</v>
      </c>
      <c r="F183" s="97" t="s">
        <v>360</v>
      </c>
      <c r="G183" s="104">
        <v>0.60930444589894184</v>
      </c>
      <c r="H183" s="104">
        <v>10.498424328699093</v>
      </c>
      <c r="I183" s="97"/>
      <c r="J183" s="104"/>
      <c r="K183" s="104"/>
      <c r="L183" s="104"/>
      <c r="M183" s="105"/>
    </row>
    <row r="184" spans="1:13" x14ac:dyDescent="0.3">
      <c r="A184" s="102" t="s">
        <v>315</v>
      </c>
      <c r="B184" s="103" t="s">
        <v>361</v>
      </c>
      <c r="C184" s="103" t="b">
        <v>0</v>
      </c>
      <c r="D184" s="103" t="s">
        <v>205</v>
      </c>
      <c r="E184" s="103" t="s">
        <v>170</v>
      </c>
      <c r="F184" s="97" t="s">
        <v>362</v>
      </c>
      <c r="G184" s="104">
        <v>5.4838836461291458E-2</v>
      </c>
      <c r="H184" s="104">
        <v>53.87434020859147</v>
      </c>
      <c r="I184" s="97"/>
      <c r="J184" s="104"/>
      <c r="K184" s="104"/>
      <c r="L184" s="104"/>
      <c r="M184" s="105"/>
    </row>
    <row r="185" spans="1:13" x14ac:dyDescent="0.3">
      <c r="A185" s="102" t="s">
        <v>315</v>
      </c>
      <c r="B185" s="103" t="s">
        <v>361</v>
      </c>
      <c r="C185" s="103" t="b">
        <v>0</v>
      </c>
      <c r="D185" s="103" t="s">
        <v>205</v>
      </c>
      <c r="E185" s="103" t="s">
        <v>173</v>
      </c>
      <c r="F185" s="97" t="s">
        <v>363</v>
      </c>
      <c r="G185" s="104">
        <v>0.31366639505963084</v>
      </c>
      <c r="H185" s="104">
        <v>36.469308604815645</v>
      </c>
      <c r="I185" s="97"/>
      <c r="J185" s="104"/>
      <c r="K185" s="104"/>
      <c r="L185" s="104"/>
      <c r="M185" s="105"/>
    </row>
    <row r="186" spans="1:13" x14ac:dyDescent="0.3">
      <c r="A186" s="102" t="s">
        <v>315</v>
      </c>
      <c r="B186" s="103" t="s">
        <v>361</v>
      </c>
      <c r="C186" s="103" t="b">
        <v>0</v>
      </c>
      <c r="D186" s="103" t="s">
        <v>205</v>
      </c>
      <c r="E186" s="103" t="s">
        <v>175</v>
      </c>
      <c r="F186" s="97" t="s">
        <v>364</v>
      </c>
      <c r="G186" s="104">
        <v>0.60152293862522144</v>
      </c>
      <c r="H186" s="104">
        <v>35.649981202901955</v>
      </c>
      <c r="I186" s="97"/>
      <c r="J186" s="104"/>
      <c r="K186" s="104"/>
      <c r="L186" s="104"/>
      <c r="M186" s="105"/>
    </row>
    <row r="187" spans="1:13" x14ac:dyDescent="0.3">
      <c r="A187" s="102" t="s">
        <v>315</v>
      </c>
      <c r="B187" s="103" t="s">
        <v>361</v>
      </c>
      <c r="C187" s="103" t="b">
        <v>0</v>
      </c>
      <c r="D187" s="103" t="s">
        <v>169</v>
      </c>
      <c r="E187" s="103" t="s">
        <v>170</v>
      </c>
      <c r="F187" s="97" t="s">
        <v>365</v>
      </c>
      <c r="G187" s="104">
        <v>0.13620780057279125</v>
      </c>
      <c r="H187" s="104">
        <v>63.879092385218208</v>
      </c>
      <c r="I187" s="97"/>
      <c r="J187" s="104"/>
      <c r="K187" s="104"/>
      <c r="L187" s="104"/>
      <c r="M187" s="105"/>
    </row>
    <row r="188" spans="1:13" x14ac:dyDescent="0.3">
      <c r="A188" s="102" t="s">
        <v>315</v>
      </c>
      <c r="B188" s="103" t="s">
        <v>361</v>
      </c>
      <c r="C188" s="103" t="b">
        <v>1</v>
      </c>
      <c r="D188" s="103" t="s">
        <v>169</v>
      </c>
      <c r="E188" s="103" t="s">
        <v>170</v>
      </c>
      <c r="F188" s="97" t="s">
        <v>366</v>
      </c>
      <c r="G188" s="104">
        <v>0.13452528323341487</v>
      </c>
      <c r="H188" s="104">
        <v>63.983775821809203</v>
      </c>
      <c r="I188" s="97"/>
      <c r="J188" s="104"/>
      <c r="K188" s="104"/>
      <c r="L188" s="104"/>
      <c r="M188" s="105"/>
    </row>
    <row r="189" spans="1:13" x14ac:dyDescent="0.3">
      <c r="A189" s="102" t="s">
        <v>315</v>
      </c>
      <c r="B189" s="103" t="s">
        <v>361</v>
      </c>
      <c r="C189" s="103" t="b">
        <v>0</v>
      </c>
      <c r="D189" s="103" t="s">
        <v>169</v>
      </c>
      <c r="E189" s="103" t="s">
        <v>173</v>
      </c>
      <c r="F189" s="97" t="s">
        <v>367</v>
      </c>
      <c r="G189" s="104">
        <v>0.64885577637038694</v>
      </c>
      <c r="H189" s="104">
        <v>45.591680519894282</v>
      </c>
      <c r="I189" s="97"/>
      <c r="J189" s="104"/>
      <c r="K189" s="104"/>
      <c r="L189" s="104"/>
      <c r="M189" s="105"/>
    </row>
    <row r="190" spans="1:13" x14ac:dyDescent="0.3">
      <c r="A190" s="102" t="s">
        <v>315</v>
      </c>
      <c r="B190" s="103" t="s">
        <v>361</v>
      </c>
      <c r="C190" s="103" t="b">
        <v>1</v>
      </c>
      <c r="D190" s="103" t="s">
        <v>169</v>
      </c>
      <c r="E190" s="103" t="s">
        <v>173</v>
      </c>
      <c r="F190" s="97" t="s">
        <v>368</v>
      </c>
      <c r="G190" s="104">
        <v>0.63477153493881477</v>
      </c>
      <c r="H190" s="104">
        <v>44.328676224886166</v>
      </c>
      <c r="I190" s="97"/>
      <c r="J190" s="104"/>
      <c r="K190" s="104"/>
      <c r="L190" s="104"/>
      <c r="M190" s="105"/>
    </row>
    <row r="191" spans="1:13" x14ac:dyDescent="0.3">
      <c r="A191" s="102" t="s">
        <v>315</v>
      </c>
      <c r="B191" s="103" t="s">
        <v>187</v>
      </c>
      <c r="C191" s="103" t="b">
        <v>1</v>
      </c>
      <c r="D191" s="103" t="s">
        <v>205</v>
      </c>
      <c r="E191" s="103" t="s">
        <v>170</v>
      </c>
      <c r="F191" s="97" t="s">
        <v>369</v>
      </c>
      <c r="G191" s="104">
        <v>5.3128456138666097E-2</v>
      </c>
      <c r="H191" s="104">
        <v>57.417300787516957</v>
      </c>
      <c r="I191" s="97"/>
      <c r="J191" s="104"/>
      <c r="K191" s="104"/>
      <c r="L191" s="104"/>
      <c r="M191" s="105"/>
    </row>
    <row r="192" spans="1:13" x14ac:dyDescent="0.3">
      <c r="A192" s="102" t="s">
        <v>315</v>
      </c>
      <c r="B192" s="103" t="s">
        <v>187</v>
      </c>
      <c r="C192" s="103" t="b">
        <v>1</v>
      </c>
      <c r="D192" s="103" t="s">
        <v>205</v>
      </c>
      <c r="E192" s="103" t="s">
        <v>173</v>
      </c>
      <c r="F192" s="97" t="s">
        <v>370</v>
      </c>
      <c r="G192" s="104">
        <v>0.24468586335901221</v>
      </c>
      <c r="H192" s="104">
        <v>36.818131366958461</v>
      </c>
      <c r="I192" s="97"/>
      <c r="J192" s="104"/>
      <c r="K192" s="104"/>
      <c r="L192" s="104"/>
      <c r="M192" s="105"/>
    </row>
    <row r="193" spans="1:13" x14ac:dyDescent="0.3">
      <c r="A193" s="102" t="s">
        <v>315</v>
      </c>
      <c r="B193" s="103" t="s">
        <v>187</v>
      </c>
      <c r="C193" s="103" t="b">
        <v>0</v>
      </c>
      <c r="D193" s="103" t="s">
        <v>205</v>
      </c>
      <c r="E193" s="103" t="s">
        <v>175</v>
      </c>
      <c r="F193" s="97" t="s">
        <v>371</v>
      </c>
      <c r="G193" s="104">
        <v>0.46642383441543833</v>
      </c>
      <c r="H193" s="104">
        <v>36.484717807715256</v>
      </c>
      <c r="I193" s="97"/>
      <c r="J193" s="104"/>
      <c r="K193" s="104"/>
      <c r="L193" s="104"/>
      <c r="M193" s="105"/>
    </row>
    <row r="194" spans="1:13" x14ac:dyDescent="0.3">
      <c r="A194" s="102" t="s">
        <v>315</v>
      </c>
      <c r="B194" s="103" t="s">
        <v>187</v>
      </c>
      <c r="C194" s="103" t="b">
        <v>0</v>
      </c>
      <c r="D194" s="103" t="s">
        <v>169</v>
      </c>
      <c r="E194" s="103" t="s">
        <v>170</v>
      </c>
      <c r="F194" s="97" t="s">
        <v>372</v>
      </c>
      <c r="G194" s="104">
        <v>0.12865383989553078</v>
      </c>
      <c r="H194" s="104">
        <v>67.615992223535073</v>
      </c>
      <c r="I194" s="97"/>
      <c r="J194" s="104"/>
      <c r="K194" s="104"/>
      <c r="L194" s="104"/>
      <c r="M194" s="105"/>
    </row>
    <row r="195" spans="1:13" x14ac:dyDescent="0.3">
      <c r="A195" s="102" t="s">
        <v>315</v>
      </c>
      <c r="B195" s="103" t="s">
        <v>187</v>
      </c>
      <c r="C195" s="103" t="b">
        <v>1</v>
      </c>
      <c r="D195" s="103" t="s">
        <v>169</v>
      </c>
      <c r="E195" s="103" t="s">
        <v>170</v>
      </c>
      <c r="F195" s="97" t="s">
        <v>373</v>
      </c>
      <c r="G195" s="104">
        <v>0.12718794150897916</v>
      </c>
      <c r="H195" s="104">
        <v>67.83302220371182</v>
      </c>
      <c r="I195" s="97"/>
      <c r="J195" s="104"/>
      <c r="K195" s="104"/>
      <c r="L195" s="104"/>
      <c r="M195" s="105"/>
    </row>
    <row r="196" spans="1:13" x14ac:dyDescent="0.3">
      <c r="A196" s="102" t="s">
        <v>315</v>
      </c>
      <c r="B196" s="103" t="s">
        <v>187</v>
      </c>
      <c r="C196" s="103" t="b">
        <v>0</v>
      </c>
      <c r="D196" s="103" t="s">
        <v>169</v>
      </c>
      <c r="E196" s="103" t="s">
        <v>173</v>
      </c>
      <c r="F196" s="97" t="s">
        <v>374</v>
      </c>
      <c r="G196" s="104">
        <v>0.5300297648780905</v>
      </c>
      <c r="H196" s="104">
        <v>47.167205457192239</v>
      </c>
      <c r="I196" s="97"/>
      <c r="J196" s="104"/>
      <c r="K196" s="104"/>
      <c r="L196" s="104"/>
      <c r="M196" s="105"/>
    </row>
    <row r="197" spans="1:13" x14ac:dyDescent="0.3">
      <c r="A197" s="102" t="s">
        <v>315</v>
      </c>
      <c r="B197" s="103" t="s">
        <v>187</v>
      </c>
      <c r="C197" s="103" t="b">
        <v>1</v>
      </c>
      <c r="D197" s="103" t="s">
        <v>169</v>
      </c>
      <c r="E197" s="103" t="s">
        <v>173</v>
      </c>
      <c r="F197" s="97" t="s">
        <v>375</v>
      </c>
      <c r="G197" s="104">
        <v>0.52094218517857993</v>
      </c>
      <c r="H197" s="104">
        <v>45.738254655933744</v>
      </c>
      <c r="I197" s="97"/>
      <c r="J197" s="104"/>
      <c r="K197" s="104"/>
      <c r="L197" s="104"/>
      <c r="M197" s="105"/>
    </row>
    <row r="198" spans="1:13" x14ac:dyDescent="0.3">
      <c r="A198" s="102" t="s">
        <v>315</v>
      </c>
      <c r="B198" s="103" t="s">
        <v>187</v>
      </c>
      <c r="C198" s="103" t="b">
        <v>1</v>
      </c>
      <c r="D198" s="103" t="s">
        <v>169</v>
      </c>
      <c r="E198" s="103" t="s">
        <v>175</v>
      </c>
      <c r="F198" s="97" t="s">
        <v>376</v>
      </c>
      <c r="G198" s="104">
        <v>0.80387071618603634</v>
      </c>
      <c r="H198" s="104">
        <v>37.606555935646476</v>
      </c>
      <c r="I198" s="97"/>
      <c r="J198" s="104"/>
      <c r="K198" s="104"/>
      <c r="L198" s="104"/>
      <c r="M198" s="105"/>
    </row>
    <row r="199" spans="1:13" x14ac:dyDescent="0.3">
      <c r="A199" s="102" t="s">
        <v>315</v>
      </c>
      <c r="B199" s="103" t="s">
        <v>377</v>
      </c>
      <c r="C199" s="103" t="b">
        <v>1</v>
      </c>
      <c r="D199" s="103" t="s">
        <v>205</v>
      </c>
      <c r="E199" s="103" t="s">
        <v>170</v>
      </c>
      <c r="F199" s="97" t="s">
        <v>378</v>
      </c>
      <c r="G199" s="104">
        <v>0.11463872314706343</v>
      </c>
      <c r="H199" s="104">
        <v>42.883399074061352</v>
      </c>
      <c r="I199" s="97"/>
      <c r="J199" s="104"/>
      <c r="K199" s="104"/>
      <c r="L199" s="104"/>
      <c r="M199" s="105"/>
    </row>
    <row r="200" spans="1:13" x14ac:dyDescent="0.3">
      <c r="A200" s="102" t="s">
        <v>315</v>
      </c>
      <c r="B200" s="103" t="s">
        <v>377</v>
      </c>
      <c r="C200" s="103" t="b">
        <v>0</v>
      </c>
      <c r="D200" s="103" t="s">
        <v>169</v>
      </c>
      <c r="E200" s="103" t="s">
        <v>170</v>
      </c>
      <c r="F200" s="97" t="s">
        <v>379</v>
      </c>
      <c r="G200" s="104">
        <v>0.18661155372905058</v>
      </c>
      <c r="H200" s="104">
        <v>59.340224628890105</v>
      </c>
      <c r="I200" s="97"/>
      <c r="J200" s="104"/>
      <c r="K200" s="104"/>
      <c r="L200" s="104"/>
      <c r="M200" s="105"/>
    </row>
    <row r="201" spans="1:13" x14ac:dyDescent="0.3">
      <c r="A201" s="102" t="s">
        <v>315</v>
      </c>
      <c r="B201" s="103" t="s">
        <v>377</v>
      </c>
      <c r="C201" s="103" t="b">
        <v>1</v>
      </c>
      <c r="D201" s="103" t="s">
        <v>169</v>
      </c>
      <c r="E201" s="103" t="s">
        <v>170</v>
      </c>
      <c r="F201" s="97" t="s">
        <v>380</v>
      </c>
      <c r="G201" s="104">
        <v>0.1844690628112281</v>
      </c>
      <c r="H201" s="104">
        <v>58.74100933930211</v>
      </c>
      <c r="I201" s="97"/>
      <c r="J201" s="104"/>
      <c r="K201" s="104"/>
      <c r="L201" s="104"/>
      <c r="M201" s="105"/>
    </row>
    <row r="202" spans="1:13" x14ac:dyDescent="0.3">
      <c r="A202" s="102" t="s">
        <v>315</v>
      </c>
      <c r="B202" s="103" t="s">
        <v>377</v>
      </c>
      <c r="C202" s="103" t="b">
        <v>0</v>
      </c>
      <c r="D202" s="103" t="s">
        <v>169</v>
      </c>
      <c r="E202" s="103" t="s">
        <v>173</v>
      </c>
      <c r="F202" s="97" t="s">
        <v>381</v>
      </c>
      <c r="G202" s="104">
        <v>0.45840682543968136</v>
      </c>
      <c r="H202" s="104">
        <v>45.480663873969583</v>
      </c>
      <c r="I202" s="97"/>
      <c r="J202" s="104"/>
      <c r="K202" s="104"/>
      <c r="L202" s="104"/>
      <c r="M202" s="105"/>
    </row>
    <row r="203" spans="1:13" x14ac:dyDescent="0.3">
      <c r="A203" s="102" t="s">
        <v>315</v>
      </c>
      <c r="B203" s="103" t="s">
        <v>377</v>
      </c>
      <c r="C203" s="103" t="b">
        <v>1</v>
      </c>
      <c r="D203" s="103" t="s">
        <v>169</v>
      </c>
      <c r="E203" s="103" t="s">
        <v>175</v>
      </c>
      <c r="F203" s="97" t="s">
        <v>382</v>
      </c>
      <c r="G203" s="104">
        <v>1.4655465507664167</v>
      </c>
      <c r="H203" s="104">
        <v>25.985605531654784</v>
      </c>
      <c r="I203" s="97"/>
      <c r="J203" s="104"/>
      <c r="K203" s="104"/>
      <c r="L203" s="104"/>
      <c r="M203" s="105"/>
    </row>
    <row r="204" spans="1:13" x14ac:dyDescent="0.3">
      <c r="A204" s="102" t="s">
        <v>315</v>
      </c>
      <c r="B204" s="103" t="s">
        <v>192</v>
      </c>
      <c r="C204" s="103" t="b">
        <v>0</v>
      </c>
      <c r="D204" s="103" t="s">
        <v>282</v>
      </c>
      <c r="E204" s="103" t="s">
        <v>175</v>
      </c>
      <c r="F204" s="97" t="s">
        <v>383</v>
      </c>
      <c r="G204" s="104">
        <v>0.31559915814715866</v>
      </c>
      <c r="H204" s="104">
        <v>6.1026717727745314</v>
      </c>
      <c r="I204" s="97"/>
      <c r="J204" s="104"/>
      <c r="K204" s="104"/>
      <c r="L204" s="104"/>
      <c r="M204" s="105"/>
    </row>
    <row r="205" spans="1:13" x14ac:dyDescent="0.3">
      <c r="A205" s="102" t="s">
        <v>315</v>
      </c>
      <c r="B205" s="103" t="s">
        <v>192</v>
      </c>
      <c r="C205" s="103" t="b">
        <v>0</v>
      </c>
      <c r="D205" s="103" t="s">
        <v>205</v>
      </c>
      <c r="E205" s="103" t="s">
        <v>170</v>
      </c>
      <c r="F205" s="97" t="s">
        <v>384</v>
      </c>
      <c r="G205" s="104">
        <v>4.773055828608036E-2</v>
      </c>
      <c r="H205" s="104">
        <v>11.321248944822083</v>
      </c>
      <c r="I205" s="97"/>
      <c r="J205" s="104"/>
      <c r="K205" s="104"/>
      <c r="L205" s="104"/>
      <c r="M205" s="105"/>
    </row>
    <row r="206" spans="1:13" x14ac:dyDescent="0.3">
      <c r="A206" s="102" t="s">
        <v>315</v>
      </c>
      <c r="B206" s="103" t="s">
        <v>192</v>
      </c>
      <c r="C206" s="103" t="b">
        <v>1</v>
      </c>
      <c r="D206" s="103" t="s">
        <v>205</v>
      </c>
      <c r="E206" s="103" t="s">
        <v>170</v>
      </c>
      <c r="F206" s="97" t="s">
        <v>385</v>
      </c>
      <c r="G206" s="104">
        <v>4.7730493922127123E-2</v>
      </c>
      <c r="H206" s="104">
        <v>11.264932671087621</v>
      </c>
      <c r="I206" s="97"/>
      <c r="J206" s="104"/>
      <c r="K206" s="104"/>
      <c r="L206" s="104"/>
      <c r="M206" s="105"/>
    </row>
    <row r="207" spans="1:13" x14ac:dyDescent="0.3">
      <c r="A207" s="102" t="s">
        <v>315</v>
      </c>
      <c r="B207" s="103" t="s">
        <v>192</v>
      </c>
      <c r="C207" s="103" t="b">
        <v>0</v>
      </c>
      <c r="D207" s="103" t="s">
        <v>205</v>
      </c>
      <c r="E207" s="103" t="s">
        <v>173</v>
      </c>
      <c r="F207" s="97" t="s">
        <v>386</v>
      </c>
      <c r="G207" s="104">
        <v>0.10058042850191634</v>
      </c>
      <c r="H207" s="104">
        <v>7.7289316243658313</v>
      </c>
      <c r="I207" s="97"/>
      <c r="J207" s="104"/>
      <c r="K207" s="104"/>
      <c r="L207" s="104"/>
      <c r="M207" s="105"/>
    </row>
    <row r="208" spans="1:13" x14ac:dyDescent="0.3">
      <c r="A208" s="102" t="s">
        <v>315</v>
      </c>
      <c r="B208" s="103" t="s">
        <v>192</v>
      </c>
      <c r="C208" s="103" t="b">
        <v>1</v>
      </c>
      <c r="D208" s="103" t="s">
        <v>205</v>
      </c>
      <c r="E208" s="103" t="s">
        <v>173</v>
      </c>
      <c r="F208" s="97" t="s">
        <v>387</v>
      </c>
      <c r="G208" s="104">
        <v>0.10058033142667133</v>
      </c>
      <c r="H208" s="104">
        <v>7.692456759396916</v>
      </c>
      <c r="I208" s="97"/>
      <c r="J208" s="104"/>
      <c r="K208" s="104"/>
      <c r="L208" s="104"/>
      <c r="M208" s="105"/>
    </row>
    <row r="209" spans="1:13" x14ac:dyDescent="0.3">
      <c r="A209" s="102" t="s">
        <v>315</v>
      </c>
      <c r="B209" s="103" t="s">
        <v>192</v>
      </c>
      <c r="C209" s="103" t="b">
        <v>0</v>
      </c>
      <c r="D209" s="103" t="s">
        <v>205</v>
      </c>
      <c r="E209" s="103" t="s">
        <v>175</v>
      </c>
      <c r="F209" s="97" t="s">
        <v>388</v>
      </c>
      <c r="G209" s="104">
        <v>0.43870895477587118</v>
      </c>
      <c r="H209" s="104">
        <v>7.7819495946105013</v>
      </c>
      <c r="I209" s="97"/>
      <c r="J209" s="104"/>
      <c r="K209" s="104"/>
      <c r="L209" s="104"/>
      <c r="M209" s="105"/>
    </row>
    <row r="210" spans="1:13" x14ac:dyDescent="0.3">
      <c r="A210" s="102" t="s">
        <v>315</v>
      </c>
      <c r="B210" s="103" t="s">
        <v>192</v>
      </c>
      <c r="C210" s="103" t="b">
        <v>0</v>
      </c>
      <c r="D210" s="103" t="s">
        <v>169</v>
      </c>
      <c r="E210" s="103" t="s">
        <v>170</v>
      </c>
      <c r="F210" s="97" t="s">
        <v>389</v>
      </c>
      <c r="G210" s="104">
        <v>8.9843865145412163E-2</v>
      </c>
      <c r="H210" s="104">
        <v>15.65202910299829</v>
      </c>
      <c r="I210" s="97"/>
      <c r="J210" s="104"/>
      <c r="K210" s="104"/>
      <c r="L210" s="104"/>
      <c r="M210" s="105"/>
    </row>
    <row r="211" spans="1:13" x14ac:dyDescent="0.3">
      <c r="A211" s="102" t="s">
        <v>315</v>
      </c>
      <c r="B211" s="103" t="s">
        <v>192</v>
      </c>
      <c r="C211" s="103" t="b">
        <v>1</v>
      </c>
      <c r="D211" s="103" t="s">
        <v>169</v>
      </c>
      <c r="E211" s="103" t="s">
        <v>170</v>
      </c>
      <c r="F211" s="97" t="s">
        <v>390</v>
      </c>
      <c r="G211" s="104">
        <v>8.9843762662764642E-2</v>
      </c>
      <c r="H211" s="104">
        <v>15.578556586256498</v>
      </c>
      <c r="I211" s="97"/>
      <c r="J211" s="104"/>
      <c r="K211" s="104"/>
      <c r="L211" s="104"/>
      <c r="M211" s="105"/>
    </row>
    <row r="212" spans="1:13" x14ac:dyDescent="0.3">
      <c r="A212" s="102" t="s">
        <v>315</v>
      </c>
      <c r="B212" s="103" t="s">
        <v>192</v>
      </c>
      <c r="C212" s="103" t="b">
        <v>0</v>
      </c>
      <c r="D212" s="103" t="s">
        <v>169</v>
      </c>
      <c r="E212" s="103" t="s">
        <v>173</v>
      </c>
      <c r="F212" s="97" t="s">
        <v>391</v>
      </c>
      <c r="G212" s="104">
        <v>0.19570228295266962</v>
      </c>
      <c r="H212" s="104">
        <v>12.11570646508183</v>
      </c>
      <c r="I212" s="97"/>
      <c r="J212" s="104"/>
      <c r="K212" s="104"/>
      <c r="L212" s="104"/>
      <c r="M212" s="105"/>
    </row>
    <row r="213" spans="1:13" x14ac:dyDescent="0.3">
      <c r="A213" s="102" t="s">
        <v>315</v>
      </c>
      <c r="B213" s="103" t="s">
        <v>192</v>
      </c>
      <c r="C213" s="103" t="b">
        <v>1</v>
      </c>
      <c r="D213" s="103" t="s">
        <v>169</v>
      </c>
      <c r="E213" s="103" t="s">
        <v>173</v>
      </c>
      <c r="F213" s="97" t="s">
        <v>392</v>
      </c>
      <c r="G213" s="104">
        <v>0.19570215580522238</v>
      </c>
      <c r="H213" s="104">
        <v>12.059838644156951</v>
      </c>
      <c r="I213" s="97"/>
      <c r="J213" s="104"/>
      <c r="K213" s="104"/>
      <c r="L213" s="104"/>
      <c r="M213" s="105"/>
    </row>
    <row r="214" spans="1:13" x14ac:dyDescent="0.3">
      <c r="A214" s="102" t="s">
        <v>315</v>
      </c>
      <c r="B214" s="103" t="s">
        <v>192</v>
      </c>
      <c r="C214" s="103" t="b">
        <v>0</v>
      </c>
      <c r="D214" s="103" t="s">
        <v>169</v>
      </c>
      <c r="E214" s="103" t="s">
        <v>175</v>
      </c>
      <c r="F214" s="97" t="s">
        <v>393</v>
      </c>
      <c r="G214" s="104">
        <v>0.6969053860591119</v>
      </c>
      <c r="H214" s="104">
        <v>9.4596255179380986</v>
      </c>
      <c r="I214" s="97"/>
      <c r="J214" s="104"/>
      <c r="K214" s="104"/>
      <c r="L214" s="104"/>
      <c r="M214" s="105"/>
    </row>
    <row r="215" spans="1:13" x14ac:dyDescent="0.3">
      <c r="A215" s="102" t="s">
        <v>315</v>
      </c>
      <c r="B215" s="103" t="s">
        <v>192</v>
      </c>
      <c r="C215" s="103" t="b">
        <v>1</v>
      </c>
      <c r="D215" s="103" t="s">
        <v>169</v>
      </c>
      <c r="E215" s="103" t="s">
        <v>175</v>
      </c>
      <c r="F215" s="97" t="s">
        <v>394</v>
      </c>
      <c r="G215" s="104">
        <v>0.6968894764796707</v>
      </c>
      <c r="H215" s="104">
        <v>9.4433060700758027</v>
      </c>
      <c r="I215" s="97"/>
      <c r="J215" s="104"/>
      <c r="K215" s="104"/>
      <c r="L215" s="104"/>
      <c r="M215" s="105"/>
    </row>
    <row r="216" spans="1:13" x14ac:dyDescent="0.3">
      <c r="A216" s="102" t="s">
        <v>315</v>
      </c>
      <c r="B216" s="103" t="s">
        <v>192</v>
      </c>
      <c r="C216" s="103" t="b">
        <v>0</v>
      </c>
      <c r="D216" s="103" t="s">
        <v>267</v>
      </c>
      <c r="E216" s="103" t="s">
        <v>170</v>
      </c>
      <c r="F216" s="97" t="s">
        <v>395</v>
      </c>
      <c r="G216" s="104">
        <v>0.14614382918601182</v>
      </c>
      <c r="H216" s="104">
        <v>16.768353280837214</v>
      </c>
      <c r="I216" s="97"/>
      <c r="J216" s="104"/>
      <c r="K216" s="104"/>
      <c r="L216" s="104"/>
      <c r="M216" s="105"/>
    </row>
    <row r="217" spans="1:13" x14ac:dyDescent="0.3">
      <c r="A217" s="102" t="s">
        <v>315</v>
      </c>
      <c r="B217" s="103" t="s">
        <v>192</v>
      </c>
      <c r="C217" s="103" t="b">
        <v>1</v>
      </c>
      <c r="D217" s="103" t="s">
        <v>267</v>
      </c>
      <c r="E217" s="103" t="s">
        <v>170</v>
      </c>
      <c r="F217" s="97" t="s">
        <v>396</v>
      </c>
      <c r="G217" s="104">
        <v>0.1461436983257666</v>
      </c>
      <c r="H217" s="104">
        <v>16.693416068256909</v>
      </c>
      <c r="I217" s="97"/>
      <c r="J217" s="104"/>
      <c r="K217" s="104"/>
      <c r="L217" s="104"/>
      <c r="M217" s="105"/>
    </row>
    <row r="218" spans="1:13" x14ac:dyDescent="0.3">
      <c r="A218" s="102" t="s">
        <v>315</v>
      </c>
      <c r="B218" s="103" t="s">
        <v>192</v>
      </c>
      <c r="C218" s="103" t="b">
        <v>0</v>
      </c>
      <c r="D218" s="103" t="s">
        <v>267</v>
      </c>
      <c r="E218" s="103" t="s">
        <v>173</v>
      </c>
      <c r="F218" s="97" t="s">
        <v>397</v>
      </c>
      <c r="G218" s="104">
        <v>0.35303145275826248</v>
      </c>
      <c r="H218" s="104">
        <v>15.536456549822185</v>
      </c>
      <c r="I218" s="97"/>
      <c r="J218" s="104"/>
      <c r="K218" s="104"/>
      <c r="L218" s="104"/>
      <c r="M218" s="105"/>
    </row>
    <row r="219" spans="1:13" x14ac:dyDescent="0.3">
      <c r="A219" s="102" t="s">
        <v>315</v>
      </c>
      <c r="B219" s="103" t="s">
        <v>192</v>
      </c>
      <c r="C219" s="103" t="b">
        <v>1</v>
      </c>
      <c r="D219" s="103" t="s">
        <v>292</v>
      </c>
      <c r="E219" s="103" t="s">
        <v>170</v>
      </c>
      <c r="F219" s="97" t="s">
        <v>398</v>
      </c>
      <c r="G219" s="104">
        <v>0.34065364394476988</v>
      </c>
      <c r="H219" s="104">
        <v>15.337297992056854</v>
      </c>
      <c r="I219" s="97"/>
      <c r="J219" s="104"/>
      <c r="K219" s="104"/>
      <c r="L219" s="104"/>
      <c r="M219" s="105"/>
    </row>
    <row r="220" spans="1:13" x14ac:dyDescent="0.3">
      <c r="A220" s="102" t="s">
        <v>315</v>
      </c>
      <c r="B220" s="103" t="s">
        <v>198</v>
      </c>
      <c r="C220" s="103" t="b">
        <v>0</v>
      </c>
      <c r="D220" s="103" t="s">
        <v>282</v>
      </c>
      <c r="E220" s="103" t="s">
        <v>170</v>
      </c>
      <c r="F220" s="97" t="s">
        <v>399</v>
      </c>
      <c r="G220" s="104">
        <v>4.0487758903716219E-2</v>
      </c>
      <c r="H220" s="104">
        <v>16.454137543244151</v>
      </c>
      <c r="I220" s="97"/>
      <c r="J220" s="104"/>
      <c r="K220" s="104"/>
      <c r="L220" s="104"/>
      <c r="M220" s="105"/>
    </row>
    <row r="221" spans="1:13" x14ac:dyDescent="0.3">
      <c r="A221" s="102" t="s">
        <v>315</v>
      </c>
      <c r="B221" s="103" t="s">
        <v>198</v>
      </c>
      <c r="C221" s="103" t="b">
        <v>0</v>
      </c>
      <c r="D221" s="103" t="s">
        <v>205</v>
      </c>
      <c r="E221" s="103" t="s">
        <v>170</v>
      </c>
      <c r="F221" s="97" t="s">
        <v>400</v>
      </c>
      <c r="G221" s="104">
        <v>5.4385032454288773E-2</v>
      </c>
      <c r="H221" s="104">
        <v>22.634676611045332</v>
      </c>
      <c r="I221" s="97"/>
      <c r="J221" s="104"/>
      <c r="K221" s="104"/>
      <c r="L221" s="104"/>
      <c r="M221" s="105"/>
    </row>
    <row r="222" spans="1:13" x14ac:dyDescent="0.3">
      <c r="A222" s="102" t="s">
        <v>315</v>
      </c>
      <c r="B222" s="103" t="s">
        <v>198</v>
      </c>
      <c r="C222" s="103" t="b">
        <v>1</v>
      </c>
      <c r="D222" s="103" t="s">
        <v>205</v>
      </c>
      <c r="E222" s="103" t="s">
        <v>170</v>
      </c>
      <c r="F222" s="97" t="s">
        <v>401</v>
      </c>
      <c r="G222" s="104">
        <v>5.4291996216987777E-2</v>
      </c>
      <c r="H222" s="104">
        <v>22.520204208322358</v>
      </c>
      <c r="I222" s="97"/>
      <c r="J222" s="104"/>
      <c r="K222" s="104"/>
      <c r="L222" s="104"/>
      <c r="M222" s="105"/>
    </row>
    <row r="223" spans="1:13" x14ac:dyDescent="0.3">
      <c r="A223" s="102" t="s">
        <v>315</v>
      </c>
      <c r="B223" s="103" t="s">
        <v>198</v>
      </c>
      <c r="C223" s="103" t="b">
        <v>1</v>
      </c>
      <c r="D223" s="103" t="s">
        <v>205</v>
      </c>
      <c r="E223" s="103" t="s">
        <v>173</v>
      </c>
      <c r="F223" s="97" t="s">
        <v>402</v>
      </c>
      <c r="G223" s="104">
        <v>0.26337343868925644</v>
      </c>
      <c r="H223" s="104">
        <v>16.192325512816399</v>
      </c>
      <c r="I223" s="97"/>
      <c r="J223" s="104"/>
      <c r="K223" s="104"/>
      <c r="L223" s="104"/>
      <c r="M223" s="105"/>
    </row>
    <row r="224" spans="1:13" x14ac:dyDescent="0.3">
      <c r="A224" s="102" t="s">
        <v>315</v>
      </c>
      <c r="B224" s="103" t="s">
        <v>198</v>
      </c>
      <c r="C224" s="103" t="b">
        <v>0</v>
      </c>
      <c r="D224" s="103" t="s">
        <v>205</v>
      </c>
      <c r="E224" s="103" t="s">
        <v>175</v>
      </c>
      <c r="F224" s="97" t="s">
        <v>403</v>
      </c>
      <c r="G224" s="104">
        <v>0.56310991419635348</v>
      </c>
      <c r="H224" s="104">
        <v>16.868599367400005</v>
      </c>
      <c r="I224" s="97"/>
      <c r="J224" s="104"/>
      <c r="K224" s="104"/>
      <c r="L224" s="104"/>
      <c r="M224" s="105"/>
    </row>
    <row r="225" spans="1:13" x14ac:dyDescent="0.3">
      <c r="A225" s="102" t="s">
        <v>315</v>
      </c>
      <c r="B225" s="103" t="s">
        <v>198</v>
      </c>
      <c r="C225" s="103" t="b">
        <v>0</v>
      </c>
      <c r="D225" s="103" t="s">
        <v>169</v>
      </c>
      <c r="E225" s="103" t="s">
        <v>170</v>
      </c>
      <c r="F225" s="97" t="s">
        <v>404</v>
      </c>
      <c r="G225" s="104">
        <v>0.12937816625358486</v>
      </c>
      <c r="H225" s="104">
        <v>27.983785176065883</v>
      </c>
      <c r="I225" s="97"/>
      <c r="J225" s="104"/>
      <c r="K225" s="104"/>
      <c r="L225" s="104"/>
      <c r="M225" s="105"/>
    </row>
    <row r="226" spans="1:13" x14ac:dyDescent="0.3">
      <c r="A226" s="102" t="s">
        <v>315</v>
      </c>
      <c r="B226" s="103" t="s">
        <v>198</v>
      </c>
      <c r="C226" s="103" t="b">
        <v>1</v>
      </c>
      <c r="D226" s="103" t="s">
        <v>169</v>
      </c>
      <c r="E226" s="103" t="s">
        <v>170</v>
      </c>
      <c r="F226" s="97" t="s">
        <v>405</v>
      </c>
      <c r="G226" s="104">
        <v>0.12921588846902868</v>
      </c>
      <c r="H226" s="104">
        <v>27.843988577750139</v>
      </c>
      <c r="I226" s="97"/>
      <c r="J226" s="104"/>
      <c r="K226" s="104"/>
      <c r="L226" s="104"/>
      <c r="M226" s="105"/>
    </row>
    <row r="227" spans="1:13" x14ac:dyDescent="0.3">
      <c r="A227" s="102" t="s">
        <v>315</v>
      </c>
      <c r="B227" s="103" t="s">
        <v>198</v>
      </c>
      <c r="C227" s="103" t="b">
        <v>0</v>
      </c>
      <c r="D227" s="103" t="s">
        <v>169</v>
      </c>
      <c r="E227" s="103" t="s">
        <v>173</v>
      </c>
      <c r="F227" s="97" t="s">
        <v>406</v>
      </c>
      <c r="G227" s="104">
        <v>0.573705148522202</v>
      </c>
      <c r="H227" s="104">
        <v>21.448254947724799</v>
      </c>
      <c r="I227" s="97"/>
      <c r="J227" s="104"/>
      <c r="K227" s="104"/>
      <c r="L227" s="104"/>
      <c r="M227" s="105"/>
    </row>
    <row r="228" spans="1:13" x14ac:dyDescent="0.3">
      <c r="A228" s="102" t="s">
        <v>315</v>
      </c>
      <c r="B228" s="103" t="s">
        <v>198</v>
      </c>
      <c r="C228" s="103" t="b">
        <v>1</v>
      </c>
      <c r="D228" s="103" t="s">
        <v>169</v>
      </c>
      <c r="E228" s="103" t="s">
        <v>173</v>
      </c>
      <c r="F228" s="97" t="s">
        <v>407</v>
      </c>
      <c r="G228" s="104">
        <v>0.57269724509792053</v>
      </c>
      <c r="H228" s="104">
        <v>21.28847405597816</v>
      </c>
      <c r="I228" s="97"/>
      <c r="J228" s="104"/>
      <c r="K228" s="104"/>
      <c r="L228" s="104"/>
      <c r="M228" s="105"/>
    </row>
    <row r="229" spans="1:13" x14ac:dyDescent="0.3">
      <c r="A229" s="102" t="s">
        <v>315</v>
      </c>
      <c r="B229" s="103" t="s">
        <v>198</v>
      </c>
      <c r="C229" s="103" t="b">
        <v>0</v>
      </c>
      <c r="D229" s="103" t="s">
        <v>169</v>
      </c>
      <c r="E229" s="103" t="s">
        <v>175</v>
      </c>
      <c r="F229" s="97" t="s">
        <v>408</v>
      </c>
      <c r="G229" s="104">
        <v>0.95403010343979333</v>
      </c>
      <c r="H229" s="104">
        <v>18.779161146083169</v>
      </c>
      <c r="I229" s="97"/>
      <c r="J229" s="104"/>
      <c r="K229" s="104"/>
      <c r="L229" s="104"/>
      <c r="M229" s="105"/>
    </row>
    <row r="230" spans="1:13" x14ac:dyDescent="0.3">
      <c r="A230" s="102" t="s">
        <v>315</v>
      </c>
      <c r="B230" s="103" t="s">
        <v>198</v>
      </c>
      <c r="C230" s="103" t="b">
        <v>1</v>
      </c>
      <c r="D230" s="103" t="s">
        <v>169</v>
      </c>
      <c r="E230" s="103" t="s">
        <v>175</v>
      </c>
      <c r="F230" s="97" t="s">
        <v>409</v>
      </c>
      <c r="G230" s="104">
        <v>0.9515704227561218</v>
      </c>
      <c r="H230" s="104">
        <v>18.617982557894031</v>
      </c>
      <c r="I230" s="97"/>
      <c r="J230" s="104"/>
      <c r="K230" s="104"/>
      <c r="L230" s="104"/>
      <c r="M230" s="105"/>
    </row>
    <row r="231" spans="1:13" x14ac:dyDescent="0.3">
      <c r="A231" s="102" t="s">
        <v>410</v>
      </c>
      <c r="B231" s="103" t="s">
        <v>410</v>
      </c>
      <c r="C231" s="103" t="s">
        <v>410</v>
      </c>
      <c r="D231" s="103" t="s">
        <v>410</v>
      </c>
      <c r="E231" s="106" t="s">
        <v>411</v>
      </c>
      <c r="F231" s="97" t="str">
        <f>"|"&amp;"|"&amp;"|"&amp;E231</f>
        <v>|||Greenspace</v>
      </c>
      <c r="G231" s="107">
        <v>0.02</v>
      </c>
      <c r="H231" s="104">
        <v>3</v>
      </c>
      <c r="I231" s="97"/>
      <c r="J231" s="97"/>
      <c r="K231" s="97"/>
      <c r="L231" s="97"/>
      <c r="M231" s="98"/>
    </row>
    <row r="232" spans="1:13" ht="14.5" x14ac:dyDescent="0.3">
      <c r="A232" s="102" t="s">
        <v>410</v>
      </c>
      <c r="B232" s="103" t="s">
        <v>410</v>
      </c>
      <c r="C232" s="103" t="s">
        <v>410</v>
      </c>
      <c r="D232" s="103" t="s">
        <v>410</v>
      </c>
      <c r="E232" s="106" t="s">
        <v>412</v>
      </c>
      <c r="F232" s="97" t="str">
        <f>"|"&amp;"|"&amp;"|"&amp;E232</f>
        <v>|||Community food growing</v>
      </c>
      <c r="G232" s="108">
        <f>IFERROR(VLOOKUP((VLOOKUP(Nutrients_from_current_land_use!$B$5,Value_look_up_tables!$A$268:$B$271,2,FALSE)&amp;"|"&amp;"General"&amp;"|"&amp;"FALSE"&amp;"|"&amp;VLOOKUP(Nutrients_from_current_land_use!$B$7,Value_look_up_tables!$A$242:$C$264,3,FALSE)&amp;"|"&amp;"FreeDrain"),$F$26:$H$238,2,FALSE), IFERROR(VLOOKUP("General"&amp;"|"&amp;VLOOKUP(Nutrients_from_current_land_use!$B$7,Value_look_up_tables!$A$242:$C$264,3,FALSE),$I$26:$M$238,2,FALSE),VLOOKUP("General",$B$26:$M$238,11,FALSE)))</f>
        <v>0.26891526205705735</v>
      </c>
      <c r="H232" s="108">
        <f>IFERROR(VLOOKUP((VLOOKUP(Nutrients_from_current_land_use!$B$5,$A$268:$B$271,2,FALSE)&amp;"|"&amp;"General"&amp;"|"&amp;"FALSE"&amp;"|"&amp;VLOOKUP(Nutrients_from_current_land_use!$B$7,$A$242:$C$264,3,FALSE)&amp;"|"&amp;"FreeDrain"),$F$26:$H$238,3,FALSE), IFERROR(VLOOKUP("General"&amp;"|"&amp;VLOOKUP(Nutrients_from_current_land_use!$B$7,$A$242:$C$264,3,FALSE),$I$26:$M$238,3,FALSE),VLOOKUP("General",$B$26:$M$238,12,FALSE)))</f>
        <v>19.897337872458642</v>
      </c>
      <c r="I232" s="97"/>
      <c r="J232" s="97"/>
      <c r="K232" s="97"/>
      <c r="L232" s="97"/>
      <c r="M232" s="98"/>
    </row>
    <row r="233" spans="1:13" x14ac:dyDescent="0.3">
      <c r="A233" s="102" t="s">
        <v>410</v>
      </c>
      <c r="B233" s="103" t="s">
        <v>410</v>
      </c>
      <c r="C233" s="103" t="s">
        <v>410</v>
      </c>
      <c r="D233" s="103" t="s">
        <v>410</v>
      </c>
      <c r="E233" s="106" t="s">
        <v>413</v>
      </c>
      <c r="F233" s="97" t="str">
        <f>"|"&amp;"|"&amp;"|"&amp;E233</f>
        <v>|||Woodland</v>
      </c>
      <c r="G233" s="107">
        <v>0.02</v>
      </c>
      <c r="H233" s="104">
        <v>3</v>
      </c>
      <c r="I233" s="97"/>
      <c r="J233" s="97"/>
      <c r="K233" s="97"/>
      <c r="L233" s="97"/>
      <c r="M233" s="98"/>
    </row>
    <row r="234" spans="1:13" x14ac:dyDescent="0.3">
      <c r="A234" s="102" t="s">
        <v>410</v>
      </c>
      <c r="B234" s="103" t="s">
        <v>410</v>
      </c>
      <c r="C234" s="103" t="s">
        <v>410</v>
      </c>
      <c r="D234" s="103" t="s">
        <v>410</v>
      </c>
      <c r="E234" s="106" t="s">
        <v>414</v>
      </c>
      <c r="F234" s="97" t="str">
        <f>"|"&amp;"|"&amp;"|"&amp;E234</f>
        <v>|||Shrub</v>
      </c>
      <c r="G234" s="107">
        <v>0.02</v>
      </c>
      <c r="H234" s="104">
        <v>3</v>
      </c>
      <c r="I234" s="97"/>
      <c r="J234" s="97"/>
      <c r="K234" s="97"/>
      <c r="L234" s="97"/>
      <c r="M234" s="98"/>
    </row>
    <row r="235" spans="1:13" x14ac:dyDescent="0.3">
      <c r="A235" s="102" t="s">
        <v>410</v>
      </c>
      <c r="B235" s="103" t="s">
        <v>410</v>
      </c>
      <c r="C235" s="103" t="s">
        <v>410</v>
      </c>
      <c r="D235" s="103" t="s">
        <v>410</v>
      </c>
      <c r="E235" s="106" t="s">
        <v>415</v>
      </c>
      <c r="F235" s="97" t="str">
        <f>"|"&amp;"|"&amp;"|"&amp;E235</f>
        <v>|||Water</v>
      </c>
      <c r="G235" s="107">
        <v>0</v>
      </c>
      <c r="H235" s="104">
        <v>0</v>
      </c>
      <c r="I235" s="97"/>
      <c r="J235" s="97"/>
      <c r="K235" s="97"/>
      <c r="L235" s="97"/>
      <c r="M235" s="98"/>
    </row>
    <row r="236" spans="1:13" x14ac:dyDescent="0.3">
      <c r="A236" s="102" t="s">
        <v>410</v>
      </c>
      <c r="B236" s="103" t="s">
        <v>410</v>
      </c>
      <c r="C236" s="103" t="s">
        <v>410</v>
      </c>
      <c r="D236" s="103" t="s">
        <v>410</v>
      </c>
      <c r="E236" s="97" t="s">
        <v>416</v>
      </c>
      <c r="F236" s="97" t="str">
        <f t="shared" ref="F236:F238" si="0">"|"&amp;"|"&amp;"|"&amp;E236</f>
        <v>|||Residential urban land</v>
      </c>
      <c r="G236" s="104" t="e">
        <f>VLOOKUP(Nutrients_from_current_land_use!B7,Value_look_up_tables!A242:F264,6,FALSE)</f>
        <v>#N/A</v>
      </c>
      <c r="H236" s="104" t="e">
        <f>VLOOKUP(Nutrients_from_current_land_use!B7,Value_look_up_tables!A242:I264,9,FALSE)</f>
        <v>#N/A</v>
      </c>
      <c r="I236" s="97"/>
      <c r="J236" s="97"/>
      <c r="K236" s="97"/>
      <c r="L236" s="97"/>
      <c r="M236" s="98"/>
    </row>
    <row r="237" spans="1:13" ht="28" x14ac:dyDescent="0.3">
      <c r="A237" s="102" t="s">
        <v>410</v>
      </c>
      <c r="B237" s="103" t="s">
        <v>410</v>
      </c>
      <c r="C237" s="103" t="s">
        <v>410</v>
      </c>
      <c r="D237" s="103" t="s">
        <v>410</v>
      </c>
      <c r="E237" s="97" t="s">
        <v>417</v>
      </c>
      <c r="F237" s="97" t="str">
        <f t="shared" si="0"/>
        <v>|||Commercial/industrial urban land</v>
      </c>
      <c r="G237" s="104" t="e">
        <f>VLOOKUP(Nutrients_from_current_land_use!B7,Value_look_up_tables!A242:G264,7,FALSE)</f>
        <v>#N/A</v>
      </c>
      <c r="H237" s="104" t="e">
        <f>VLOOKUP(Nutrients_from_current_land_use!B7,Value_look_up_tables!A242:K264,10,FALSE)</f>
        <v>#N/A</v>
      </c>
      <c r="I237" s="97"/>
      <c r="J237" s="97"/>
      <c r="K237" s="97"/>
      <c r="L237" s="97"/>
      <c r="M237" s="98"/>
    </row>
    <row r="238" spans="1:13" x14ac:dyDescent="0.3">
      <c r="A238" s="109" t="s">
        <v>410</v>
      </c>
      <c r="B238" s="110" t="s">
        <v>410</v>
      </c>
      <c r="C238" s="110" t="s">
        <v>410</v>
      </c>
      <c r="D238" s="110" t="s">
        <v>410</v>
      </c>
      <c r="E238" s="100" t="s">
        <v>418</v>
      </c>
      <c r="F238" s="100" t="str">
        <f t="shared" si="0"/>
        <v>|||Open urban land</v>
      </c>
      <c r="G238" s="111" t="e">
        <f>VLOOKUP(Nutrients_from_current_land_use!B7,Value_look_up_tables!A242:H264,8,FALSE)</f>
        <v>#N/A</v>
      </c>
      <c r="H238" s="111" t="e">
        <f>VLOOKUP(Nutrients_from_current_land_use!B7,Value_look_up_tables!A242:N264,11,FALSE)</f>
        <v>#N/A</v>
      </c>
      <c r="I238" s="100"/>
      <c r="J238" s="100"/>
      <c r="K238" s="100"/>
      <c r="L238" s="100"/>
      <c r="M238" s="101"/>
    </row>
    <row r="239" spans="1:13" x14ac:dyDescent="0.3">
      <c r="A239" s="72"/>
      <c r="B239" s="72"/>
      <c r="C239" s="72"/>
      <c r="D239" s="72"/>
      <c r="E239" s="72"/>
      <c r="F239" s="72"/>
      <c r="G239" s="121"/>
      <c r="H239" s="121"/>
      <c r="I239" s="72"/>
      <c r="J239" s="72"/>
      <c r="K239" s="72"/>
      <c r="L239" s="72"/>
      <c r="M239" s="72"/>
    </row>
    <row r="240" spans="1:13" s="126" customFormat="1" ht="37.5" customHeight="1" x14ac:dyDescent="0.3">
      <c r="A240" s="131" t="s">
        <v>419</v>
      </c>
      <c r="B240" s="135"/>
      <c r="C240" s="135"/>
      <c r="D240" s="120"/>
      <c r="E240" s="120"/>
      <c r="F240" s="120"/>
      <c r="G240" s="122"/>
      <c r="H240" s="122"/>
      <c r="I240" s="120"/>
      <c r="J240" s="120"/>
      <c r="K240" s="120"/>
      <c r="L240" s="120"/>
      <c r="M240" s="120"/>
    </row>
    <row r="241" spans="1:13" ht="70" x14ac:dyDescent="0.3">
      <c r="A241" s="132" t="s">
        <v>420</v>
      </c>
      <c r="B241" s="133" t="s">
        <v>421</v>
      </c>
      <c r="C241" s="133" t="s">
        <v>422</v>
      </c>
      <c r="D241" s="133" t="s">
        <v>423</v>
      </c>
      <c r="E241" s="133" t="s">
        <v>424</v>
      </c>
      <c r="F241" s="133" t="s">
        <v>425</v>
      </c>
      <c r="G241" s="133" t="s">
        <v>426</v>
      </c>
      <c r="H241" s="133" t="s">
        <v>427</v>
      </c>
      <c r="I241" s="133" t="s">
        <v>428</v>
      </c>
      <c r="J241" s="133" t="s">
        <v>429</v>
      </c>
      <c r="K241" s="134" t="s">
        <v>430</v>
      </c>
      <c r="L241" s="51"/>
      <c r="M241" s="51"/>
    </row>
    <row r="242" spans="1:13" x14ac:dyDescent="0.3">
      <c r="A242" s="112" t="s">
        <v>431</v>
      </c>
      <c r="B242" s="113">
        <v>516.5</v>
      </c>
      <c r="C242" s="114" t="s">
        <v>282</v>
      </c>
      <c r="D242" s="113">
        <v>47.366326420209788</v>
      </c>
      <c r="E242" s="113">
        <v>63.946326420209786</v>
      </c>
      <c r="F242" s="113">
        <v>1.0030530114375726</v>
      </c>
      <c r="G242" s="113">
        <v>0.73394122788115068</v>
      </c>
      <c r="H242" s="113">
        <v>0.5382235671128438</v>
      </c>
      <c r="I242" s="113">
        <v>9.4130591148709328</v>
      </c>
      <c r="J242" s="113">
        <v>5.0202981945978298</v>
      </c>
      <c r="K242" s="115">
        <v>5.5487506361344439</v>
      </c>
      <c r="L242" s="128"/>
      <c r="M242" s="128"/>
    </row>
    <row r="243" spans="1:13" x14ac:dyDescent="0.3">
      <c r="A243" s="112" t="s">
        <v>432</v>
      </c>
      <c r="B243" s="113">
        <v>537.54999999999995</v>
      </c>
      <c r="C243" s="114" t="s">
        <v>282</v>
      </c>
      <c r="D243" s="113">
        <v>47.605509573313697</v>
      </c>
      <c r="E243" s="113">
        <v>64.185509573313695</v>
      </c>
      <c r="F243" s="113">
        <v>1.049204008516526</v>
      </c>
      <c r="G243" s="113">
        <v>0.76771025013404326</v>
      </c>
      <c r="H243" s="113">
        <v>0.56298751676496517</v>
      </c>
      <c r="I243" s="113">
        <v>9.8333323912734105</v>
      </c>
      <c r="J243" s="113">
        <v>5.2444439420124853</v>
      </c>
      <c r="K243" s="115">
        <v>5.7964906727506413</v>
      </c>
      <c r="L243" s="128"/>
      <c r="M243" s="128"/>
    </row>
    <row r="244" spans="1:13" x14ac:dyDescent="0.3">
      <c r="A244" s="112" t="s">
        <v>433</v>
      </c>
      <c r="B244" s="113">
        <v>562.54999999999995</v>
      </c>
      <c r="C244" s="114" t="s">
        <v>282</v>
      </c>
      <c r="D244" s="113">
        <v>47.8624816470968</v>
      </c>
      <c r="E244" s="113">
        <v>64.442481647096798</v>
      </c>
      <c r="F244" s="113">
        <v>1.1039266010735462</v>
      </c>
      <c r="G244" s="113">
        <v>0.80775117151722908</v>
      </c>
      <c r="H244" s="113">
        <v>0.59235085911263463</v>
      </c>
      <c r="I244" s="113">
        <v>10.331853644413675</v>
      </c>
      <c r="J244" s="113">
        <v>5.5103219436872939</v>
      </c>
      <c r="K244" s="115">
        <v>6.0903558324964822</v>
      </c>
      <c r="L244" s="128"/>
      <c r="M244" s="128"/>
    </row>
    <row r="245" spans="1:13" x14ac:dyDescent="0.3">
      <c r="A245" s="112" t="s">
        <v>434</v>
      </c>
      <c r="B245" s="113">
        <v>587.54999999999995</v>
      </c>
      <c r="C245" s="114" t="s">
        <v>282</v>
      </c>
      <c r="D245" s="113">
        <v>48.089720428979902</v>
      </c>
      <c r="E245" s="113">
        <v>64.6697204289799</v>
      </c>
      <c r="F245" s="113">
        <v>1.1584597247599329</v>
      </c>
      <c r="G245" s="113">
        <v>0.84765345714141427</v>
      </c>
      <c r="H245" s="113">
        <v>0.62161253523703719</v>
      </c>
      <c r="I245" s="113">
        <v>10.829057857843434</v>
      </c>
      <c r="J245" s="113">
        <v>5.775497524183165</v>
      </c>
      <c r="K245" s="115">
        <v>6.3834446319919191</v>
      </c>
      <c r="L245" s="128"/>
      <c r="M245" s="128"/>
    </row>
    <row r="246" spans="1:13" x14ac:dyDescent="0.3">
      <c r="A246" s="112" t="s">
        <v>435</v>
      </c>
      <c r="B246" s="113">
        <v>612.54999999999995</v>
      </c>
      <c r="C246" s="114" t="s">
        <v>205</v>
      </c>
      <c r="D246" s="113">
        <v>48.286892468962989</v>
      </c>
      <c r="E246" s="113">
        <v>64.866892468962988</v>
      </c>
      <c r="F246" s="113">
        <v>1.2127035752563942</v>
      </c>
      <c r="G246" s="113">
        <v>0.88734407945589822</v>
      </c>
      <c r="H246" s="113">
        <v>0.650718991600992</v>
      </c>
      <c r="I246" s="113">
        <v>11.324251269831036</v>
      </c>
      <c r="J246" s="113">
        <v>6.0396006772432189</v>
      </c>
      <c r="K246" s="115">
        <v>6.6753481169530309</v>
      </c>
      <c r="L246" s="128"/>
      <c r="M246" s="128"/>
    </row>
    <row r="247" spans="1:13" x14ac:dyDescent="0.3">
      <c r="A247" s="112" t="s">
        <v>436</v>
      </c>
      <c r="B247" s="113">
        <v>637.54999999999995</v>
      </c>
      <c r="C247" s="114" t="s">
        <v>205</v>
      </c>
      <c r="D247" s="113">
        <v>48.453664317046091</v>
      </c>
      <c r="E247" s="113">
        <v>65.033664317046089</v>
      </c>
      <c r="F247" s="113">
        <v>1.2665569810986419</v>
      </c>
      <c r="G247" s="113">
        <v>0.92674901055998193</v>
      </c>
      <c r="H247" s="113">
        <v>0.67961594107732015</v>
      </c>
      <c r="I247" s="113">
        <v>11.816730615319829</v>
      </c>
      <c r="J247" s="113">
        <v>6.302256328170575</v>
      </c>
      <c r="K247" s="115">
        <v>6.9656517311358979</v>
      </c>
      <c r="L247" s="128"/>
      <c r="M247" s="128"/>
    </row>
    <row r="248" spans="1:13" x14ac:dyDescent="0.3">
      <c r="A248" s="112" t="s">
        <v>437</v>
      </c>
      <c r="B248" s="113">
        <v>662.55</v>
      </c>
      <c r="C248" s="114" t="s">
        <v>205</v>
      </c>
      <c r="D248" s="113">
        <v>48.589702523229192</v>
      </c>
      <c r="E248" s="113">
        <v>65.169702523229191</v>
      </c>
      <c r="F248" s="113">
        <v>1.3199174036773855</v>
      </c>
      <c r="G248" s="113">
        <v>0.96579322220296504</v>
      </c>
      <c r="H248" s="113">
        <v>0.70824836294884108</v>
      </c>
      <c r="I248" s="113">
        <v>12.305783125928167</v>
      </c>
      <c r="J248" s="113">
        <v>6.5630843338283551</v>
      </c>
      <c r="K248" s="115">
        <v>7.2539353163366025</v>
      </c>
      <c r="L248" s="128"/>
      <c r="M248" s="128"/>
    </row>
    <row r="249" spans="1:13" x14ac:dyDescent="0.3">
      <c r="A249" s="112" t="s">
        <v>438</v>
      </c>
      <c r="B249" s="113">
        <v>687.55</v>
      </c>
      <c r="C249" s="114" t="s">
        <v>205</v>
      </c>
      <c r="D249" s="113">
        <v>48.694673637512295</v>
      </c>
      <c r="E249" s="113">
        <v>65.274673637512294</v>
      </c>
      <c r="F249" s="113">
        <v>1.3726809372383346</v>
      </c>
      <c r="G249" s="113">
        <v>1.0044006857841474</v>
      </c>
      <c r="H249" s="113">
        <v>0.73656050290837471</v>
      </c>
      <c r="I249" s="113">
        <v>12.790686529949399</v>
      </c>
      <c r="J249" s="113">
        <v>6.82169948263968</v>
      </c>
      <c r="K249" s="115">
        <v>7.5397731123912237</v>
      </c>
      <c r="L249" s="128"/>
      <c r="M249" s="128"/>
    </row>
    <row r="250" spans="1:13" x14ac:dyDescent="0.3">
      <c r="A250" s="112" t="s">
        <v>439</v>
      </c>
      <c r="B250" s="113">
        <v>725.05</v>
      </c>
      <c r="C250" s="114" t="s">
        <v>169</v>
      </c>
      <c r="D250" s="113">
        <v>48.793150089749446</v>
      </c>
      <c r="E250" s="113">
        <v>65.373150089749444</v>
      </c>
      <c r="F250" s="113">
        <v>1.4504764123754863</v>
      </c>
      <c r="G250" s="113">
        <v>1.0613242041771849</v>
      </c>
      <c r="H250" s="113">
        <v>0.77830441639660242</v>
      </c>
      <c r="I250" s="113">
        <v>13.508658704683258</v>
      </c>
      <c r="J250" s="113">
        <v>7.20461797583107</v>
      </c>
      <c r="K250" s="115">
        <v>7.9629988153922353</v>
      </c>
      <c r="L250" s="128"/>
      <c r="M250" s="128"/>
    </row>
    <row r="251" spans="1:13" x14ac:dyDescent="0.3">
      <c r="A251" s="112" t="s">
        <v>440</v>
      </c>
      <c r="B251" s="113">
        <v>775.05</v>
      </c>
      <c r="C251" s="114" t="s">
        <v>169</v>
      </c>
      <c r="D251" s="113">
        <v>48.817999999999984</v>
      </c>
      <c r="E251" s="113">
        <v>65.397999999999982</v>
      </c>
      <c r="F251" s="113">
        <v>1.5512920268999992</v>
      </c>
      <c r="G251" s="113">
        <v>1.1350917269999994</v>
      </c>
      <c r="H251" s="113">
        <v>0.83240059979999959</v>
      </c>
      <c r="I251" s="113">
        <v>14.445715171499996</v>
      </c>
      <c r="J251" s="113">
        <v>7.7043814247999975</v>
      </c>
      <c r="K251" s="115">
        <v>8.5153689431999986</v>
      </c>
      <c r="L251" s="128"/>
      <c r="M251" s="128"/>
    </row>
    <row r="252" spans="1:13" x14ac:dyDescent="0.3">
      <c r="A252" s="112" t="s">
        <v>441</v>
      </c>
      <c r="B252" s="113">
        <v>825.05</v>
      </c>
      <c r="C252" s="114" t="s">
        <v>169</v>
      </c>
      <c r="D252" s="113">
        <v>48.817999999999984</v>
      </c>
      <c r="E252" s="113">
        <v>65.397999999999982</v>
      </c>
      <c r="F252" s="113">
        <v>1.6513689268999994</v>
      </c>
      <c r="G252" s="113">
        <v>1.2083187269999995</v>
      </c>
      <c r="H252" s="113">
        <v>0.88610039979999966</v>
      </c>
      <c r="I252" s="113">
        <v>15.377636671499994</v>
      </c>
      <c r="J252" s="113">
        <v>8.2014062247999959</v>
      </c>
      <c r="K252" s="115">
        <v>9.064712143199996</v>
      </c>
      <c r="L252" s="128"/>
      <c r="M252" s="128"/>
    </row>
    <row r="253" spans="1:13" x14ac:dyDescent="0.3">
      <c r="A253" s="112" t="s">
        <v>442</v>
      </c>
      <c r="B253" s="113">
        <v>875.05</v>
      </c>
      <c r="C253" s="114" t="s">
        <v>169</v>
      </c>
      <c r="D253" s="113">
        <v>48.817999999999984</v>
      </c>
      <c r="E253" s="113">
        <v>65.397999999999982</v>
      </c>
      <c r="F253" s="113">
        <v>1.7514458268999995</v>
      </c>
      <c r="G253" s="113">
        <v>1.2815457269999997</v>
      </c>
      <c r="H253" s="113">
        <v>0.93980019979999974</v>
      </c>
      <c r="I253" s="113">
        <v>16.309558171499994</v>
      </c>
      <c r="J253" s="113">
        <v>8.6984310247999979</v>
      </c>
      <c r="K253" s="115">
        <v>9.6140553431999969</v>
      </c>
      <c r="L253" s="128"/>
      <c r="M253" s="128"/>
    </row>
    <row r="254" spans="1:13" x14ac:dyDescent="0.3">
      <c r="A254" s="112" t="s">
        <v>443</v>
      </c>
      <c r="B254" s="113">
        <v>925.05</v>
      </c>
      <c r="C254" s="114" t="s">
        <v>267</v>
      </c>
      <c r="D254" s="113">
        <v>48.817999999999984</v>
      </c>
      <c r="E254" s="113">
        <v>65.397999999999982</v>
      </c>
      <c r="F254" s="113">
        <v>1.851522726899999</v>
      </c>
      <c r="G254" s="113">
        <v>1.3547727269999992</v>
      </c>
      <c r="H254" s="113">
        <v>0.99349999979999948</v>
      </c>
      <c r="I254" s="113">
        <v>17.241479671499995</v>
      </c>
      <c r="J254" s="113">
        <v>9.1954558247999962</v>
      </c>
      <c r="K254" s="115">
        <v>10.163398543199996</v>
      </c>
      <c r="L254" s="128"/>
      <c r="M254" s="128"/>
    </row>
    <row r="255" spans="1:13" x14ac:dyDescent="0.3">
      <c r="A255" s="112" t="s">
        <v>444</v>
      </c>
      <c r="B255" s="113">
        <v>975.05</v>
      </c>
      <c r="C255" s="114" t="s">
        <v>267</v>
      </c>
      <c r="D255" s="113">
        <v>48.817999999999984</v>
      </c>
      <c r="E255" s="113">
        <v>65.397999999999982</v>
      </c>
      <c r="F255" s="113">
        <v>1.9515996268999991</v>
      </c>
      <c r="G255" s="113">
        <v>1.4279997269999993</v>
      </c>
      <c r="H255" s="113">
        <v>1.0471997997999996</v>
      </c>
      <c r="I255" s="113">
        <v>18.173401171499993</v>
      </c>
      <c r="J255" s="113">
        <v>9.6924806247999964</v>
      </c>
      <c r="K255" s="115">
        <v>10.712741743199995</v>
      </c>
      <c r="L255" s="128"/>
      <c r="M255" s="128"/>
    </row>
    <row r="256" spans="1:13" x14ac:dyDescent="0.3">
      <c r="A256" s="112" t="s">
        <v>445</v>
      </c>
      <c r="B256" s="113">
        <v>1050.05</v>
      </c>
      <c r="C256" s="114" t="s">
        <v>267</v>
      </c>
      <c r="D256" s="113">
        <v>48.817999999999984</v>
      </c>
      <c r="E256" s="113">
        <v>65.397999999999982</v>
      </c>
      <c r="F256" s="113">
        <v>2.101714976899999</v>
      </c>
      <c r="G256" s="113">
        <v>1.5378402269999993</v>
      </c>
      <c r="H256" s="113">
        <v>1.1277494997999997</v>
      </c>
      <c r="I256" s="113">
        <v>19.571283421499995</v>
      </c>
      <c r="J256" s="113">
        <v>10.438017824799996</v>
      </c>
      <c r="K256" s="115">
        <v>11.536756543199996</v>
      </c>
      <c r="L256" s="128"/>
      <c r="M256" s="128"/>
    </row>
    <row r="257" spans="1:13" x14ac:dyDescent="0.3">
      <c r="A257" s="112" t="s">
        <v>446</v>
      </c>
      <c r="B257" s="113">
        <v>1150.05</v>
      </c>
      <c r="C257" s="114" t="s">
        <v>267</v>
      </c>
      <c r="D257" s="113">
        <v>48.817999999999984</v>
      </c>
      <c r="E257" s="113">
        <v>65.397999999999982</v>
      </c>
      <c r="F257" s="113">
        <v>2.3018687768999988</v>
      </c>
      <c r="G257" s="113">
        <v>1.6842942269999992</v>
      </c>
      <c r="H257" s="113">
        <v>1.2351490997999994</v>
      </c>
      <c r="I257" s="113">
        <v>21.435126421499994</v>
      </c>
      <c r="J257" s="113">
        <v>11.432067424799996</v>
      </c>
      <c r="K257" s="115">
        <v>12.635442943199996</v>
      </c>
      <c r="L257" s="128"/>
      <c r="M257" s="128"/>
    </row>
    <row r="258" spans="1:13" x14ac:dyDescent="0.3">
      <c r="A258" s="112" t="s">
        <v>447</v>
      </c>
      <c r="B258" s="113">
        <v>1300.05</v>
      </c>
      <c r="C258" s="114" t="s">
        <v>448</v>
      </c>
      <c r="D258" s="113">
        <v>48.817999999999984</v>
      </c>
      <c r="E258" s="113">
        <v>65.397999999999982</v>
      </c>
      <c r="F258" s="113">
        <v>2.602099476899999</v>
      </c>
      <c r="G258" s="113">
        <v>1.9039752269999992</v>
      </c>
      <c r="H258" s="113">
        <v>1.3962484997999995</v>
      </c>
      <c r="I258" s="113">
        <v>24.230890921499991</v>
      </c>
      <c r="J258" s="113">
        <v>12.923141824799995</v>
      </c>
      <c r="K258" s="115">
        <v>14.283472543199993</v>
      </c>
      <c r="L258" s="128"/>
      <c r="M258" s="128"/>
    </row>
    <row r="259" spans="1:13" x14ac:dyDescent="0.3">
      <c r="A259" s="112" t="s">
        <v>449</v>
      </c>
      <c r="B259" s="113">
        <v>1500.05</v>
      </c>
      <c r="C259" s="114" t="s">
        <v>448</v>
      </c>
      <c r="D259" s="113">
        <v>48.817999999999984</v>
      </c>
      <c r="E259" s="113">
        <v>65.397999999999982</v>
      </c>
      <c r="F259" s="113">
        <v>3.0024070768999986</v>
      </c>
      <c r="G259" s="113">
        <v>2.1968832269999989</v>
      </c>
      <c r="H259" s="113">
        <v>1.6110476997999994</v>
      </c>
      <c r="I259" s="113">
        <v>27.95857692149999</v>
      </c>
      <c r="J259" s="113">
        <v>14.911241024799995</v>
      </c>
      <c r="K259" s="115">
        <v>16.480845343199995</v>
      </c>
      <c r="L259" s="128"/>
      <c r="M259" s="128"/>
    </row>
    <row r="260" spans="1:13" x14ac:dyDescent="0.3">
      <c r="A260" s="112" t="s">
        <v>450</v>
      </c>
      <c r="B260" s="113">
        <v>1800.05</v>
      </c>
      <c r="C260" s="114" t="s">
        <v>292</v>
      </c>
      <c r="D260" s="113">
        <v>48.817999999999984</v>
      </c>
      <c r="E260" s="113">
        <v>65.397999999999982</v>
      </c>
      <c r="F260" s="113">
        <v>3.6028684768999981</v>
      </c>
      <c r="G260" s="113">
        <v>2.6362452269999985</v>
      </c>
      <c r="H260" s="113">
        <v>1.9332464997999992</v>
      </c>
      <c r="I260" s="113">
        <v>33.550105921499991</v>
      </c>
      <c r="J260" s="113">
        <v>17.893389824799996</v>
      </c>
      <c r="K260" s="115">
        <v>19.776904543199993</v>
      </c>
      <c r="L260" s="128"/>
      <c r="M260" s="128"/>
    </row>
    <row r="261" spans="1:13" x14ac:dyDescent="0.3">
      <c r="A261" s="112" t="s">
        <v>451</v>
      </c>
      <c r="B261" s="113">
        <v>2200.0500000000002</v>
      </c>
      <c r="C261" s="114" t="s">
        <v>292</v>
      </c>
      <c r="D261" s="113">
        <v>48.817999999999984</v>
      </c>
      <c r="E261" s="113">
        <v>65.397999999999982</v>
      </c>
      <c r="F261" s="113">
        <v>4.4034836768999988</v>
      </c>
      <c r="G261" s="113">
        <v>3.2220612269999993</v>
      </c>
      <c r="H261" s="113">
        <v>2.3628448997999998</v>
      </c>
      <c r="I261" s="113">
        <v>41.005477921499988</v>
      </c>
      <c r="J261" s="113">
        <v>21.869588224799994</v>
      </c>
      <c r="K261" s="115">
        <v>24.17165014319999</v>
      </c>
      <c r="L261" s="128"/>
      <c r="M261" s="128"/>
    </row>
    <row r="262" spans="1:13" x14ac:dyDescent="0.3">
      <c r="A262" s="112" t="s">
        <v>452</v>
      </c>
      <c r="B262" s="113">
        <v>2700.05</v>
      </c>
      <c r="C262" s="114" t="s">
        <v>292</v>
      </c>
      <c r="D262" s="113">
        <v>48.817999999999984</v>
      </c>
      <c r="E262" s="113">
        <v>65.397999999999982</v>
      </c>
      <c r="F262" s="113">
        <v>5.4042526768999988</v>
      </c>
      <c r="G262" s="113">
        <v>3.9543312269999986</v>
      </c>
      <c r="H262" s="113">
        <v>2.8998428997999994</v>
      </c>
      <c r="I262" s="113">
        <v>50.324692921499988</v>
      </c>
      <c r="J262" s="113">
        <v>26.839836224799992</v>
      </c>
      <c r="K262" s="115">
        <v>29.665082143199992</v>
      </c>
      <c r="L262" s="128"/>
      <c r="M262" s="128"/>
    </row>
    <row r="263" spans="1:13" x14ac:dyDescent="0.3">
      <c r="A263" s="112" t="s">
        <v>453</v>
      </c>
      <c r="B263" s="113">
        <v>3500.05</v>
      </c>
      <c r="C263" s="114" t="s">
        <v>292</v>
      </c>
      <c r="D263" s="113">
        <v>48.817999999999984</v>
      </c>
      <c r="E263" s="113">
        <v>65.397999999999982</v>
      </c>
      <c r="F263" s="113">
        <v>7.0054830768999983</v>
      </c>
      <c r="G263" s="113">
        <v>5.1259632269999988</v>
      </c>
      <c r="H263" s="113">
        <v>3.7590396997999993</v>
      </c>
      <c r="I263" s="113">
        <v>65.235436921499982</v>
      </c>
      <c r="J263" s="113">
        <v>34.792233024799991</v>
      </c>
      <c r="K263" s="115">
        <v>38.454573343199982</v>
      </c>
      <c r="L263" s="128"/>
      <c r="M263" s="128"/>
    </row>
    <row r="264" spans="1:13" x14ac:dyDescent="0.3">
      <c r="A264" s="116" t="s">
        <v>454</v>
      </c>
      <c r="B264" s="117">
        <v>4750.05</v>
      </c>
      <c r="C264" s="118" t="s">
        <v>292</v>
      </c>
      <c r="D264" s="117">
        <v>48.817999999999984</v>
      </c>
      <c r="E264" s="117">
        <v>65.397999999999982</v>
      </c>
      <c r="F264" s="117">
        <v>9.5074055768999965</v>
      </c>
      <c r="G264" s="117">
        <v>6.9566382269999973</v>
      </c>
      <c r="H264" s="117">
        <v>5.1015346997999984</v>
      </c>
      <c r="I264" s="117">
        <v>88.533474421499989</v>
      </c>
      <c r="J264" s="117">
        <v>47.217853024799986</v>
      </c>
      <c r="K264" s="119">
        <v>52.188153343199986</v>
      </c>
      <c r="L264" s="128"/>
      <c r="M264" s="128"/>
    </row>
    <row r="265" spans="1:13" x14ac:dyDescent="0.3">
      <c r="A265" s="72"/>
      <c r="B265" s="72"/>
      <c r="C265" s="72"/>
      <c r="D265" s="72"/>
      <c r="E265" s="72"/>
      <c r="F265" s="72"/>
      <c r="G265" s="121"/>
      <c r="H265" s="121"/>
      <c r="I265" s="72"/>
      <c r="J265" s="72"/>
      <c r="K265" s="72"/>
      <c r="L265" s="72"/>
      <c r="M265" s="72"/>
    </row>
    <row r="266" spans="1:13" s="126" customFormat="1" ht="37.5" customHeight="1" x14ac:dyDescent="0.3">
      <c r="A266" s="131" t="s">
        <v>455</v>
      </c>
      <c r="B266" s="135"/>
      <c r="C266" s="120"/>
      <c r="D266" s="120"/>
      <c r="F266" s="120"/>
      <c r="H266" s="122"/>
      <c r="J266" s="120"/>
      <c r="K266" s="120"/>
      <c r="L266" s="120"/>
      <c r="M266" s="120"/>
    </row>
    <row r="267" spans="1:13" ht="28" x14ac:dyDescent="0.3">
      <c r="A267" s="136" t="s">
        <v>456</v>
      </c>
      <c r="B267" s="136" t="s">
        <v>457</v>
      </c>
      <c r="C267" s="72"/>
      <c r="D267" s="72"/>
      <c r="F267" s="72"/>
      <c r="H267" s="121"/>
      <c r="J267" s="72"/>
      <c r="K267" s="72"/>
      <c r="L267" s="72"/>
      <c r="M267" s="72"/>
    </row>
    <row r="268" spans="1:13" x14ac:dyDescent="0.3">
      <c r="A268" s="97" t="s">
        <v>204</v>
      </c>
      <c r="B268" s="97" t="s">
        <v>204</v>
      </c>
      <c r="C268" s="72"/>
      <c r="D268" s="72"/>
      <c r="F268" s="72"/>
      <c r="H268" s="121"/>
      <c r="J268" s="72"/>
      <c r="K268" s="72"/>
      <c r="L268" s="72"/>
      <c r="M268" s="72"/>
    </row>
    <row r="269" spans="1:13" x14ac:dyDescent="0.3">
      <c r="A269" s="97" t="s">
        <v>167</v>
      </c>
      <c r="B269" s="97" t="s">
        <v>167</v>
      </c>
      <c r="C269" s="72"/>
      <c r="D269" s="72"/>
      <c r="F269" s="72"/>
      <c r="H269" s="121"/>
      <c r="J269" s="72"/>
      <c r="K269" s="72"/>
      <c r="L269" s="72"/>
      <c r="M269" s="72"/>
    </row>
    <row r="270" spans="1:13" x14ac:dyDescent="0.3">
      <c r="A270" s="97" t="s">
        <v>281</v>
      </c>
      <c r="B270" s="97" t="s">
        <v>281</v>
      </c>
      <c r="C270" s="72"/>
      <c r="D270" s="72"/>
      <c r="F270" s="72"/>
      <c r="H270" s="121"/>
      <c r="J270" s="72"/>
      <c r="K270" s="72"/>
      <c r="L270" s="72"/>
      <c r="M270" s="72"/>
    </row>
    <row r="271" spans="1:13" ht="28" x14ac:dyDescent="0.3">
      <c r="A271" s="97" t="s">
        <v>238</v>
      </c>
      <c r="B271" s="97" t="s">
        <v>238</v>
      </c>
      <c r="C271" s="72"/>
      <c r="D271" s="72"/>
      <c r="F271" s="72"/>
      <c r="H271" s="121"/>
      <c r="J271" s="72"/>
      <c r="K271" s="72"/>
      <c r="L271" s="72"/>
      <c r="M271" s="72"/>
    </row>
    <row r="272" spans="1:13" x14ac:dyDescent="0.3">
      <c r="A272" s="72"/>
      <c r="B272" s="72"/>
      <c r="C272" s="72"/>
      <c r="D272" s="72"/>
      <c r="F272" s="72"/>
      <c r="H272" s="121"/>
      <c r="I272" s="72"/>
      <c r="J272" s="72"/>
      <c r="K272" s="72"/>
      <c r="L272" s="72"/>
      <c r="M272" s="72"/>
    </row>
    <row r="273" spans="1:13" s="126" customFormat="1" ht="37.5" customHeight="1" x14ac:dyDescent="0.3">
      <c r="A273" s="131" t="s">
        <v>458</v>
      </c>
      <c r="B273" s="135"/>
      <c r="C273" s="120"/>
      <c r="D273" s="120"/>
      <c r="F273" s="129"/>
      <c r="H273" s="120"/>
      <c r="I273" s="120"/>
      <c r="J273" s="120"/>
      <c r="K273" s="120"/>
      <c r="L273" s="120"/>
      <c r="M273" s="120"/>
    </row>
    <row r="274" spans="1:13" ht="28" x14ac:dyDescent="0.3">
      <c r="A274" s="132" t="s">
        <v>459</v>
      </c>
      <c r="B274" s="133" t="s">
        <v>460</v>
      </c>
      <c r="C274" s="134" t="s">
        <v>461</v>
      </c>
      <c r="D274" s="72"/>
      <c r="F274" s="72"/>
      <c r="H274" s="72"/>
      <c r="I274" s="72"/>
      <c r="J274" s="72"/>
      <c r="K274" s="72"/>
      <c r="L274" s="72"/>
      <c r="M274" s="72"/>
    </row>
    <row r="275" spans="1:13" x14ac:dyDescent="0.3">
      <c r="A275" s="137" t="s">
        <v>462</v>
      </c>
      <c r="B275" s="97" t="s">
        <v>170</v>
      </c>
      <c r="C275" s="98" t="s">
        <v>463</v>
      </c>
      <c r="D275" s="72"/>
      <c r="F275" s="72"/>
      <c r="H275" s="72"/>
      <c r="I275" s="72"/>
      <c r="J275" s="72"/>
      <c r="K275" s="72"/>
      <c r="L275" s="72"/>
      <c r="M275" s="72"/>
    </row>
    <row r="276" spans="1:13" ht="28" x14ac:dyDescent="0.3">
      <c r="A276" s="137" t="s">
        <v>464</v>
      </c>
      <c r="B276" s="97" t="s">
        <v>173</v>
      </c>
      <c r="C276" s="98" t="s">
        <v>465</v>
      </c>
      <c r="D276" s="72"/>
      <c r="F276" s="72"/>
      <c r="H276" s="72"/>
      <c r="I276" s="72"/>
      <c r="J276" s="72"/>
      <c r="K276" s="72"/>
      <c r="L276" s="72"/>
      <c r="M276" s="72"/>
    </row>
    <row r="277" spans="1:13" ht="42" x14ac:dyDescent="0.3">
      <c r="A277" s="137" t="s">
        <v>466</v>
      </c>
      <c r="B277" s="97" t="s">
        <v>175</v>
      </c>
      <c r="C277" s="98" t="s">
        <v>467</v>
      </c>
      <c r="D277" s="72"/>
      <c r="F277" s="72"/>
      <c r="H277" s="72"/>
      <c r="I277" s="72"/>
      <c r="J277" s="72"/>
      <c r="K277" s="72"/>
      <c r="L277" s="72"/>
      <c r="M277" s="72"/>
    </row>
    <row r="278" spans="1:13" ht="28" x14ac:dyDescent="0.3">
      <c r="A278" s="96" t="s">
        <v>468</v>
      </c>
      <c r="B278" s="97" t="s">
        <v>173</v>
      </c>
      <c r="C278" s="98" t="s">
        <v>465</v>
      </c>
      <c r="D278" s="72"/>
      <c r="F278" s="72"/>
      <c r="H278" s="72"/>
      <c r="I278" s="72"/>
      <c r="J278" s="72"/>
      <c r="K278" s="72"/>
      <c r="L278" s="72"/>
      <c r="M278" s="72"/>
    </row>
    <row r="279" spans="1:13" ht="28" x14ac:dyDescent="0.3">
      <c r="A279" s="96" t="s">
        <v>469</v>
      </c>
      <c r="B279" s="97" t="s">
        <v>173</v>
      </c>
      <c r="C279" s="98" t="s">
        <v>465</v>
      </c>
      <c r="D279" s="72"/>
      <c r="F279" s="72"/>
      <c r="H279" s="72"/>
      <c r="I279" s="127"/>
      <c r="J279" s="72"/>
      <c r="K279" s="72"/>
      <c r="L279" s="72"/>
      <c r="M279" s="72"/>
    </row>
    <row r="280" spans="1:13" ht="28" x14ac:dyDescent="0.3">
      <c r="A280" s="138" t="s">
        <v>470</v>
      </c>
      <c r="B280" s="100" t="s">
        <v>173</v>
      </c>
      <c r="C280" s="101" t="s">
        <v>465</v>
      </c>
      <c r="D280" s="72"/>
      <c r="F280" s="72"/>
      <c r="H280" s="72"/>
      <c r="I280" s="127"/>
      <c r="J280" s="72"/>
      <c r="K280" s="72"/>
      <c r="L280" s="72"/>
      <c r="M280" s="72"/>
    </row>
    <row r="281" spans="1:13" x14ac:dyDescent="0.3">
      <c r="A281" s="72"/>
      <c r="B281" s="121"/>
      <c r="C281" s="72"/>
      <c r="D281" s="72"/>
      <c r="F281" s="72"/>
      <c r="H281" s="72"/>
      <c r="I281" s="127"/>
      <c r="J281" s="72"/>
      <c r="K281" s="72"/>
      <c r="L281" s="72"/>
      <c r="M281" s="72"/>
    </row>
    <row r="282" spans="1:13" s="126" customFormat="1" ht="37.5" customHeight="1" x14ac:dyDescent="0.3">
      <c r="A282" s="131" t="s">
        <v>471</v>
      </c>
      <c r="B282" s="139"/>
      <c r="C282" s="120"/>
      <c r="D282" s="120"/>
      <c r="F282" s="120"/>
      <c r="H282" s="120"/>
      <c r="I282" s="130"/>
      <c r="J282" s="120"/>
      <c r="K282" s="120"/>
      <c r="L282" s="120"/>
      <c r="M282" s="120"/>
    </row>
    <row r="283" spans="1:13" ht="28" x14ac:dyDescent="0.3">
      <c r="A283" s="140" t="s">
        <v>156</v>
      </c>
      <c r="B283" s="141" t="s">
        <v>457</v>
      </c>
      <c r="C283" s="72"/>
      <c r="D283" s="72"/>
      <c r="F283" s="72"/>
      <c r="H283" s="72"/>
      <c r="I283" s="72"/>
      <c r="J283" s="72"/>
      <c r="K283" s="72"/>
      <c r="L283" s="72"/>
      <c r="M283" s="72"/>
    </row>
    <row r="284" spans="1:13" x14ac:dyDescent="0.3">
      <c r="A284" s="96" t="s">
        <v>472</v>
      </c>
      <c r="B284" s="105" t="b">
        <v>1</v>
      </c>
      <c r="C284" s="72"/>
      <c r="D284" s="72"/>
      <c r="F284" s="72"/>
      <c r="H284" s="72"/>
      <c r="I284" s="72"/>
      <c r="J284" s="72"/>
      <c r="K284" s="72"/>
      <c r="L284" s="72"/>
      <c r="M284" s="72"/>
    </row>
    <row r="285" spans="1:13" x14ac:dyDescent="0.3">
      <c r="A285" s="99" t="s">
        <v>473</v>
      </c>
      <c r="B285" s="142" t="b">
        <v>0</v>
      </c>
      <c r="C285" s="72"/>
      <c r="D285" s="72"/>
      <c r="F285" s="72"/>
      <c r="H285" s="72"/>
      <c r="I285" s="72"/>
      <c r="J285" s="72"/>
      <c r="K285" s="72"/>
      <c r="L285" s="72"/>
      <c r="M285" s="72"/>
    </row>
    <row r="286" spans="1:13" x14ac:dyDescent="0.3">
      <c r="A286" s="72"/>
      <c r="B286" s="121"/>
      <c r="C286" s="121"/>
      <c r="D286" s="72"/>
      <c r="F286" s="72"/>
    </row>
    <row r="287" spans="1:13" s="126" customFormat="1" ht="37.5" customHeight="1" x14ac:dyDescent="0.3">
      <c r="A287" s="131" t="s">
        <v>474</v>
      </c>
      <c r="B287" s="139"/>
      <c r="C287" s="122"/>
      <c r="D287" s="120"/>
    </row>
    <row r="288" spans="1:13" x14ac:dyDescent="0.3">
      <c r="A288" s="143" t="s">
        <v>475</v>
      </c>
      <c r="D288" s="72"/>
    </row>
    <row r="289" spans="1:8" x14ac:dyDescent="0.3">
      <c r="A289" s="144" t="s">
        <v>168</v>
      </c>
      <c r="D289" s="72"/>
      <c r="E289" s="72"/>
      <c r="F289" s="72"/>
      <c r="G289" s="121"/>
      <c r="H289" s="121"/>
    </row>
    <row r="290" spans="1:8" x14ac:dyDescent="0.3">
      <c r="A290" s="144" t="s">
        <v>177</v>
      </c>
      <c r="D290" s="72"/>
      <c r="E290" s="72"/>
      <c r="F290" s="72"/>
      <c r="G290" s="121"/>
      <c r="H290" s="121"/>
    </row>
    <row r="291" spans="1:8" x14ac:dyDescent="0.3">
      <c r="A291" s="144" t="s">
        <v>182</v>
      </c>
      <c r="D291" s="72"/>
      <c r="E291" s="72"/>
      <c r="F291" s="72"/>
      <c r="G291" s="121"/>
      <c r="H291" s="121"/>
    </row>
    <row r="292" spans="1:8" x14ac:dyDescent="0.3">
      <c r="A292" s="144" t="s">
        <v>361</v>
      </c>
      <c r="D292" s="72"/>
      <c r="E292" s="72"/>
      <c r="F292" s="72"/>
      <c r="G292" s="121"/>
      <c r="H292" s="121"/>
    </row>
    <row r="293" spans="1:8" x14ac:dyDescent="0.3">
      <c r="A293" s="144" t="s">
        <v>187</v>
      </c>
      <c r="D293" s="72"/>
      <c r="E293" s="72"/>
      <c r="F293" s="72"/>
      <c r="G293" s="121"/>
      <c r="H293" s="121"/>
    </row>
    <row r="294" spans="1:8" x14ac:dyDescent="0.3">
      <c r="A294" s="144" t="s">
        <v>377</v>
      </c>
      <c r="D294" s="72"/>
      <c r="E294" s="72"/>
      <c r="F294" s="72"/>
      <c r="G294" s="121"/>
      <c r="H294" s="121"/>
    </row>
    <row r="295" spans="1:8" x14ac:dyDescent="0.3">
      <c r="A295" s="144" t="s">
        <v>476</v>
      </c>
      <c r="D295" s="72"/>
      <c r="E295" s="72"/>
      <c r="F295" s="72"/>
      <c r="G295" s="121"/>
      <c r="H295" s="121"/>
    </row>
    <row r="296" spans="1:8" x14ac:dyDescent="0.3">
      <c r="A296" s="144" t="s">
        <v>192</v>
      </c>
      <c r="D296" s="72"/>
      <c r="E296" s="72"/>
      <c r="F296" s="72"/>
      <c r="G296" s="121"/>
      <c r="H296" s="121"/>
    </row>
    <row r="297" spans="1:8" x14ac:dyDescent="0.3">
      <c r="A297" s="144" t="s">
        <v>198</v>
      </c>
      <c r="D297" s="72"/>
      <c r="E297" s="72"/>
      <c r="F297" s="72"/>
      <c r="G297" s="121"/>
      <c r="H297" s="121"/>
    </row>
    <row r="298" spans="1:8" x14ac:dyDescent="0.3">
      <c r="A298" s="145" t="s">
        <v>411</v>
      </c>
      <c r="D298" s="72"/>
      <c r="E298" s="72"/>
      <c r="F298" s="72"/>
      <c r="G298" s="121"/>
      <c r="H298" s="121"/>
    </row>
    <row r="299" spans="1:8" x14ac:dyDescent="0.3">
      <c r="A299" s="145" t="s">
        <v>413</v>
      </c>
      <c r="D299" s="72"/>
      <c r="E299" s="72"/>
      <c r="F299" s="72"/>
      <c r="G299" s="121"/>
      <c r="H299" s="121"/>
    </row>
    <row r="300" spans="1:8" x14ac:dyDescent="0.3">
      <c r="A300" s="145" t="s">
        <v>414</v>
      </c>
      <c r="D300" s="72"/>
      <c r="E300" s="72"/>
      <c r="F300" s="72"/>
      <c r="G300" s="121"/>
      <c r="H300" s="121"/>
    </row>
    <row r="301" spans="1:8" x14ac:dyDescent="0.3">
      <c r="A301" s="145" t="s">
        <v>415</v>
      </c>
      <c r="D301" s="72"/>
      <c r="E301" s="72"/>
      <c r="F301" s="72"/>
      <c r="G301" s="121"/>
      <c r="H301" s="121"/>
    </row>
    <row r="302" spans="1:8" x14ac:dyDescent="0.3">
      <c r="A302" s="144" t="s">
        <v>416</v>
      </c>
      <c r="D302" s="72"/>
      <c r="E302" s="72"/>
      <c r="F302" s="72"/>
      <c r="G302" s="121"/>
      <c r="H302" s="121"/>
    </row>
    <row r="303" spans="1:8" x14ac:dyDescent="0.3">
      <c r="A303" s="144" t="s">
        <v>417</v>
      </c>
      <c r="D303" s="72"/>
      <c r="E303" s="72"/>
      <c r="F303" s="72"/>
      <c r="G303" s="121"/>
      <c r="H303" s="121"/>
    </row>
    <row r="304" spans="1:8" x14ac:dyDescent="0.3">
      <c r="A304" s="144" t="s">
        <v>418</v>
      </c>
      <c r="D304" s="72"/>
      <c r="E304" s="72"/>
      <c r="F304" s="72"/>
      <c r="G304" s="121"/>
      <c r="H304" s="121"/>
    </row>
    <row r="305" spans="1:8" x14ac:dyDescent="0.3">
      <c r="A305" s="146" t="s">
        <v>412</v>
      </c>
      <c r="D305" s="72"/>
      <c r="E305" s="72"/>
      <c r="F305" s="72"/>
      <c r="G305" s="121"/>
      <c r="H305" s="121"/>
    </row>
    <row r="307" spans="1:8" s="126" customFormat="1" ht="37.5" customHeight="1" x14ac:dyDescent="0.3">
      <c r="A307" s="131" t="s">
        <v>477</v>
      </c>
      <c r="B307" s="147"/>
    </row>
    <row r="308" spans="1:8" x14ac:dyDescent="0.3">
      <c r="A308" s="148" t="s">
        <v>478</v>
      </c>
    </row>
    <row r="309" spans="1:8" x14ac:dyDescent="0.3">
      <c r="A309" s="97" t="s">
        <v>168</v>
      </c>
    </row>
    <row r="310" spans="1:8" x14ac:dyDescent="0.3">
      <c r="A310" s="97" t="s">
        <v>177</v>
      </c>
    </row>
    <row r="311" spans="1:8" x14ac:dyDescent="0.3">
      <c r="A311" s="97" t="s">
        <v>182</v>
      </c>
    </row>
    <row r="312" spans="1:8" x14ac:dyDescent="0.3">
      <c r="A312" s="97" t="s">
        <v>187</v>
      </c>
    </row>
    <row r="313" spans="1:8" x14ac:dyDescent="0.3">
      <c r="A313" s="97" t="s">
        <v>192</v>
      </c>
    </row>
    <row r="314" spans="1:8" x14ac:dyDescent="0.3">
      <c r="A314" s="97" t="s">
        <v>198</v>
      </c>
    </row>
    <row r="315" spans="1:8" x14ac:dyDescent="0.3">
      <c r="A315" s="106" t="s">
        <v>411</v>
      </c>
    </row>
    <row r="316" spans="1:8" x14ac:dyDescent="0.3">
      <c r="A316" s="106" t="s">
        <v>413</v>
      </c>
    </row>
    <row r="317" spans="1:8" x14ac:dyDescent="0.3">
      <c r="A317" s="106" t="s">
        <v>414</v>
      </c>
    </row>
    <row r="318" spans="1:8" x14ac:dyDescent="0.3">
      <c r="A318" s="106" t="s">
        <v>415</v>
      </c>
    </row>
    <row r="319" spans="1:8" x14ac:dyDescent="0.3">
      <c r="A319" s="97" t="s">
        <v>416</v>
      </c>
    </row>
    <row r="320" spans="1:8" x14ac:dyDescent="0.3">
      <c r="A320" s="97" t="s">
        <v>417</v>
      </c>
    </row>
    <row r="321" spans="1:1" x14ac:dyDescent="0.3">
      <c r="A321" s="97" t="s">
        <v>418</v>
      </c>
    </row>
    <row r="322" spans="1:1" x14ac:dyDescent="0.3">
      <c r="A322" s="97" t="s">
        <v>412</v>
      </c>
    </row>
    <row r="324" spans="1:1" s="126" customFormat="1" ht="37.5" customHeight="1" x14ac:dyDescent="0.3">
      <c r="A324" s="131" t="s">
        <v>479</v>
      </c>
    </row>
    <row r="325" spans="1:1" x14ac:dyDescent="0.3">
      <c r="A325" s="148" t="s">
        <v>480</v>
      </c>
    </row>
    <row r="326" spans="1:1" x14ac:dyDescent="0.3">
      <c r="A326" s="97" t="e" cm="1" vm="1">
        <f t="array" ref="A326">_xlfn._xlws.SORT(_xlfn.UNIQUE(_xlfn._xlws.FILTER(Nutrients_from_future_land_use!$A$5:$A$21,Nutrients_from_future_land_use!$A$5:$A$21&lt;&gt;"")))</f>
        <v>#VALUE!</v>
      </c>
    </row>
    <row r="327" spans="1:1" x14ac:dyDescent="0.3">
      <c r="A327" s="123"/>
    </row>
    <row r="328" spans="1:1" x14ac:dyDescent="0.3">
      <c r="A328" s="123"/>
    </row>
    <row r="329" spans="1:1" x14ac:dyDescent="0.3">
      <c r="A329" s="123"/>
    </row>
    <row r="330" spans="1:1" x14ac:dyDescent="0.3">
      <c r="A330" s="123"/>
    </row>
    <row r="331" spans="1:1" x14ac:dyDescent="0.3">
      <c r="A331" s="123"/>
    </row>
    <row r="332" spans="1:1" x14ac:dyDescent="0.3">
      <c r="A332" s="123"/>
    </row>
    <row r="333" spans="1:1" x14ac:dyDescent="0.3">
      <c r="A333" s="123"/>
    </row>
    <row r="334" spans="1:1" x14ac:dyDescent="0.3">
      <c r="A334" s="123"/>
    </row>
    <row r="335" spans="1:1" x14ac:dyDescent="0.3">
      <c r="A335" s="123"/>
    </row>
    <row r="336" spans="1:1" x14ac:dyDescent="0.3">
      <c r="A336" s="123"/>
    </row>
  </sheetData>
  <sheetProtection algorithmName="SHA-512" hashValue="NlMjaPtbFg9FBz+EXH3piw+Jgdm9MxgNnNmQIAguK9bfm3EXeyJCtqGUiBwMI27sv3OsdIZhRvzdU6dndUwczw==" saltValue="0/hHMKEQMasH2eVP7ZRvdA==" spinCount="100000" sheet="1" objects="1" scenarios="1"/>
  <phoneticPr fontId="8" type="noConversion"/>
  <dataValidations count="1">
    <dataValidation allowBlank="1" showInputMessage="1" showErrorMessage="1" prompt="This value is dependent on the rainfall volume." sqref="G236:H238 G232:H232"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BF70DC32-645B-4735-8F37-D154B460F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C810FB-5223-495A-B6DA-4E0D738F5268}">
  <ds:schemaRefs>
    <ds:schemaRef ds:uri="Microsoft.SharePoint.Taxonomy.ContentTypeSync"/>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2025-04-29T13:57:29Z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