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never" defaultThemeVersion="166925"/>
  <mc:AlternateContent xmlns:mc="http://schemas.openxmlformats.org/markup-compatibility/2006">
    <mc:Choice Requires="x15">
      <x15ac:absPath xmlns:x15ac="http://schemas.microsoft.com/office/spreadsheetml/2010/11/ac" url="https://defra-my.sharepoint.com/personal/alex_staff_defra_gov_uk/Documents/BAU/Nutrient neutrality calculators/"/>
    </mc:Choice>
  </mc:AlternateContent>
  <xr:revisionPtr revIDLastSave="12" documentId="8_{E4F5F4A2-1140-45A8-BEFB-60D49EC46530}" xr6:coauthVersionLast="47" xr6:coauthVersionMax="47" xr10:uidLastSave="{2A004FF2-EA63-4EF7-A877-A2885D27F299}"/>
  <workbookProtection workbookAlgorithmName="SHA-512" workbookHashValue="tbF5qBtTXfhSIicOOdTy7FbWtEs8Lz4FQ9NrhAiMKPnV2RPpf0/r6M2Os82b5FhjI+E0G2L+A6nh0unD2hqwcA==" workbookSaltValue="KYN9JuI9zhyf5JOcRAKdoQ==" workbookSpinCount="100000" lockStructure="1"/>
  <bookViews>
    <workbookView xWindow="28680" yWindow="-120" windowWidth="29040" windowHeight="15720" tabRatio="801" xr2:uid="{82A04952-E2FF-4A89-87AE-39010027FF5F}"/>
  </bookViews>
  <sheets>
    <sheet name="Instructions" sheetId="23"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9" l="1"/>
  <c r="C7" i="9"/>
  <c r="C8" i="9"/>
  <c r="C9" i="9"/>
  <c r="C10" i="9"/>
  <c r="C11" i="9"/>
  <c r="C12" i="9"/>
  <c r="C13" i="9"/>
  <c r="C14" i="9"/>
  <c r="C15" i="9"/>
  <c r="C16" i="9"/>
  <c r="C17" i="9"/>
  <c r="C18" i="9"/>
  <c r="C19" i="9"/>
  <c r="C20" i="9"/>
  <c r="C21" i="9"/>
  <c r="C5" i="9"/>
  <c r="D11" i="8"/>
  <c r="A9" i="10" l="1"/>
  <c r="D6" i="22"/>
  <c r="D7" i="22"/>
  <c r="D8" i="22"/>
  <c r="D9" i="22"/>
  <c r="D10" i="22"/>
  <c r="D11" i="22"/>
  <c r="D12" i="22"/>
  <c r="D13" i="22"/>
  <c r="D14" i="22"/>
  <c r="D15" i="22"/>
  <c r="D16" i="22"/>
  <c r="D17" i="22"/>
  <c r="D18" i="22"/>
  <c r="D19" i="22"/>
  <c r="D20" i="22"/>
  <c r="D21" i="22"/>
  <c r="D22" i="22"/>
  <c r="D23" i="22"/>
  <c r="D24" i="22"/>
  <c r="D25" i="22"/>
  <c r="D26" i="22"/>
  <c r="D27" i="22"/>
  <c r="D28" i="22"/>
  <c r="D29" i="22"/>
  <c r="D5" i="22"/>
  <c r="C11" i="8"/>
  <c r="B10" i="21"/>
  <c r="A15" i="21" s="1"/>
  <c r="A22" i="21"/>
  <c r="H20" i="22"/>
  <c r="H21" i="22"/>
  <c r="H22" i="22"/>
  <c r="H23" i="22"/>
  <c r="H24" i="22"/>
  <c r="H25" i="22"/>
  <c r="H26" i="22"/>
  <c r="H27" i="22"/>
  <c r="H28" i="22"/>
  <c r="H29" i="22"/>
  <c r="H11" i="22"/>
  <c r="H12" i="22"/>
  <c r="H13" i="22"/>
  <c r="H14" i="22"/>
  <c r="H15" i="22"/>
  <c r="H16" i="22"/>
  <c r="H17" i="22"/>
  <c r="H18" i="22"/>
  <c r="H19" i="22"/>
  <c r="H6" i="22"/>
  <c r="H7" i="22"/>
  <c r="H8" i="22"/>
  <c r="H9" i="22"/>
  <c r="H10" i="22"/>
  <c r="H5" i="22"/>
  <c r="G26" i="22"/>
  <c r="G27" i="22"/>
  <c r="G28" i="22"/>
  <c r="G29" i="22"/>
  <c r="G20" i="22"/>
  <c r="G21" i="22"/>
  <c r="G22" i="22"/>
  <c r="G23" i="22"/>
  <c r="G24" i="22"/>
  <c r="G25" i="22"/>
  <c r="G11" i="22"/>
  <c r="G12" i="22"/>
  <c r="G13" i="22"/>
  <c r="G14" i="22"/>
  <c r="G15" i="22"/>
  <c r="G16" i="22"/>
  <c r="G17" i="22"/>
  <c r="G18" i="22"/>
  <c r="G19" i="22"/>
  <c r="G6" i="22"/>
  <c r="G7" i="22"/>
  <c r="G8" i="22"/>
  <c r="G9" i="22"/>
  <c r="G10" i="22"/>
  <c r="G5" i="22"/>
  <c r="D23" i="8"/>
  <c r="D24" i="8"/>
  <c r="D25" i="8"/>
  <c r="D26" i="8"/>
  <c r="D27" i="8"/>
  <c r="D17" i="8"/>
  <c r="D18" i="8"/>
  <c r="D19" i="8"/>
  <c r="D20" i="8"/>
  <c r="D21" i="8"/>
  <c r="D22" i="8"/>
  <c r="D12" i="8"/>
  <c r="D13" i="8"/>
  <c r="D14" i="8"/>
  <c r="D15" i="8"/>
  <c r="D16" i="8"/>
  <c r="C26" i="8"/>
  <c r="C27" i="8"/>
  <c r="C19" i="8"/>
  <c r="C20" i="8"/>
  <c r="C21" i="8"/>
  <c r="C22" i="8"/>
  <c r="C23" i="8"/>
  <c r="C24" i="8"/>
  <c r="C25" i="8"/>
  <c r="C13" i="8"/>
  <c r="C14" i="8"/>
  <c r="C15" i="8"/>
  <c r="C16" i="8"/>
  <c r="C17" i="8"/>
  <c r="C18" i="8"/>
  <c r="C12" i="8"/>
  <c r="B16" i="21"/>
  <c r="B17" i="21" s="1"/>
  <c r="B12" i="21"/>
  <c r="A12" i="21"/>
  <c r="A11" i="21"/>
  <c r="B11" i="21"/>
  <c r="H116" i="3"/>
  <c r="H121" i="3"/>
  <c r="B20" i="21" l="1"/>
  <c r="A20" i="21"/>
  <c r="B22" i="21"/>
  <c r="C22" i="9"/>
  <c r="B18" i="21"/>
  <c r="H120" i="3"/>
  <c r="A19" i="21" l="1"/>
  <c r="A210" i="3" a="1"/>
  <c r="A210" i="3" s="1"/>
  <c r="A11" i="10" l="1"/>
  <c r="A12" i="10" s="1"/>
  <c r="A21" i="21"/>
  <c r="B30" i="22"/>
  <c r="B14" i="10" l="1"/>
  <c r="A13" i="10"/>
  <c r="A14" i="10" s="1"/>
  <c r="H122" i="3"/>
  <c r="F122" i="3" l="1"/>
  <c r="F121" i="3"/>
  <c r="F120" i="3"/>
  <c r="F119" i="3"/>
  <c r="F118" i="3"/>
  <c r="F117" i="3"/>
  <c r="F116" i="3"/>
  <c r="F115" i="3"/>
  <c r="B5" i="10" l="1"/>
  <c r="D30" i="22" l="1"/>
  <c r="G30" i="22"/>
  <c r="C28" i="8"/>
  <c r="B6" i="10" l="1"/>
  <c r="B7" i="10" s="1"/>
  <c r="B8" i="10" s="1"/>
  <c r="B10" i="10" s="1"/>
  <c r="B22" i="9"/>
  <c r="B28" i="8"/>
  <c r="B12" i="10"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<sst xmlns="http://schemas.openxmlformats.org/spreadsheetml/2006/main" count="830" uniqueCount="354">
  <si>
    <t>Natural England Nutrient Neutrality budget calculator for the River Camel SAC</t>
  </si>
  <si>
    <t>This calculator was created by Ricardo Energy and Environment.</t>
  </si>
  <si>
    <t>This calculator contains 6 worksheets with 9 tables in total.</t>
  </si>
  <si>
    <t>This is the instructions cover sheet. It tells you how to use the calculator and gives an overview of each worksheet.</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</si>
  <si>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</si>
  <si>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</si>
  <si>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</si>
  <si>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</si>
  <si>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Table of contents</t>
  </si>
  <si>
    <t>Topic of each table</t>
  </si>
  <si>
    <t>Link to each worksheet</t>
  </si>
  <si>
    <t>Worksheet 1 Nutrient loading from additional wastewater</t>
  </si>
  <si>
    <t>Nutrients from wastewater</t>
  </si>
  <si>
    <t>Worksheet 2 Nutrient loading from current land use</t>
  </si>
  <si>
    <t>Nutrients from current land use</t>
  </si>
  <si>
    <t>Worksheet 3 Nutrient loading from future land use</t>
  </si>
  <si>
    <t>Nutrients from future land use</t>
  </si>
  <si>
    <t>Worksheet 4 Nutrient loading from future land use after treatment through a sustainable urban drainage system (SuDS)</t>
  </si>
  <si>
    <t>SuDS</t>
  </si>
  <si>
    <t>Worksheet 5 Nutrient budget calculations</t>
  </si>
  <si>
    <t>Final_nutrient_budgets</t>
  </si>
  <si>
    <t>General information about the calculator</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</si>
  <si>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</si>
  <si>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</si>
  <si>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</si>
  <si>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</si>
  <si>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</si>
  <si>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</si>
  <si>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</si>
  <si>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This calculator uses a set of lookup tables to find relevant values in a hidden spreadsheet titled the 'Value_look_up_tables' worksheet.</t>
  </si>
  <si>
    <t xml:space="preserve">It is advisable to retain a blank copy of this calculator and 'Save as' a new copy each time you calculate a budget to minimise the risk of using incorrect data inputs and to ease the calculation of new nutrient budgets. </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</si>
  <si>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</si>
  <si>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If editing any values in this calculator, you must make sure there is a sufficient evidence base to justify these changes and that the new inputs are selected in accordance with the precautionary principle.  </t>
  </si>
  <si>
    <t>Notes about the nutrients from wastewater worksheet</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</si>
  <si>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</si>
  <si>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</si>
  <si>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</si>
  <si>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</si>
  <si>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</si>
  <si>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phosphorus (TP)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</si>
  <si>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</si>
  <si>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B18, B20 or B22.</t>
  </si>
  <si>
    <t>Notes about the nutrients from current land use worksheet</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</si>
  <si>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</si>
  <si>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</si>
  <si>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</si>
  <si>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Sources of information required for nutrients from current land use worksheet</t>
  </si>
  <si>
    <t>Description of the information:</t>
  </si>
  <si>
    <t>The operational catchment within which the development is located can be found using the Environment Agency Catchment Data Explorer</t>
  </si>
  <si>
    <t>The drainage associated with the predominant soil type within the development site can be found using the Soilscapes Map</t>
  </si>
  <si>
    <t>The annual average rainfall that the development will receive can be found using the National River Flow Archive for the '49001 - Camel at Denby'</t>
  </si>
  <si>
    <t>Whether the development is located within a nitrate vulnerable zone (NVZ) can be found using the UK Soil Observatory 'Nitrate Vulnerable Zones - England' map</t>
  </si>
  <si>
    <t>Notes about the nutrients from future land use worksheet</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</si>
  <si>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</si>
  <si>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</si>
  <si>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calculator guidance gives further information about the landcover types used in this calculator.</t>
  </si>
  <si>
    <t>Notes about the SuDS worksheet</t>
  </si>
  <si>
    <t xml:space="preserve">This worksheet contains one table in which the user can enter key information about the use of SuDS to treat the runoff from the site and reduce the nutrient loading from future land uses. </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</si>
  <si>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t>
  </si>
  <si>
    <t>Notes about the final nutrient budgets</t>
  </si>
  <si>
    <t>This final stage automatically calculates the results from worksheets 1-5.</t>
  </si>
  <si>
    <t>The value(s) shown represent the nutrient mitigation required in kilograms per year to achieve nutrient neutrality.</t>
  </si>
  <si>
    <t>If there are 2 or 3 values due to changing permits, the calculator will show the total amount of nutrient mitigation that is needed before and after the changing permit date.</t>
  </si>
  <si>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B9 in the first table 'Water infrastructure information'. Cells B10 is automatically calculated and will state '0.00' unless the user inputs have been entered. Cells A11 to A12 and B11 to B12 are automatically generated and will state 'Not applicable' depending on the inputs to cells B5 and B9. You may need to fill in cell C10 depending on the information you entered in cell B9. Cells C5 to C9 and cells C11 to C12 are intentionally blank cells.
You do not need to fill in any cells in the second table 'Final calculation of nutrient load from wastewater'. Cells B16 to B18 are automatically calculated and will state '0.00' unless the user inputs have been entered to the first table 'Water infrastructure information'. Cells A19 to A22, cells B20 and B22 are automatically generated and will state 'Not applicable' depending on the user inputs to the first table 'Water infrastructure information'. Cell B15, cell B19 and cell B21 are intentionally blank cells. 
</t>
    </r>
    <r>
      <rPr>
        <b/>
        <sz val="12"/>
        <rFont val="Arial"/>
        <family val="2"/>
      </rPr>
      <t>How to fill in the table 'Water infrastructure information'</t>
    </r>
    <r>
      <rPr>
        <sz val="12"/>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phosphorus (TP) in cell C10. Otherwise the default values will be used in the calculation of the nutrient load associated with wastewater. 
Nutrient permits may be changing for the WwTW you select, from 01/01/2025, or 01/04/2030. If the date of first occupancy is in-between changing permit dates, multiple permit limits may be automatically generated in cells B10 to B12. If applicable, up to 3 values for the nutrient loading associated with wastewater will be presented in cell B18, B20 or B22.</t>
    </r>
  </si>
  <si>
    <t>Water infrastructure information</t>
  </si>
  <si>
    <t>Description of required information</t>
  </si>
  <si>
    <t>Data entry column - user inputs required</t>
  </si>
  <si>
    <t>Additional data entry column - user inputs may be required</t>
  </si>
  <si>
    <t>Date of first occupancy (dd/mm/yyyy):</t>
  </si>
  <si>
    <t>Average occupancy rate (people/dwelling or people/unit):</t>
  </si>
  <si>
    <t>Water usage (litres/person/day):</t>
  </si>
  <si>
    <t>Development proposal (dwellings/units):</t>
  </si>
  <si>
    <t>Wastewater treatment works:</t>
  </si>
  <si>
    <t>Current wastewater treatment works P permit (mg TP/litre):</t>
  </si>
  <si>
    <t/>
  </si>
  <si>
    <t>Final calculation of nutrient load from wastewater</t>
  </si>
  <si>
    <t>Description of values generated</t>
  </si>
  <si>
    <t>Values generated</t>
  </si>
  <si>
    <t>Additional population (people):</t>
  </si>
  <si>
    <t>Wastewater by development (litres/day):</t>
  </si>
  <si>
    <t>Annual wastewater TP load (kg TP/yr):</t>
  </si>
  <si>
    <r>
      <t xml:space="preserve">This sheet contains 2 tables. The tables are separated by a heading, which describes the following table. 
</t>
    </r>
    <r>
      <rPr>
        <b/>
        <sz val="12"/>
        <rFont val="Arial"/>
        <family val="2"/>
      </rPr>
      <t xml:space="preserve">Note: </t>
    </r>
    <r>
      <rPr>
        <sz val="12"/>
        <rFont val="Arial"/>
        <family val="2"/>
      </rPr>
      <t xml:space="preserve">You will need to fill in cells B5 to B8 in the first table 'Current land use information'.  You will need to fill in cells A11 to A27, and B11 to B27 in the second table 'Current land uses'. Cells B28, C11 to C28 are automatically calculated and will state '0.00' unless the user inputs have been entered. Cells D11 to D27 are automatically generated and will state 'Not applicable' depending on automatically generated data in cells C11 to C27. Row 28 is a Total Row. The Total Row states 'Totals:' in cell A28 and automatically calculates the total sum of cells B11 to B27 in cell B28 and C11 to C27 in cell C28. Cell D28 is intentionally blank.
</t>
    </r>
    <r>
      <rPr>
        <b/>
        <sz val="12"/>
        <rFont val="Arial"/>
        <family val="2"/>
      </rPr>
      <t>How to fill in the table 'Current land use information'</t>
    </r>
    <r>
      <rPr>
        <sz val="12"/>
        <rFont val="Arial"/>
        <family val="2"/>
      </rPr>
      <t xml:space="preserve">
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rFont val="Arial"/>
        <family val="2"/>
      </rPr>
      <t>How to fill in the table 'Current land uses'</t>
    </r>
    <r>
      <rPr>
        <sz val="12"/>
        <rFont val="Arial"/>
        <family val="2"/>
      </rPr>
      <t xml:space="preserve">
Cell A11-A27: Choose the existing (pre-development) land use type(s) from the dropdown list.
Cells B11-B27: Enter the area in hectares of each land use type.
The nutrient load from current land uses is shown in cells C11-C27 for total phosphorus (TP).
The total nutrient load from current land uses is shown in cell C28 for TP.</t>
    </r>
  </si>
  <si>
    <t>Current land use information</t>
  </si>
  <si>
    <t>Operational catchment:</t>
  </si>
  <si>
    <t>Soil drainage type:</t>
  </si>
  <si>
    <t>Annual average rainfall (mm):</t>
  </si>
  <si>
    <t>Within nitrate vulnerable zone (NVZ):</t>
  </si>
  <si>
    <t>Current land uses</t>
  </si>
  <si>
    <t>Existing land use type(s) - user inputs required</t>
  </si>
  <si>
    <t>Area (ha) - user inputs required</t>
  </si>
  <si>
    <t>Annual phosphorus export  
(kg TP/yr)</t>
  </si>
  <si>
    <t>Notes on data</t>
  </si>
  <si>
    <t>Totals:</t>
  </si>
  <si>
    <r>
      <t xml:space="preserve">This sheet contains one table. 
</t>
    </r>
    <r>
      <rPr>
        <b/>
        <sz val="12"/>
        <rFont val="Arial"/>
        <family val="2"/>
      </rPr>
      <t>Note:</t>
    </r>
    <r>
      <rPr>
        <sz val="12"/>
        <rFont val="Arial"/>
        <family val="2"/>
      </rPr>
      <t xml:space="preserve"> You will need to fill in cells A5 to A21 and B5 to B21. Cells B22 and C5 to C22 are automatically generated calculations and will state '0.00' unless the user inputs have been entered. Row 22 is a Total Row. The Total Row states 'Totals:' in cell A22 and automatically calculates the total sum of cells B5 to B21 in cell B22 and C5 to C21 in cell C22.
</t>
    </r>
    <r>
      <rPr>
        <b/>
        <sz val="12"/>
        <rFont val="Arial"/>
        <family val="2"/>
      </rPr>
      <t>How to fill in the table 'Future land uses'</t>
    </r>
    <r>
      <rPr>
        <sz val="12"/>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phosphorus (TP). 
The total nutrient load from future land uses is shown in cell C22 for TP. </t>
    </r>
  </si>
  <si>
    <t>Future land uses</t>
  </si>
  <si>
    <t>New land use type(s) - user inputs required</t>
  </si>
  <si>
    <t>Annual phosphorus export
(kg TP/yr)</t>
  </si>
  <si>
    <t>Nutrients from future land use after sustainable urban drainage system (SuDS) treatment</t>
  </si>
  <si>
    <r>
      <t xml:space="preserve">This sheet contains one table. 
</t>
    </r>
    <r>
      <rPr>
        <b/>
        <sz val="12"/>
        <rFont val="Arial"/>
        <family val="2"/>
      </rPr>
      <t>Note:</t>
    </r>
    <r>
      <rPr>
        <sz val="12"/>
        <rFont val="Arial"/>
        <family val="2"/>
      </rPr>
      <t xml:space="preserve"> You will need to fill in cells A5 to A29, cells B5 to B29, cells C5 to C29, cells E5 to E29 and cells F5 to F29  if you are including SuDS to remove nutrients from the surface runoff. Cells B30, D5 to D30 and cells G5 to G30 are automatically calculated and will state '0.00' unless the user inputs have been entered. Cells H5 to H29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and cells G5 to G29 in cell G30. Cell C30, cell E30, cell F30 and cell H30 are intentionally blank.
</t>
    </r>
    <r>
      <rPr>
        <b/>
        <sz val="12"/>
        <rFont val="Arial"/>
        <family val="2"/>
      </rPr>
      <t>How to fill in the table 'SuDS information'</t>
    </r>
    <r>
      <rPr>
        <sz val="12"/>
        <rFont val="Arial"/>
        <family val="2"/>
      </rPr>
      <t xml:space="preserve">
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phosphorus (TP) loads associated with the landcovers in the SuDS catchment area are automatically calculated in cells D5 to D29.
Cells E5 to E29: Enter the name of the SuDS features used to intercept surface flows can be entered in. Any text can be entered into these cells.
Cells F5 to F29: Enter the nutrient removal rates associated with the SuDS features for TP.
Values for column F must be identified by the user and must be specific to the SuDS features being implemented.
The annual TP load removed by the SuDS features are automatically calculated in cells G5 to G29. These values are subtracted from the nutrient budget.
You do not need to fill in column H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G30 for TP.</t>
    </r>
  </si>
  <si>
    <t>SuDS information</t>
  </si>
  <si>
    <t>New land use type(s) within SuDS catchment area - user inputs required</t>
  </si>
  <si>
    <t>SuDS catchment area (ha) - user inputs required</t>
  </si>
  <si>
    <t>Percentage of flow entering the SuDS (%) - user inputs required</t>
  </si>
  <si>
    <t>Annual phosphorus inputs to SuDS feature(s)
(kg T/yr)</t>
  </si>
  <si>
    <t>Name of SuDS feature(s) - user inputs required</t>
  </si>
  <si>
    <t>TP removal rate for features - user specified (%) - user inputs required</t>
  </si>
  <si>
    <t>Annual phosphorus load removed by SuDS
(kg TP/yr)</t>
  </si>
  <si>
    <t>Final nutrient budgets</t>
  </si>
  <si>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B8 and cells B10 are automatically calculated and will state '0.00' unless the user inputs have been entered to all of the required worksheets. 
Cells A11 to A14, cell B12 and cell B14  are automatically generated and will state 'Not applicable' depending on the user inputs to the worksheet 'Nutrients_from_wastewater'. 
Cell B9, B11 and B13 are intentionally blank. 
This table presents calculations that underpin the final annual nutrient budget for the development site. Up to 3 values for the nutrient budget may be presented in cells B10, B12 and B24 for total phosphorus (TP).</t>
    </r>
  </si>
  <si>
    <t>Total nutrient budget calculations</t>
  </si>
  <si>
    <t>Wastewater TP load (kg TP/year):</t>
  </si>
  <si>
    <t>Net land use TP change (kg TP/year):</t>
  </si>
  <si>
    <t>TP budget:</t>
  </si>
  <si>
    <t>TP budget + 20% buffer:</t>
  </si>
  <si>
    <t>The total annual phosphorus load to mitigate is (kg TP/yr):</t>
  </si>
  <si>
    <t>This sheet contains nine tables. A blank row seperates the end of each table from the header for the next table.</t>
  </si>
  <si>
    <t>Table 1: Stage 1 WwTW lookup</t>
  </si>
  <si>
    <t>Discharge Site Name</t>
  </si>
  <si>
    <t>Phosphorus, Total as P (mg/l)</t>
  </si>
  <si>
    <t>Phosphorus, Total as P (mg/l), permit post 2025</t>
  </si>
  <si>
    <t>Phosphorus, Total as P (mg/l), permit post 2030</t>
  </si>
  <si>
    <t>Blisland STW</t>
  </si>
  <si>
    <t>Bodmin Nanstallon WwTW</t>
  </si>
  <si>
    <t>Bodmin Scarletts Well STW</t>
  </si>
  <si>
    <t>Camelford Station (Cottages) STW</t>
  </si>
  <si>
    <t>Camelford WwTW</t>
  </si>
  <si>
    <t>Delabole WwTW</t>
  </si>
  <si>
    <t>Helstone STW</t>
  </si>
  <si>
    <t>St Breward STW</t>
  </si>
  <si>
    <t>St Mabyn WwTW</t>
  </si>
  <si>
    <t>St Teath WwTW</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</si>
  <si>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</si>
  <si>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</si>
  <si>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</si>
  <si>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</si>
  <si>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</si>
  <si>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</si>
  <si>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</si>
  <si>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</si>
  <si>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</si>
  <si>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</si>
  <si>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</si>
  <si>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Column3</t>
  </si>
  <si>
    <t>Phosphorus export coefficient</t>
  </si>
  <si>
    <t>Farm Lookup</t>
  </si>
  <si>
    <t>Column1</t>
  </si>
  <si>
    <t>Mean P export of farm type and climate combination</t>
  </si>
  <si>
    <t>Column2</t>
  </si>
  <si>
    <t>Mean P export of farm type</t>
  </si>
  <si>
    <t>Camel</t>
  </si>
  <si>
    <t>Cereals</t>
  </si>
  <si>
    <t>900to1200</t>
  </si>
  <si>
    <t>FreeDrain</t>
  </si>
  <si>
    <t>Camel|Cereals|FALSE|900to1200|FreeDrain</t>
  </si>
  <si>
    <t>Cereals|900to1200</t>
  </si>
  <si>
    <t>DrainedAr</t>
  </si>
  <si>
    <t>Camel|Cereals|FALSE|900to1200|DrainedAr</t>
  </si>
  <si>
    <t>1200to1500</t>
  </si>
  <si>
    <t>Camel|Cereals|FALSE|1200to1500|FreeDrain</t>
  </si>
  <si>
    <t>Cereals|1200to1500</t>
  </si>
  <si>
    <t>Over1500</t>
  </si>
  <si>
    <t>Camel|Cereals|FALSE|Over1500|FreeDrain</t>
  </si>
  <si>
    <t>Cereals|Over1500</t>
  </si>
  <si>
    <t>General</t>
  </si>
  <si>
    <t>Camel|General|FALSE|900to1200|FreeDrain</t>
  </si>
  <si>
    <t>General|900to1200</t>
  </si>
  <si>
    <t>Camel|General|FALSE|900to1200|DrainedAr</t>
  </si>
  <si>
    <t>Camel|General|FALSE|1200to1500|FreeDrain</t>
  </si>
  <si>
    <t>General|1200to1500</t>
  </si>
  <si>
    <t>Camel|General|FALSE|1200to1500|DrainedAr</t>
  </si>
  <si>
    <t>Camel|General|FALSE|Over1500|FreeDrain</t>
  </si>
  <si>
    <t>General|Over1500</t>
  </si>
  <si>
    <t>Horticulture</t>
  </si>
  <si>
    <t>Camel|Horticulture|FALSE|900to1200|FreeDrain</t>
  </si>
  <si>
    <t>Horticulture|900to1200</t>
  </si>
  <si>
    <t>Camel|Horticulture|FALSE|900to1200|DrainedAr</t>
  </si>
  <si>
    <t>Camel|Horticulture|FALSE|1200to1500|FreeDrain</t>
  </si>
  <si>
    <t>Horticulture|1200to1500</t>
  </si>
  <si>
    <t>Camel|Horticulture|FALSE|Over1500|FreeDrain</t>
  </si>
  <si>
    <t>Horticulture|Over1500</t>
  </si>
  <si>
    <t>Pig</t>
  </si>
  <si>
    <t>Camel|Pig|FALSE|1200to1500|FreeDrain</t>
  </si>
  <si>
    <t>Pig|1200to1500</t>
  </si>
  <si>
    <t>Poultry</t>
  </si>
  <si>
    <t>Camel|Poultry|FALSE|1200to1500|FreeDrain</t>
  </si>
  <si>
    <t>Poultry|1200to1500</t>
  </si>
  <si>
    <t>Camel|Poultry|FALSE|Over1500|FreeDrain</t>
  </si>
  <si>
    <t>Poultry|Over1500</t>
  </si>
  <si>
    <t>Dairy</t>
  </si>
  <si>
    <t>Camel|Dairy|FALSE|900to1200|FreeDrain</t>
  </si>
  <si>
    <t>Dairy|900to1200</t>
  </si>
  <si>
    <t>Camel|Dairy|FALSE|900to1200|DrainedAr</t>
  </si>
  <si>
    <t>Camel|Dairy|FALSE|1200to1500|FreeDrain</t>
  </si>
  <si>
    <t>Dairy|1200to1500</t>
  </si>
  <si>
    <t>LFA</t>
  </si>
  <si>
    <t>Camel|LFA|FALSE|900to1200|FreeDrain</t>
  </si>
  <si>
    <t>LFA|900to1200</t>
  </si>
  <si>
    <t>Camel|LFA|FALSE|900to1200|DrainedAr</t>
  </si>
  <si>
    <t>Camel|LFA|FALSE|1200to1500|FreeDrain</t>
  </si>
  <si>
    <t>LFA|1200to1500</t>
  </si>
  <si>
    <t>Camel|LFA|FALSE|1200to1500|DrainedAr</t>
  </si>
  <si>
    <t>Camel|LFA|FALSE|Over1500|FreeDrain</t>
  </si>
  <si>
    <t>LFA|Over1500</t>
  </si>
  <si>
    <t>Lowland</t>
  </si>
  <si>
    <t>Camel|Lowland|FALSE|900to1200|FreeDrain</t>
  </si>
  <si>
    <t>Lowland|900to1200</t>
  </si>
  <si>
    <t>Camel|Lowland|FALSE|900to1200|DrainedAr</t>
  </si>
  <si>
    <t>Camel|Lowland|FALSE|1200to1500|FreeDrain</t>
  </si>
  <si>
    <t>Lowland|1200to1500</t>
  </si>
  <si>
    <t>Camel|Lowland|FALSE|1200to1500|DrainedAr</t>
  </si>
  <si>
    <t>Camel|Lowland|FALSE|Over1500|FreeDrain</t>
  </si>
  <si>
    <t>Lowland|Over1500</t>
  </si>
  <si>
    <t>Mixed</t>
  </si>
  <si>
    <t>Camel|Mixed|FALSE|900to1200|FreeDrain</t>
  </si>
  <si>
    <t>Mixed|900to1200</t>
  </si>
  <si>
    <t>Camel|Mixed|FALSE|900to1200|DrainedAr</t>
  </si>
  <si>
    <t>Camel|Mixed|FALSE|1200to1500|FreeDrain</t>
  </si>
  <si>
    <t>Mixed|1200to1500</t>
  </si>
  <si>
    <t>Camel|Mixed|FALSE|Over1500|FreeDrain</t>
  </si>
  <si>
    <t>Mixed|Over1500</t>
  </si>
  <si>
    <t>North Cornwall</t>
  </si>
  <si>
    <t>Cereals|FALSE|900to1200|FreeDrain</t>
  </si>
  <si>
    <t>Cereals|FALSE|900to1200|DrainedAr</t>
  </si>
  <si>
    <t>DrainedArGr</t>
  </si>
  <si>
    <t>Cereals|FALSE|900to1200|DrainedArGr</t>
  </si>
  <si>
    <t>Cereals|FALSE|1200to1500|FreeDrain</t>
  </si>
  <si>
    <t>Cereals|FALSE|Over1500|FreeDrain</t>
  </si>
  <si>
    <t>700to900</t>
  </si>
  <si>
    <t>General|FALSE|700to900|FreeDrain</t>
  </si>
  <si>
    <t>General|FALSE|900to1200|FreeDrain</t>
  </si>
  <si>
    <t>General|FALSE|900to1200|DrainedAr</t>
  </si>
  <si>
    <t>General|FALSE|900to1200|DrainedArGr</t>
  </si>
  <si>
    <t>General|FALSE|1200to1500|FreeDrain</t>
  </si>
  <si>
    <t>General|FALSE|1200to1500|DrainedAr</t>
  </si>
  <si>
    <t>General|FALSE|Over1500|FreeDrain</t>
  </si>
  <si>
    <t>General|FALSE|Over1500|DrainedAr</t>
  </si>
  <si>
    <t>Horticulture|FALSE|900to1200|FreeDrain</t>
  </si>
  <si>
    <t>Horticulture|FALSE|900to1200|DrainedAr</t>
  </si>
  <si>
    <t>Horticulture|FALSE|900to1200|DrainedArGr</t>
  </si>
  <si>
    <t>Horticulture|FALSE|1200to1500|FreeDrain</t>
  </si>
  <si>
    <t>Horticulture|FALSE|1200to1500|DrainedAr</t>
  </si>
  <si>
    <t>Horticulture|FALSE|Over1500|FreeDrain</t>
  </si>
  <si>
    <t>Pig|FALSE|900to1200|FreeDrain</t>
  </si>
  <si>
    <t>Pig|FALSE|1200to1500|FreeDrain</t>
  </si>
  <si>
    <t>Pig|FALSE|Over1500|DrainedAr</t>
  </si>
  <si>
    <t>Poultry|FALSE|900to1200|FreeDrain</t>
  </si>
  <si>
    <t>Poultry|FALSE|900to1200|DrainedArGr</t>
  </si>
  <si>
    <t>Poultry|FALSE|1200to1500|FreeDrain</t>
  </si>
  <si>
    <t>Poultry|FALSE|1200to1500|DrainedAr</t>
  </si>
  <si>
    <t>Poultry|FALSE|Over1500|FreeDrain</t>
  </si>
  <si>
    <t>Dairy|FALSE|700to900|FreeDrain</t>
  </si>
  <si>
    <t>Dairy|FALSE|900to1200|FreeDrain</t>
  </si>
  <si>
    <t>Dairy|FALSE|900to1200|DrainedAr</t>
  </si>
  <si>
    <t>Dairy|FALSE|900to1200|DrainedArGr</t>
  </si>
  <si>
    <t>Dairy|FALSE|1200to1500|FreeDrain</t>
  </si>
  <si>
    <t>Dairy|FALSE|1200to1500|DrainedAr</t>
  </si>
  <si>
    <t>Dairy|FALSE|1200to1500|DrainedArGr</t>
  </si>
  <si>
    <t>Dairy|FALSE|Over1500|FreeDrain</t>
  </si>
  <si>
    <t>LFA|FALSE|900to1200|FreeDrain</t>
  </si>
  <si>
    <t>LFA|FALSE|900to1200|DrainedAr</t>
  </si>
  <si>
    <t>LFA|FALSE|900to1200|DrainedArGr</t>
  </si>
  <si>
    <t>LFA|FALSE|1200to1500|FreeDrain</t>
  </si>
  <si>
    <t>LFA|FALSE|1200to1500|DrainedAr</t>
  </si>
  <si>
    <t>LFA|FALSE|1200to1500|DrainedArGr</t>
  </si>
  <si>
    <t>LFA|FALSE|Over1500|FreeDrain</t>
  </si>
  <si>
    <t>LFA|FALSE|Over1500|DrainedAr</t>
  </si>
  <si>
    <t>Lowland|FALSE|700to900|FreeDrain</t>
  </si>
  <si>
    <t>Lowland|FALSE|700to900|DrainedAr</t>
  </si>
  <si>
    <t>Lowland|FALSE|900to1200|FreeDrain</t>
  </si>
  <si>
    <t>Lowland|FALSE|900to1200|DrainedAr</t>
  </si>
  <si>
    <t>Lowland|FALSE|900to1200|DrainedArGr</t>
  </si>
  <si>
    <t>Lowland|FALSE|1200to1500|FreeDrain</t>
  </si>
  <si>
    <t>Lowland|FALSE|1200to1500|DrainedAr</t>
  </si>
  <si>
    <t>Lowland|FALSE|1200to1500|DrainedArGr</t>
  </si>
  <si>
    <t>Lowland|FALSE|Over1500|FreeDrain</t>
  </si>
  <si>
    <t>Lowland|FALSE|Over1500|DrainedAr</t>
  </si>
  <si>
    <t>Mixed|FALSE|700to900|DrainedAr</t>
  </si>
  <si>
    <t>Mixed|FALSE|900to1200|FreeDrain</t>
  </si>
  <si>
    <t>Mixed|FALSE|900to1200|DrainedAr</t>
  </si>
  <si>
    <t>Mixed|FALSE|900to1200|DrainedArGr</t>
  </si>
  <si>
    <t>Mixed|FALSE|1200to1500|FreeDrain</t>
  </si>
  <si>
    <t>Mixed|FALSE|1200to1500|DrainedAr</t>
  </si>
  <si>
    <t>Mixed|FALSE|Over1500|FreeDrain</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</si>
  <si>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</si>
  <si>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</si>
  <si>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</si>
  <si>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</si>
  <si>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</si>
  <si>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</si>
  <si>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</si>
  <si>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</si>
  <si>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</si>
  <si>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</si>
  <si>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</si>
  <si>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</si>
  <si>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</si>
  <si>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</si>
  <si>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</si>
  <si>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</si>
  <si>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</si>
  <si>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</si>
  <si>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P export coefficient (kg/ha/yr)2</t>
  </si>
  <si>
    <t>Commercial / industrial P export coefficient (kg/ha/yr)3</t>
  </si>
  <si>
    <t>Open urban P export coefficient (kg/ha/yr)4</t>
  </si>
  <si>
    <t>508 - 525</t>
  </si>
  <si>
    <t>Under600</t>
  </si>
  <si>
    <t>525.1 - 550</t>
  </si>
  <si>
    <t>550.1 - 575</t>
  </si>
  <si>
    <t>575.1 - 600</t>
  </si>
  <si>
    <t>600.1 - 625</t>
  </si>
  <si>
    <t>600to700</t>
  </si>
  <si>
    <t>625.1 - 650</t>
  </si>
  <si>
    <t>650.1 - 675</t>
  </si>
  <si>
    <t>675.1 - 700</t>
  </si>
  <si>
    <t>700.1 - 750</t>
  </si>
  <si>
    <t>750.1 - 800</t>
  </si>
  <si>
    <t>800.1 - 850</t>
  </si>
  <si>
    <t>850.1 - 900</t>
  </si>
  <si>
    <t>900.1 - 950</t>
  </si>
  <si>
    <t>950.1 - 1,000</t>
  </si>
  <si>
    <t>1,000.1 - 1,100</t>
  </si>
  <si>
    <t>1,100.1 - 1,200</t>
  </si>
  <si>
    <t>1,200.1 - 1,400</t>
  </si>
  <si>
    <t>1,400.1 - 1,600</t>
  </si>
  <si>
    <t>1,600.1 - 2,000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</si>
  <si>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</si>
  <si>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</si>
  <si>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</si>
  <si>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</si>
  <si>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</si>
  <si>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</si>
  <si>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</si>
  <si>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</si>
  <si>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</si>
  <si>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</si>
  <si>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</si>
  <si>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</si>
  <si>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</si>
  <si>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</si>
  <si>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</si>
  <si>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</si>
  <si>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</si>
  <si>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</si>
  <si>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</si>
  <si>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</si>
  <si>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</si>
  <si>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</si>
  <si>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</si>
  <si>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</si>
  <si>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</si>
  <si>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Table 8: Stage 2 and 3 Landcover lookup</t>
  </si>
  <si>
    <t>Camel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</si>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</sst>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1"/>
      <color theme="1"/>
      <name val="Calibri"/>
      <family val="2"/>
      <scheme val="minor"/>
    </font>
    <font>
      <sz val="1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u/>
      <sz val="11"/>
      <name val="Arial"/>
      <family val="2"/>
    </font>
    <font>
      <b/>
      <sz val="24"/>
      <name val="Arial"/>
      <family val="2"/>
    </font>
    <font>
      <sz val="12"/>
      <color theme="1"/>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9"/>
      <name val="Arial"/>
      <family val="2"/>
    </font>
    <font>
      <b/>
      <sz val="10"/>
      <name val="Arial"/>
      <family val="2"/>
    </font>
    <font>
      <b/>
      <sz val="11"/>
      <color theme="0"/>
      <name val="Arial"/>
      <family val="2"/>
    </font>
    <font>
      <u/>
      <sz val="12"/>
      <name val="Arial"/>
      <family val="2"/>
    </font>
    <font>
      <u/>
      <sz val="12"/>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5" fillId="0" borderId="2" applyNumberFormat="0" applyFill="0" applyBorder="0" applyAlignment="0" applyProtection="0"/>
    <xf numFmtId="0" fontId="16" fillId="0" borderId="6" applyNumberFormat="0" applyFill="0" applyBorder="0" applyAlignment="0" applyProtection="0"/>
  </cellStyleXfs>
  <cellXfs count="133">
    <xf numFmtId="0" fontId="0" fillId="0" borderId="0" xfId="0"/>
    <xf numFmtId="0" fontId="11" fillId="2" borderId="9"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8" fillId="2" borderId="9" xfId="0" applyFont="1" applyFill="1" applyBorder="1" applyAlignment="1">
      <alignment horizontal="left" vertical="center"/>
    </xf>
    <xf numFmtId="0" fontId="15" fillId="2" borderId="1" xfId="2" applyFill="1" applyBorder="1" applyAlignment="1" applyProtection="1">
      <alignment horizontal="left" vertical="center" wrapText="1"/>
    </xf>
    <xf numFmtId="0" fontId="10" fillId="3" borderId="0" xfId="0" applyFont="1" applyFill="1" applyAlignment="1">
      <alignment horizontal="left" vertical="center" wrapText="1"/>
    </xf>
    <xf numFmtId="0" fontId="10" fillId="3" borderId="1" xfId="0" applyFont="1" applyFill="1" applyBorder="1" applyAlignment="1">
      <alignment horizontal="left" vertical="center" wrapText="1"/>
    </xf>
    <xf numFmtId="0" fontId="16" fillId="2" borderId="1" xfId="3" applyFill="1" applyBorder="1" applyAlignment="1" applyProtection="1">
      <alignment horizontal="left" vertical="center" wrapText="1"/>
    </xf>
    <xf numFmtId="0" fontId="11" fillId="2" borderId="1"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23" fillId="3" borderId="1" xfId="1" applyFont="1" applyFill="1" applyBorder="1" applyAlignment="1" applyProtection="1">
      <alignment horizontal="left" vertical="center" wrapText="1"/>
    </xf>
    <xf numFmtId="0" fontId="23" fillId="3" borderId="0" xfId="1" applyFont="1" applyFill="1" applyBorder="1" applyAlignment="1" applyProtection="1">
      <alignment horizontal="left" vertical="center" wrapText="1"/>
    </xf>
    <xf numFmtId="0" fontId="4" fillId="3" borderId="0" xfId="1" applyFont="1" applyFill="1" applyBorder="1" applyAlignment="1" applyProtection="1">
      <alignment horizontal="left" vertical="center" wrapText="1"/>
    </xf>
    <xf numFmtId="0" fontId="12" fillId="3" borderId="0" xfId="1" applyFont="1" applyFill="1" applyBorder="1" applyAlignment="1" applyProtection="1">
      <alignment horizontal="left" vertical="center" wrapText="1"/>
    </xf>
    <xf numFmtId="0" fontId="11" fillId="3" borderId="0" xfId="0" applyFont="1" applyFill="1" applyAlignment="1">
      <alignment horizontal="left" vertical="center" wrapText="1"/>
    </xf>
    <xf numFmtId="0" fontId="23" fillId="3" borderId="1" xfId="1" applyFont="1" applyFill="1" applyBorder="1" applyAlignment="1">
      <alignment horizontal="left" vertical="center" wrapText="1"/>
    </xf>
    <xf numFmtId="0" fontId="1" fillId="3" borderId="0" xfId="0" applyFont="1" applyFill="1" applyAlignment="1">
      <alignment horizontal="left" wrapText="1"/>
    </xf>
    <xf numFmtId="0" fontId="10" fillId="3" borderId="7" xfId="0" applyFont="1" applyFill="1" applyBorder="1" applyAlignment="1">
      <alignment horizontal="left" vertical="center" wrapText="1"/>
    </xf>
    <xf numFmtId="0" fontId="10" fillId="3" borderId="10" xfId="0" applyFont="1" applyFill="1" applyBorder="1" applyAlignment="1">
      <alignment horizontal="left" wrapText="1"/>
    </xf>
    <xf numFmtId="0" fontId="11" fillId="3" borderId="1"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0" fillId="3" borderId="11" xfId="0" applyFont="1" applyFill="1" applyBorder="1" applyAlignment="1">
      <alignment horizontal="left" wrapText="1"/>
    </xf>
    <xf numFmtId="0" fontId="1" fillId="3" borderId="5" xfId="0" applyFont="1" applyFill="1" applyBorder="1" applyAlignment="1">
      <alignment horizontal="left" wrapText="1"/>
    </xf>
    <xf numFmtId="0" fontId="10" fillId="3" borderId="13" xfId="0" applyFont="1" applyFill="1" applyBorder="1" applyAlignment="1">
      <alignment horizontal="left" vertical="center" wrapText="1"/>
    </xf>
    <xf numFmtId="0" fontId="10" fillId="3" borderId="12" xfId="0" applyFont="1" applyFill="1" applyBorder="1" applyAlignment="1">
      <alignment horizontal="left" vertical="center" wrapText="1"/>
    </xf>
    <xf numFmtId="2" fontId="11" fillId="3" borderId="15" xfId="0" applyNumberFormat="1" applyFont="1" applyFill="1" applyBorder="1" applyAlignment="1">
      <alignment horizontal="left" vertical="center" wrapText="1"/>
    </xf>
    <xf numFmtId="2" fontId="11" fillId="3" borderId="16" xfId="0" applyNumberFormat="1" applyFont="1" applyFill="1" applyBorder="1" applyAlignment="1">
      <alignment horizontal="left" vertical="center" wrapText="1"/>
    </xf>
    <xf numFmtId="14" fontId="10" fillId="4" borderId="1" xfId="0" applyNumberFormat="1" applyFont="1" applyFill="1" applyBorder="1" applyAlignment="1" applyProtection="1">
      <alignment horizontal="left" vertical="center" wrapText="1"/>
      <protection locked="0"/>
    </xf>
    <xf numFmtId="2" fontId="10" fillId="4" borderId="1" xfId="0" applyNumberFormat="1" applyFont="1" applyFill="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protection locked="0"/>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2" xfId="0" applyFont="1" applyFill="1" applyBorder="1" applyAlignment="1">
      <alignment horizontal="left" vertical="center"/>
    </xf>
    <xf numFmtId="2" fontId="11" fillId="2" borderId="15" xfId="0" applyNumberFormat="1" applyFont="1" applyFill="1" applyBorder="1" applyAlignment="1">
      <alignment horizontal="left" vertical="center" wrapText="1"/>
    </xf>
    <xf numFmtId="0" fontId="13" fillId="3" borderId="0" xfId="0" applyFont="1" applyFill="1" applyAlignment="1">
      <alignment horizontal="left" vertical="center" wrapText="1"/>
    </xf>
    <xf numFmtId="0" fontId="5" fillId="3" borderId="0" xfId="0" applyFont="1" applyFill="1" applyAlignment="1">
      <alignment horizontal="left" vertical="center" wrapText="1"/>
    </xf>
    <xf numFmtId="0" fontId="16" fillId="3" borderId="0" xfId="0" applyFont="1" applyFill="1" applyAlignment="1">
      <alignment horizontal="left" vertical="center" wrapText="1"/>
    </xf>
    <xf numFmtId="0" fontId="12" fillId="3" borderId="0" xfId="1" applyFont="1" applyFill="1" applyAlignment="1" applyProtection="1">
      <alignment horizontal="left" vertical="center" wrapText="1"/>
    </xf>
    <xf numFmtId="2" fontId="10" fillId="3" borderId="12" xfId="0" applyNumberFormat="1" applyFont="1" applyFill="1" applyBorder="1" applyAlignment="1" applyProtection="1">
      <alignment horizontal="left" vertical="center" wrapText="1"/>
      <protection locked="0"/>
    </xf>
    <xf numFmtId="2" fontId="14" fillId="3" borderId="10" xfId="0" applyNumberFormat="1" applyFont="1" applyFill="1" applyBorder="1" applyAlignment="1">
      <alignment horizontal="left" vertical="center" wrapText="1"/>
    </xf>
    <xf numFmtId="2" fontId="11" fillId="3" borderId="3" xfId="0" applyNumberFormat="1" applyFont="1" applyFill="1" applyBorder="1" applyAlignment="1">
      <alignment horizontal="left" vertical="center" wrapText="1"/>
    </xf>
    <xf numFmtId="0" fontId="4" fillId="3" borderId="0" xfId="0" applyFont="1" applyFill="1" applyAlignment="1">
      <alignment horizontal="left" vertical="center" wrapText="1"/>
    </xf>
    <xf numFmtId="14" fontId="10" fillId="4" borderId="10" xfId="0" applyNumberFormat="1" applyFont="1" applyFill="1" applyBorder="1" applyAlignment="1" applyProtection="1">
      <alignment horizontal="left" vertical="center" wrapText="1"/>
      <protection locked="0"/>
    </xf>
    <xf numFmtId="2" fontId="10" fillId="4" borderId="10" xfId="0" applyNumberFormat="1" applyFont="1" applyFill="1" applyBorder="1" applyAlignment="1" applyProtection="1">
      <alignment horizontal="left" vertical="center" wrapText="1"/>
      <protection locked="0"/>
    </xf>
    <xf numFmtId="0" fontId="10" fillId="4" borderId="10" xfId="0" applyFont="1" applyFill="1" applyBorder="1" applyAlignment="1" applyProtection="1">
      <alignment horizontal="left" vertical="center" wrapText="1"/>
      <protection locked="0"/>
    </xf>
    <xf numFmtId="0" fontId="10" fillId="4" borderId="11"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left" vertical="center" wrapText="1"/>
      <protection locked="0"/>
    </xf>
    <xf numFmtId="0" fontId="10" fillId="2" borderId="11" xfId="0" applyFont="1" applyFill="1" applyBorder="1" applyAlignment="1">
      <alignment horizontal="left" vertical="center" wrapText="1"/>
    </xf>
    <xf numFmtId="2" fontId="8" fillId="3" borderId="1" xfId="0" applyNumberFormat="1" applyFont="1" applyFill="1" applyBorder="1" applyAlignment="1">
      <alignment horizontal="left" vertical="center" wrapText="1"/>
    </xf>
    <xf numFmtId="0" fontId="18" fillId="3" borderId="0" xfId="0" applyFont="1" applyFill="1" applyAlignment="1">
      <alignment horizontal="left" vertical="center" wrapText="1"/>
    </xf>
    <xf numFmtId="0" fontId="6" fillId="3" borderId="0" xfId="0" applyFont="1" applyFill="1" applyAlignment="1">
      <alignment horizontal="left" wrapText="1"/>
    </xf>
    <xf numFmtId="0" fontId="20" fillId="3" borderId="0" xfId="0" applyFont="1" applyFill="1" applyAlignment="1">
      <alignment horizontal="left" vertical="center" wrapText="1"/>
    </xf>
    <xf numFmtId="0" fontId="17" fillId="3" borderId="0" xfId="0" applyFont="1" applyFill="1" applyAlignment="1">
      <alignment horizontal="left" wrapText="1"/>
    </xf>
    <xf numFmtId="0" fontId="14" fillId="3" borderId="1" xfId="0" applyFont="1" applyFill="1" applyBorder="1" applyAlignment="1">
      <alignment horizontal="left" vertical="center" wrapText="1"/>
    </xf>
    <xf numFmtId="2" fontId="8" fillId="3" borderId="0" xfId="0" applyNumberFormat="1" applyFont="1" applyFill="1" applyAlignment="1">
      <alignment horizontal="left" vertical="center" wrapText="1"/>
    </xf>
    <xf numFmtId="0" fontId="3" fillId="3" borderId="0" xfId="0" applyFont="1" applyFill="1" applyAlignment="1">
      <alignment horizontal="left" wrapText="1"/>
    </xf>
    <xf numFmtId="0" fontId="8" fillId="3" borderId="0" xfId="0" applyFont="1" applyFill="1" applyAlignment="1">
      <alignment horizontal="left" vertical="center" wrapText="1"/>
    </xf>
    <xf numFmtId="0" fontId="14"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4" fillId="4" borderId="1" xfId="0" applyFont="1" applyFill="1" applyBorder="1" applyAlignment="1" applyProtection="1">
      <alignment horizontal="left" vertical="center" wrapText="1"/>
      <protection locked="0"/>
    </xf>
    <xf numFmtId="0" fontId="14" fillId="4" borderId="0" xfId="0" applyFont="1" applyFill="1" applyAlignment="1" applyProtection="1">
      <alignment horizontal="left" vertical="center" wrapText="1"/>
      <protection locked="0"/>
    </xf>
    <xf numFmtId="2" fontId="10" fillId="4" borderId="0" xfId="0" applyNumberFormat="1" applyFont="1" applyFill="1" applyAlignment="1" applyProtection="1">
      <alignment horizontal="left" vertical="center" wrapText="1"/>
      <protection locked="0"/>
    </xf>
    <xf numFmtId="0" fontId="8" fillId="2" borderId="0" xfId="0" applyFont="1" applyFill="1" applyAlignment="1">
      <alignment horizontal="left" vertical="center" wrapText="1"/>
    </xf>
    <xf numFmtId="0" fontId="6" fillId="3" borderId="0" xfId="0" applyFont="1" applyFill="1" applyAlignment="1">
      <alignment horizontal="left" vertical="center" wrapText="1"/>
    </xf>
    <xf numFmtId="0" fontId="21" fillId="3" borderId="0" xfId="0" applyFont="1" applyFill="1" applyAlignment="1">
      <alignment horizontal="left" vertical="center" wrapText="1"/>
    </xf>
    <xf numFmtId="0" fontId="6" fillId="3" borderId="0" xfId="0" applyFont="1" applyFill="1" applyAlignment="1">
      <alignment horizontal="left" vertical="center"/>
    </xf>
    <xf numFmtId="2" fontId="11" fillId="3" borderId="0" xfId="0" applyNumberFormat="1" applyFont="1" applyFill="1" applyAlignment="1">
      <alignment horizontal="left" vertical="center" wrapText="1"/>
    </xf>
    <xf numFmtId="0" fontId="8" fillId="2" borderId="17" xfId="0" applyFont="1" applyFill="1" applyBorder="1" applyAlignment="1">
      <alignment horizontal="left" vertical="center" wrapText="1"/>
    </xf>
    <xf numFmtId="2" fontId="14" fillId="4" borderId="1" xfId="0" applyNumberFormat="1" applyFont="1" applyFill="1" applyBorder="1" applyAlignment="1" applyProtection="1">
      <alignment horizontal="left" vertical="center" wrapText="1"/>
      <protection locked="0"/>
    </xf>
    <xf numFmtId="2" fontId="11" fillId="2" borderId="0" xfId="0" applyNumberFormat="1" applyFont="1" applyFill="1" applyAlignment="1">
      <alignment horizontal="left" vertical="center" wrapText="1"/>
    </xf>
    <xf numFmtId="2" fontId="8" fillId="2" borderId="0" xfId="0" applyNumberFormat="1" applyFont="1" applyFill="1" applyAlignment="1">
      <alignment horizontal="left" vertical="center" wrapText="1"/>
    </xf>
    <xf numFmtId="0" fontId="6" fillId="2" borderId="0" xfId="0" applyFont="1" applyFill="1" applyAlignment="1">
      <alignment horizontal="left" vertical="center" wrapText="1"/>
    </xf>
    <xf numFmtId="0" fontId="14" fillId="3" borderId="0" xfId="0" applyFont="1" applyFill="1" applyAlignment="1">
      <alignment horizontal="left" vertical="center" wrapText="1"/>
    </xf>
    <xf numFmtId="0" fontId="19" fillId="3" borderId="0" xfId="0" applyFont="1" applyFill="1" applyAlignment="1">
      <alignment horizontal="left" vertical="center" wrapText="1"/>
    </xf>
    <xf numFmtId="0" fontId="14" fillId="3" borderId="7" xfId="0" applyFont="1" applyFill="1" applyBorder="1" applyAlignment="1">
      <alignment horizontal="left" vertical="center" wrapText="1"/>
    </xf>
    <xf numFmtId="2" fontId="11" fillId="3" borderId="10" xfId="0" applyNumberFormat="1" applyFont="1" applyFill="1" applyBorder="1" applyAlignment="1">
      <alignment horizontal="left" vertical="center" wrapText="1"/>
    </xf>
    <xf numFmtId="2" fontId="8" fillId="3" borderId="10" xfId="0" applyNumberFormat="1" applyFont="1" applyFill="1" applyBorder="1" applyAlignment="1">
      <alignment horizontal="left" vertical="center" wrapText="1"/>
    </xf>
    <xf numFmtId="2" fontId="8" fillId="3" borderId="11" xfId="0" applyNumberFormat="1" applyFont="1" applyFill="1" applyBorder="1" applyAlignment="1">
      <alignment horizontal="left" vertical="center" wrapText="1"/>
    </xf>
    <xf numFmtId="0" fontId="14"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8" fillId="2" borderId="7"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8" xfId="0" applyFont="1" applyFill="1" applyBorder="1" applyAlignment="1">
      <alignment horizontal="left" vertical="center" wrapText="1"/>
    </xf>
    <xf numFmtId="0" fontId="22" fillId="3" borderId="0" xfId="0" applyFont="1" applyFill="1" applyAlignment="1">
      <alignment vertical="center"/>
    </xf>
    <xf numFmtId="0" fontId="22" fillId="3" borderId="0" xfId="0" applyFont="1" applyFill="1" applyAlignment="1">
      <alignment vertical="center" wrapText="1"/>
    </xf>
    <xf numFmtId="0" fontId="6" fillId="3" borderId="0" xfId="0" applyFont="1" applyFill="1" applyAlignment="1">
      <alignment wrapText="1"/>
    </xf>
    <xf numFmtId="0" fontId="6" fillId="3" borderId="0" xfId="0" applyFont="1" applyFill="1"/>
    <xf numFmtId="0" fontId="6" fillId="3" borderId="7"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 xfId="0" applyFont="1" applyFill="1" applyBorder="1" applyAlignment="1" applyProtection="1">
      <alignment horizontal="left" vertical="center" wrapText="1"/>
      <protection hidden="1"/>
    </xf>
    <xf numFmtId="2" fontId="6" fillId="3" borderId="0" xfId="0" applyNumberFormat="1" applyFont="1" applyFill="1" applyAlignment="1">
      <alignment horizontal="left" vertical="center" wrapText="1"/>
    </xf>
    <xf numFmtId="0" fontId="7"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2" fontId="5" fillId="3" borderId="1" xfId="0" applyNumberFormat="1" applyFont="1" applyFill="1" applyBorder="1" applyAlignment="1">
      <alignment horizontal="left" vertical="center" wrapText="1"/>
    </xf>
    <xf numFmtId="2" fontId="5" fillId="3" borderId="0" xfId="0" applyNumberFormat="1" applyFont="1" applyFill="1" applyAlignment="1">
      <alignment horizontal="left" vertical="center" wrapText="1"/>
    </xf>
    <xf numFmtId="0" fontId="7" fillId="3" borderId="0" xfId="0" applyFont="1" applyFill="1" applyAlignment="1">
      <alignment horizontal="left" vertical="center" wrapText="1"/>
    </xf>
    <xf numFmtId="2" fontId="6" fillId="3" borderId="1" xfId="0" applyNumberFormat="1" applyFont="1" applyFill="1" applyBorder="1" applyAlignment="1">
      <alignment horizontal="left" vertical="center" wrapText="1"/>
    </xf>
    <xf numFmtId="2" fontId="7" fillId="3" borderId="1"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16" fillId="2" borderId="1" xfId="3" applyFill="1" applyBorder="1" applyAlignment="1" applyProtection="1">
      <alignment horizontal="left" vertical="center"/>
    </xf>
    <xf numFmtId="2" fontId="6" fillId="2" borderId="1" xfId="0" applyNumberFormat="1" applyFont="1" applyFill="1" applyBorder="1" applyAlignment="1">
      <alignment horizontal="left"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16" fillId="2" borderId="3" xfId="3" applyFill="1" applyBorder="1" applyAlignment="1" applyProtection="1">
      <alignment horizontal="left" vertical="center"/>
    </xf>
    <xf numFmtId="0" fontId="15" fillId="2" borderId="1" xfId="2" applyFill="1" applyBorder="1" applyAlignment="1" applyProtection="1">
      <alignment horizontal="left" vertical="center"/>
    </xf>
    <xf numFmtId="0" fontId="10" fillId="3" borderId="1" xfId="0" applyFont="1" applyFill="1" applyBorder="1" applyAlignment="1">
      <alignment vertical="center" wrapText="1"/>
    </xf>
    <xf numFmtId="0" fontId="23" fillId="3" borderId="1" xfId="1" applyFont="1" applyFill="1" applyBorder="1" applyAlignment="1">
      <alignment vertical="center" wrapText="1"/>
    </xf>
    <xf numFmtId="0" fontId="23" fillId="3" borderId="1" xfId="0" applyFont="1" applyFill="1" applyBorder="1" applyAlignment="1">
      <alignment vertical="center" wrapText="1"/>
    </xf>
    <xf numFmtId="2" fontId="11" fillId="3" borderId="14"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2" fontId="11" fillId="3" borderId="1" xfId="0" applyNumberFormat="1" applyFont="1" applyFill="1" applyBorder="1" applyAlignment="1">
      <alignment horizontal="left" vertical="center" wrapText="1"/>
    </xf>
    <xf numFmtId="0" fontId="6" fillId="2" borderId="3" xfId="0" applyFont="1" applyFill="1" applyBorder="1" applyAlignment="1">
      <alignment horizontal="lef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6" fillId="2" borderId="3" xfId="0" applyFont="1" applyFill="1" applyBorder="1"/>
    <xf numFmtId="2" fontId="6" fillId="2" borderId="3" xfId="0" applyNumberFormat="1" applyFont="1" applyFill="1" applyBorder="1" applyAlignment="1">
      <alignment horizontal="left" vertical="center"/>
    </xf>
    <xf numFmtId="0" fontId="3" fillId="2" borderId="2"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6" fillId="3" borderId="12" xfId="0" applyFont="1" applyFill="1" applyBorder="1" applyAlignment="1">
      <alignment wrapText="1"/>
    </xf>
    <xf numFmtId="0" fontId="10" fillId="3" borderId="10" xfId="0" applyFont="1" applyFill="1" applyBorder="1" applyAlignment="1" applyProtection="1">
      <alignment horizontal="left" vertical="center" wrapText="1"/>
      <protection locked="0"/>
    </xf>
    <xf numFmtId="0" fontId="24" fillId="3" borderId="1" xfId="1" applyFont="1" applyFill="1" applyBorder="1" applyAlignment="1" applyProtection="1">
      <alignment horizontal="left" vertical="center" wrapText="1"/>
    </xf>
  </cellXfs>
  <cellStyles count="4">
    <cellStyle name="Heading 1" xfId="2" builtinId="16" customBuiltin="1"/>
    <cellStyle name="Heading 2" xfId="3" builtinId="17" customBuiltin="1"/>
    <cellStyle name="Hyperlink" xfId="1" builtinId="8"/>
    <cellStyle name="Normal" xfId="0" builtinId="0"/>
  </cellStyles>
  <dxfs count="117">
    <dxf>
      <font>
        <color theme="1"/>
      </font>
    </dxf>
    <dxf>
      <fill>
        <patternFill>
          <bgColor rgb="FFE9EDF7"/>
        </patternFill>
      </fill>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ill>
        <patternFill patternType="solid">
          <fgColor indexed="64"/>
          <bgColor theme="0" tint="-0.14999847407452621"/>
        </patternFill>
      </fill>
      <alignment horizontal="left" vertical="center" textRotation="0"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ill>
        <patternFill>
          <fgColor indexed="64"/>
          <bgColor rgb="FFFFFFCC"/>
        </patternFill>
      </fill>
      <alignment horizontal="left" vertical="center" textRotation="0" indent="0" justifyLastLine="0" shrinkToFit="0" readingOrder="0"/>
      <protection locked="1" hidden="0"/>
    </dxf>
    <dxf>
      <border outline="0">
        <left style="thin">
          <color auto="1"/>
        </left>
        <top style="thin">
          <color auto="1"/>
        </top>
        <bottom style="thin">
          <color indexed="64"/>
        </bottom>
      </border>
    </dxf>
    <dxf>
      <fill>
        <patternFill>
          <fgColor indexed="64"/>
          <bgColor rgb="FFFFFFCC"/>
        </patternFill>
      </fill>
      <alignment horizontal="left" vertical="center" textRotation="0" indent="0" justifyLastLine="0" shrinkToFit="0" readingOrder="0"/>
      <protection locked="1" hidden="0"/>
    </dxf>
    <dxf>
      <border outline="0">
        <bottom style="thin">
          <color auto="1"/>
        </bottom>
      </border>
    </dxf>
    <dxf>
      <fill>
        <patternFill patternType="solid">
          <fgColor indexed="64"/>
          <bgColor rgb="FFFFFFCC"/>
        </patternFill>
      </fill>
      <alignment horizontal="left" vertical="center"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fgColor indexed="64"/>
          <bgColor rgb="FFFFFFCC"/>
        </patternFill>
      </fill>
      <alignment horizontal="left" textRotation="0" indent="0" justifyLastLine="0" shrinkToFit="0" readingOrder="0"/>
      <protection locked="1" hidden="0"/>
    </dxf>
    <dxf>
      <border>
        <bottom style="thin">
          <color indexed="64"/>
        </bottom>
      </border>
    </dxf>
    <dxf>
      <font>
        <b/>
      </font>
      <fill>
        <patternFill>
          <fgColor indexed="64"/>
          <bgColor rgb="FFFFFFCC"/>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color auto="1"/>
        <name val="Arial"/>
        <family val="2"/>
        <scheme val="none"/>
      </font>
      <fill>
        <patternFill>
          <fgColor indexed="64"/>
          <bgColor rgb="FFFFFFCC"/>
        </patternFill>
      </fill>
      <alignment horizontal="left" vertical="center" textRotation="0" wrapText="1" indent="0" justifyLastLine="0" shrinkToFit="0" readingOrder="0"/>
    </dxf>
    <dxf>
      <border>
        <bottom style="thin">
          <color indexed="64"/>
        </bottom>
      </border>
    </dxf>
    <dxf>
      <font>
        <b/>
        <strike val="0"/>
        <outline val="0"/>
        <shadow val="0"/>
        <u val="none"/>
        <vertAlign val="baseline"/>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EC5582-820E-44BB-834A-BCCF40BD9380}" name="Table_1_Links3" displayName="Table_1_Links3" ref="A10:B15" totalsRowShown="0" headerRowDxfId="116" dataDxfId="115">
  <autoFilter ref="A10:B15" xr:uid="{7EBF9311-A278-4083-BF4D-937B4AAC2ED7}">
    <filterColumn colId="0" hiddenButton="1"/>
    <filterColumn colId="1" hiddenButton="1"/>
  </autoFilter>
  <tableColumns count="2">
    <tableColumn id="1" xr3:uid="{D307493E-2059-46BA-8359-3AF9476DA77C}" name="Topic of each table" dataDxfId="114"/>
    <tableColumn id="2" xr3:uid="{232F3596-0F30-49C4-AE95-A48E7051B620}" name="Link to each worksheet" dataDxfId="113"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169:A186" totalsRowShown="0" headerRowDxfId="54" dataDxfId="52" headerRowBorderDxfId="53" tableBorderDxfId="51" totalsRowBorderDxfId="50">
  <autoFilter ref="A169:A186" xr:uid="{27E373C5-D0CE-42F2-9526-68F6C3493A4E}">
    <filterColumn colId="0" hiddenButton="1"/>
  </autoFilter>
  <tableColumns count="1">
    <tableColumn id="1" xr3:uid="{53B368C1-8BC9-40BE-BF12-2BD44CBABE8A}" name="All Possible Landcover Types" dataDxfId="49"/>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164:B166" totalsRowShown="0" headerRowDxfId="48" dataDxfId="47">
  <autoFilter ref="A164:B166" xr:uid="{92ED230A-D03F-4AFE-B6E2-A2C0CA247A6E}">
    <filterColumn colId="0" hiddenButton="1"/>
    <filterColumn colId="1" hiddenButton="1"/>
  </autoFilter>
  <tableColumns count="2">
    <tableColumn id="1" xr3:uid="{733091DA-D7C2-4BC5-B808-44E4059922C0}" name="NVZ" dataDxfId="46"/>
    <tableColumn id="2" xr3:uid="{F0C58FBC-95F8-49DE-8689-2F83AB0C11EB}" name="Farmscoper equivalent" dataDxfId="45"/>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155:C161" totalsRowShown="0" headerRowDxfId="44" dataDxfId="43">
  <autoFilter ref="A155:C161" xr:uid="{1A6CB2E1-69B4-4AD4-994C-659133C27DDB}">
    <filterColumn colId="0" hiddenButton="1"/>
    <filterColumn colId="1" hiddenButton="1"/>
    <filterColumn colId="2" hiddenButton="1"/>
  </autoFilter>
  <tableColumns count="3">
    <tableColumn id="1" xr3:uid="{22766906-A0A6-4E97-AF30-1597153F0350}" name="Soilscape drainage term" dataDxfId="42"/>
    <tableColumn id="2" xr3:uid="{F002BB36-823A-4836-A21B-B579E90BABD3}" name="Farmscoper term" dataDxfId="41"/>
    <tableColumn id="3" xr3:uid="{9175DC56-F38C-4D28-A172-11226D1D23E9}" name="Definition" dataDxfId="40"/>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125:K148" totalsRowShown="0" headerRowDxfId="39" dataDxfId="37" headerRowBorderDxfId="38">
  <autoFilter ref="A125:K148"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6"/>
    <tableColumn id="2" xr3:uid="{6314E66D-7991-4DDA-9A1D-1FE2961CCE28}" name="Mid" dataDxfId="35"/>
    <tableColumn id="3" xr3:uid="{0B72D170-B3FB-410B-B94E-238D55DCBE68}" name="Farmscoper Equivalent" dataDxfId="34"/>
    <tableColumn id="4" xr3:uid="{0F992BC0-BDCD-49A0-800D-DE9390E83D4D}" name="P Urban Runoff Coefficient " dataDxfId="33"/>
    <tableColumn id="5" xr3:uid="{CC4E8ED1-10B1-497F-85BB-B21C5930A734}" name="N Urban Runoff Coefficient (kg/ha/yr)" dataDxfId="32"/>
    <tableColumn id="6" xr3:uid="{8AA02858-4B6E-42E1-8EB2-D3C4BAB72698}" name="Residential P export coefficient (kg/ha/yr)" dataDxfId="31"/>
    <tableColumn id="7" xr3:uid="{24BE5444-EEC8-44A1-8B49-79261DDC1D84}" name="Commercial / industrial P export coefficient (kg/ha/yr)" dataDxfId="30"/>
    <tableColumn id="8" xr3:uid="{3D907FB1-AFBD-4D65-A7C1-7FCBDBA7E010}" name="Open urban P export coefficient (kg/ha/yr)" dataDxfId="29"/>
    <tableColumn id="9" xr3:uid="{659D953B-CEE1-475B-B79F-09EDE2124F89}" name="Residential P export coefficient (kg/ha/yr)2" dataDxfId="28"/>
    <tableColumn id="10" xr3:uid="{B077E248-9579-43F2-9FD4-BCCA722D6FC1}" name="Commercial / industrial P export coefficient (kg/ha/yr)3" dataDxfId="27"/>
    <tableColumn id="11" xr3:uid="{106BF2CF-BA30-4A6D-AF89-E886BEBDE8D6}" name="Open urban P export coefficient (kg/ha/yr)4" dataDxfId="26"/>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21:M122" totalsRowShown="0" headerRowDxfId="25" dataDxfId="24">
  <autoFilter ref="A21:M122"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3"/>
    <tableColumn id="2" xr3:uid="{B8D75754-E7F8-4B85-993C-7907E45F1CAE}" name="Farmscoper Farm Term" dataDxfId="22"/>
    <tableColumn id="3" xr3:uid="{EC77A0A4-C437-4818-A316-7C71A29A7121}" name="NVZ" dataDxfId="21"/>
    <tableColumn id="4" xr3:uid="{B98F73F4-9677-4844-877F-8A359508FB3B}" name="Climate" dataDxfId="20"/>
    <tableColumn id="5" xr3:uid="{7C621915-7D3D-4055-8347-C883D9EE99FE}" name="Farmscoper Soil Drainage Term" dataDxfId="19"/>
    <tableColumn id="6" xr3:uid="{4C66E893-8377-439B-93D4-1CE695F419C9}" name="Lookup" dataDxfId="18">
      <calculatedColumnFormula>"|"&amp;"|"&amp;"|"&amp;E22</calculatedColumnFormula>
    </tableColumn>
    <tableColumn id="7" xr3:uid="{CF6B9BF0-3AFB-4049-8321-66DDFD8F9508}" name="Column3" dataDxfId="17"/>
    <tableColumn id="8" xr3:uid="{EBD2571A-6A4E-4448-BEB2-CCC5A7E48254}" name="Phosphorus export coefficient" dataDxfId="16"/>
    <tableColumn id="9" xr3:uid="{96CC571C-13E4-474B-8016-76B1B26E6BAE}" name="Farm Lookup" dataDxfId="15"/>
    <tableColumn id="10" xr3:uid="{511A3753-F9BA-45C6-B34A-6CC17D10251D}" name="Column1" dataDxfId="14"/>
    <tableColumn id="11" xr3:uid="{A4A4CA5F-B40A-4D96-B1F7-2F58E7D4D811}" name="Mean P export of farm type and climate combination" dataDxfId="13"/>
    <tableColumn id="12" xr3:uid="{6A6F3AA5-4A40-440E-9BBC-E26F5AF39750}" name="Column2" dataDxfId="12"/>
    <tableColumn id="13" xr3:uid="{EF05C3C7-DB49-4B8E-8C81-E6CFAC3E3633}" name="Mean P export of farm type" dataDxfId="11"/>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D18" totalsRowShown="0" headerRowDxfId="10" dataDxfId="8" headerRowBorderDxfId="9" tableBorderDxfId="7" totalsRowBorderDxfId="6">
  <autoFilter ref="A4:D18" xr:uid="{8297F6D2-7293-4422-8A67-AEAD142206BE}">
    <filterColumn colId="0" hiddenButton="1"/>
    <filterColumn colId="1" hiddenButton="1"/>
    <filterColumn colId="2" hiddenButton="1"/>
    <filterColumn colId="3" hiddenButton="1"/>
  </autoFilter>
  <tableColumns count="4">
    <tableColumn id="1" xr3:uid="{48A0BD24-7BCD-463A-B827-831E2B2C2D72}" name="Discharge Site Name" dataDxfId="5"/>
    <tableColumn id="2" xr3:uid="{1CC474C8-63E1-4F68-A098-5E908E40DA49}" name="Phosphorus, Total as P (mg/l)" dataDxfId="4"/>
    <tableColumn id="3" xr3:uid="{2E3488FB-E48E-4A15-AFE7-EF2D95C19F27}" name="Phosphorus, Total as P (mg/l), permit post 2025" dataDxfId="3"/>
    <tableColumn id="4" xr3:uid="{94BDE985-E688-430A-9815-4EDF1FE7157B}" name="Phosphorus, Total as P (mg/l), permit post 2030" dataDxfId="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8D863E-6618-40D4-A9A4-3D363C216863}" name="Table_2_Links4" displayName="Table_2_Links4" ref="A42:A46" totalsRowShown="0" headerRowDxfId="112" dataDxfId="110" headerRowBorderDxfId="111" tableBorderDxfId="109" totalsRowBorderDxfId="108">
  <autoFilter ref="A42:A46" xr:uid="{64981484-4795-461F-A3C7-626CD012A06C}">
    <filterColumn colId="0" hiddenButton="1"/>
  </autoFilter>
  <tableColumns count="1">
    <tableColumn id="1" xr3:uid="{F955E827-6C2D-4DAA-893A-D0A3AA8CBF38}" name="Description of the information:" dataDxfId="107"/>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2" totalsRowShown="0" headerRowDxfId="106" dataDxfId="104" headerRowBorderDxfId="105" tableBorderDxfId="103" totalsRowBorderDxfId="102">
  <autoFilter ref="A4:C12" xr:uid="{A1B5B190-0D99-4438-A727-7A56D64D1229}">
    <filterColumn colId="0" hiddenButton="1"/>
    <filterColumn colId="1" hiddenButton="1"/>
    <filterColumn colId="2" hiddenButton="1"/>
  </autoFilter>
  <tableColumns count="3">
    <tableColumn id="1" xr3:uid="{CB73BF63-0885-411C-A54D-2DF95FDFC003}" name="Description of required information" dataDxfId="101"/>
    <tableColumn id="2" xr3:uid="{D22CDBE7-9B75-4248-A951-0D061DAA9F1C}" name="Data entry column - user inputs required" dataDxfId="100"/>
    <tableColumn id="4" xr3:uid="{20424A8D-23FA-4C1D-B394-6A4A0726E8D6}" name="Additional data entry column - user inputs may be required" dataDxfId="99"/>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4:B22" totalsRowShown="0" headerRowDxfId="98" dataDxfId="96" headerRowBorderDxfId="97" tableBorderDxfId="95">
  <autoFilter ref="A14:B22" xr:uid="{B50C45A2-2A77-478E-B226-DC5B3B2EA72E}">
    <filterColumn colId="0" hiddenButton="1"/>
    <filterColumn colId="1" hiddenButton="1"/>
  </autoFilter>
  <tableColumns count="2">
    <tableColumn id="1" xr3:uid="{FA8C78F6-50A3-498F-8975-6D1EC817B86B}" name="Description of values generated" dataDxfId="94"/>
    <tableColumn id="2" xr3:uid="{150A0AA5-FDF2-4BA1-A9A8-36A566F3E6CC}" name="Values generated" dataDxfId="93"/>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92" dataDxfId="90" headerRowBorderDxfId="91" tableBorderDxfId="89" totalsRowBorderDxfId="88">
  <autoFilter ref="A4:B8" xr:uid="{E51AE02F-7B0C-4640-BEBD-8FD46432F29C}">
    <filterColumn colId="0" hiddenButton="1"/>
    <filterColumn colId="1" hiddenButton="1"/>
  </autoFilter>
  <tableColumns count="2">
    <tableColumn id="1" xr3:uid="{C513A266-837A-4378-8552-D156135B549F}" name="Description of required information" dataDxfId="87"/>
    <tableColumn id="2" xr3:uid="{9FEADC6D-D9F7-40A8-AB95-390DAB627A00}" name="Data entry column - user inputs required" dataDxfId="86"/>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D28" totalsRowShown="0" headerRowDxfId="85" dataDxfId="83" headerRowBorderDxfId="84" tableBorderDxfId="82" totalsRowBorderDxfId="81">
  <autoFilter ref="A10:D28" xr:uid="{2F2DD0FD-3B2D-41B9-B376-162F1F698B17}">
    <filterColumn colId="0" hiddenButton="1"/>
    <filterColumn colId="1" hiddenButton="1"/>
    <filterColumn colId="2" hiddenButton="1"/>
    <filterColumn colId="3" hiddenButton="1"/>
  </autoFilter>
  <tableColumns count="4">
    <tableColumn id="1" xr3:uid="{2FA17B9E-8276-4D3C-A7AA-EA01ABD0CACA}" name="Existing land use type(s) - user inputs required" dataDxfId="80"/>
    <tableColumn id="2" xr3:uid="{DA6AF240-7DDF-40CC-B3C9-0A6C10900A68}" name="Area (ha) - user inputs required" dataDxfId="79"/>
    <tableColumn id="4" xr3:uid="{D46D9DE3-2913-45A9-81EF-5C0B16A60B70}" name="Annual phosphorus export  _x000a_(kg TP/yr)" dataDxfId="78"/>
    <tableColumn id="5" xr3:uid="{B35F3CE8-F7D9-4526-B8D6-064B09EE0E77}" name="Notes on data" dataDxfId="77"/>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C22" totalsRowShown="0" headerRowDxfId="76" dataDxfId="75">
  <autoFilter ref="A4:C22" xr:uid="{4057B598-0CAB-42EF-BD1C-CD9464EFF558}">
    <filterColumn colId="0" hiddenButton="1"/>
    <filterColumn colId="1" hiddenButton="1"/>
    <filterColumn colId="2" hiddenButton="1"/>
  </autoFilter>
  <tableColumns count="3">
    <tableColumn id="1" xr3:uid="{E733CC69-D292-417A-89E1-BDB32D6E70AE}" name="New land use type(s) - user inputs required" dataDxfId="74"/>
    <tableColumn id="2" xr3:uid="{2BF0443C-5885-452F-9860-409F1647E1C1}" name="Area (ha) - user inputs required" dataDxfId="73"/>
    <tableColumn id="4" xr3:uid="{D4EA72A6-0C9C-4A1E-8AAC-10EB38F195A8}" name="Annual phosphorus export_x000a_(kg TP/yr)" dataDxfId="72"/>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H30" totalsRowShown="0" headerRowDxfId="71" dataDxfId="70">
  <autoFilter ref="A4:H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DF9EA9-1FAE-44BF-9739-66E3DB42A5C2}" name="New land use type(s) within SuDS catchment area - user inputs required" dataDxfId="69"/>
    <tableColumn id="2" xr3:uid="{72D29FD7-7898-4191-A97D-55B2AC2A6039}" name="SuDS catchment area (ha) - user inputs required" dataDxfId="68"/>
    <tableColumn id="10" xr3:uid="{C118AB6C-A0C7-46A0-B4D4-823E8172F281}" name="Percentage of flow entering the SuDS (%) - user inputs required" dataDxfId="67"/>
    <tableColumn id="4" xr3:uid="{C9DF269B-9235-47CA-9628-CA0EAEA7E887}" name="Annual phosphorus inputs to SuDS feature(s)_x000a_(kg T/yr)" dataDxfId="66">
      <calculatedColumnFormula>IFERROR(IF(ISBLANK(A5),"",IF(ISBLANK(B5),"",VLOOKUP(A5,Nutrients_from_future_land_use!$A$5:$C$21,4,FALSE)*(B5/VLOOKUP(A5,Nutrients_from_future_land_use!$A$5:$C$21,2,FALSE)))),"")</calculatedColumnFormula>
    </tableColumn>
    <tableColumn id="5" xr3:uid="{95439CAD-05D0-4028-94D4-451B848D06FE}" name="Name of SuDS feature(s) - user inputs required" dataDxfId="65"/>
    <tableColumn id="8" xr3:uid="{6CE040BE-33E5-44DA-B389-E1BC789E21E5}" name="TP removal rate for features - user specified (%) - user inputs required" dataDxfId="64">
      <calculatedColumnFormula>IF(OR(#REF!="No",ISBLANK(#REF!)),"",IF(#REF!="Yes","","TN removal rate - user specified (%)"))</calculatedColumnFormula>
    </tableColumn>
    <tableColumn id="14" xr3:uid="{1156F97A-C06E-4041-A8E9-274F94CC02BE}" name="Annual phosphorus load removed by SuDS_x000a_(kg TP/yr)" dataDxfId="63"/>
    <tableColumn id="6" xr3:uid="{E06A970A-6835-4E49-9119-FEAF7BC8D4A0}" name="Notes on data" dataDxfId="62">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14" totalsRowShown="0" headerRowDxfId="61" dataDxfId="59" headerRowBorderDxfId="60" tableBorderDxfId="58" totalsRowBorderDxfId="57">
  <autoFilter ref="A4:B14" xr:uid="{A0BD0106-977A-4B15-9C53-C66CDF6772BD}">
    <filterColumn colId="0" hiddenButton="1"/>
    <filterColumn colId="1" hiddenButton="1"/>
  </autoFilter>
  <tableColumns count="2">
    <tableColumn id="1" xr3:uid="{31004191-352C-44A7-A242-30E88F4CD5ED}" name="Description of values generated" dataDxfId="56"/>
    <tableColumn id="2" xr3:uid="{C357CE45-1FD7-4EF9-804B-579D3A1CC1A7}" name="Values generated" dataDxfId="55"/>
  </tableColumns>
  <tableStyleInfo name="Table Style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uidance/using-the-nutrient-neutrality-calculators"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2" Type="http://schemas.openxmlformats.org/officeDocument/2006/relationships/hyperlink" Target="http://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2.xml"/><Relationship Id="rId5" Type="http://schemas.openxmlformats.org/officeDocument/2006/relationships/hyperlink" Target="https://www.gov.uk/guidance/using-the-nutrient-neutrality-calculators" TargetMode="External"/><Relationship Id="rId10" Type="http://schemas.openxmlformats.org/officeDocument/2006/relationships/table" Target="../tables/table1.xml"/><Relationship Id="rId4" Type="http://schemas.openxmlformats.org/officeDocument/2006/relationships/hyperlink" Target="https://nrfa.ceh.ac.uk/data/station/spatial/49001"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AE767-893D-46CA-8A06-FB4FB07BCC84}">
  <dimension ref="A1:B68"/>
  <sheetViews>
    <sheetView tabSelected="1" zoomScaleNormal="100" workbookViewId="0"/>
  </sheetViews>
  <sheetFormatPr defaultColWidth="8.81640625" defaultRowHeight="15.5" x14ac:dyDescent="0.35"/>
  <cols>
    <col min="1" max="1" width="124.26953125" style="6" customWidth="1"/>
    <col min="2" max="2" width="44.81640625" style="6" customWidth="1"/>
    <col min="3" max="207" width="8.54296875" style="6" customWidth="1"/>
    <col min="208" max="16384" width="8.81640625" style="6"/>
  </cols>
  <sheetData>
    <row r="1" spans="1:2" ht="50.5" customHeight="1" x14ac:dyDescent="0.35">
      <c r="A1" s="5" t="s">
        <v>0</v>
      </c>
    </row>
    <row r="2" spans="1:2" ht="23.5" customHeight="1" x14ac:dyDescent="0.35">
      <c r="A2" s="112" t="s">
        <v>1</v>
      </c>
    </row>
    <row r="3" spans="1:2" ht="24" customHeight="1" x14ac:dyDescent="0.35">
      <c r="A3" s="7" t="s">
        <v>2</v>
      </c>
    </row>
    <row r="4" spans="1:2" ht="23.15" customHeight="1" x14ac:dyDescent="0.35">
      <c r="A4" s="7" t="s">
        <v>3</v>
      </c>
    </row>
    <row r="5" spans="1:2" ht="26.25" customHeight="1" x14ac:dyDescent="0.35">
      <c r="A5" s="7" t="s">
        <v>4</v>
      </c>
    </row>
    <row r="6" spans="1:2" ht="26.25" customHeight="1" x14ac:dyDescent="0.35">
      <c r="A6" s="7" t="s">
        <v>5</v>
      </c>
    </row>
    <row r="7" spans="1:2" ht="39.65" customHeight="1" x14ac:dyDescent="0.35">
      <c r="A7" s="7" t="s">
        <v>6</v>
      </c>
    </row>
    <row r="8" spans="1:2" ht="40.5" customHeight="1" x14ac:dyDescent="0.35">
      <c r="A8" s="7" t="s">
        <v>7</v>
      </c>
    </row>
    <row r="9" spans="1:2" ht="37.5" customHeight="1" x14ac:dyDescent="0.35">
      <c r="A9" s="8" t="s">
        <v>8</v>
      </c>
    </row>
    <row r="10" spans="1:2" ht="37.5" customHeight="1" x14ac:dyDescent="0.35">
      <c r="A10" s="9" t="s">
        <v>9</v>
      </c>
      <c r="B10" s="10" t="s">
        <v>10</v>
      </c>
    </row>
    <row r="11" spans="1:2" ht="20.149999999999999" customHeight="1" x14ac:dyDescent="0.35">
      <c r="A11" s="7" t="s">
        <v>11</v>
      </c>
      <c r="B11" s="11" t="s">
        <v>12</v>
      </c>
    </row>
    <row r="12" spans="1:2" ht="20.149999999999999" customHeight="1" x14ac:dyDescent="0.35">
      <c r="A12" s="7" t="s">
        <v>13</v>
      </c>
      <c r="B12" s="11" t="s">
        <v>14</v>
      </c>
    </row>
    <row r="13" spans="1:2" ht="20.149999999999999" customHeight="1" x14ac:dyDescent="0.35">
      <c r="A13" s="7" t="s">
        <v>15</v>
      </c>
      <c r="B13" s="11" t="s">
        <v>16</v>
      </c>
    </row>
    <row r="14" spans="1:2" ht="20.149999999999999" customHeight="1" x14ac:dyDescent="0.35">
      <c r="A14" s="7" t="s">
        <v>17</v>
      </c>
      <c r="B14" s="11" t="s">
        <v>18</v>
      </c>
    </row>
    <row r="15" spans="1:2" ht="20.149999999999999" customHeight="1" x14ac:dyDescent="0.35">
      <c r="A15" s="7" t="s">
        <v>19</v>
      </c>
      <c r="B15" s="11" t="s">
        <v>20</v>
      </c>
    </row>
    <row r="16" spans="1:2" ht="37.5" customHeight="1" x14ac:dyDescent="0.35">
      <c r="A16" s="8" t="s">
        <v>21</v>
      </c>
      <c r="B16" s="12"/>
    </row>
    <row r="17" spans="1:2" ht="20.25" customHeight="1" x14ac:dyDescent="0.35">
      <c r="A17" s="7" t="s">
        <v>22</v>
      </c>
      <c r="B17" s="12"/>
    </row>
    <row r="18" spans="1:2" ht="36.75" customHeight="1" x14ac:dyDescent="0.35">
      <c r="A18" s="7" t="s">
        <v>23</v>
      </c>
      <c r="B18" s="12"/>
    </row>
    <row r="19" spans="1:2" ht="36.75" customHeight="1" x14ac:dyDescent="0.35">
      <c r="A19" s="7" t="s">
        <v>24</v>
      </c>
      <c r="B19" s="12"/>
    </row>
    <row r="20" spans="1:2" ht="67.5" customHeight="1" x14ac:dyDescent="0.35">
      <c r="A20" s="7" t="s">
        <v>25</v>
      </c>
    </row>
    <row r="21" spans="1:2" ht="33" customHeight="1" x14ac:dyDescent="0.35">
      <c r="A21" s="7" t="s">
        <v>26</v>
      </c>
    </row>
    <row r="22" spans="1:2" ht="25.5" customHeight="1" x14ac:dyDescent="0.35">
      <c r="A22" s="11" t="s">
        <v>27</v>
      </c>
    </row>
    <row r="23" spans="1:2" ht="22.5" customHeight="1" x14ac:dyDescent="0.35">
      <c r="A23" s="7" t="s">
        <v>28</v>
      </c>
    </row>
    <row r="24" spans="1:2" ht="31" x14ac:dyDescent="0.35">
      <c r="A24" s="7" t="s">
        <v>29</v>
      </c>
    </row>
    <row r="25" spans="1:2" ht="37.5" customHeight="1" x14ac:dyDescent="0.35">
      <c r="A25" s="7" t="s">
        <v>30</v>
      </c>
    </row>
    <row r="26" spans="1:2" ht="54" customHeight="1" x14ac:dyDescent="0.35">
      <c r="A26" s="113" t="s">
        <v>31</v>
      </c>
    </row>
    <row r="27" spans="1:2" ht="38.5" customHeight="1" x14ac:dyDescent="0.35">
      <c r="A27" s="7" t="s">
        <v>32</v>
      </c>
    </row>
    <row r="28" spans="1:2" ht="37.5" customHeight="1" x14ac:dyDescent="0.35">
      <c r="A28" s="8" t="s">
        <v>33</v>
      </c>
    </row>
    <row r="29" spans="1:2" ht="22.5" customHeight="1" x14ac:dyDescent="0.35">
      <c r="A29" s="7" t="s">
        <v>34</v>
      </c>
    </row>
    <row r="30" spans="1:2" ht="50.25" customHeight="1" x14ac:dyDescent="0.35">
      <c r="A30" s="7" t="s">
        <v>35</v>
      </c>
    </row>
    <row r="31" spans="1:2" ht="51.75" customHeight="1" x14ac:dyDescent="0.35">
      <c r="A31" s="7" t="s">
        <v>36</v>
      </c>
    </row>
    <row r="32" spans="1:2" ht="161.5" customHeight="1" x14ac:dyDescent="0.35">
      <c r="A32" s="7" t="s">
        <v>37</v>
      </c>
    </row>
    <row r="33" spans="1:2" ht="53.15" customHeight="1" x14ac:dyDescent="0.35">
      <c r="A33" s="7" t="s">
        <v>38</v>
      </c>
    </row>
    <row r="34" spans="1:2" ht="43.5" customHeight="1" x14ac:dyDescent="0.35">
      <c r="A34" s="7" t="s">
        <v>39</v>
      </c>
    </row>
    <row r="35" spans="1:2" ht="40" customHeight="1" x14ac:dyDescent="0.35">
      <c r="A35" s="7" t="s">
        <v>40</v>
      </c>
    </row>
    <row r="36" spans="1:2" ht="156.65" customHeight="1" x14ac:dyDescent="0.35">
      <c r="A36" s="7" t="s">
        <v>41</v>
      </c>
    </row>
    <row r="37" spans="1:2" ht="37.5" customHeight="1" x14ac:dyDescent="0.35">
      <c r="A37" s="8" t="s">
        <v>42</v>
      </c>
    </row>
    <row r="38" spans="1:2" ht="79.5" customHeight="1" x14ac:dyDescent="0.35">
      <c r="A38" s="7" t="s">
        <v>43</v>
      </c>
    </row>
    <row r="39" spans="1:2" ht="72" customHeight="1" x14ac:dyDescent="0.35">
      <c r="A39" s="11" t="s">
        <v>44</v>
      </c>
    </row>
    <row r="40" spans="1:2" ht="29.15" customHeight="1" x14ac:dyDescent="0.35">
      <c r="A40" s="11" t="s">
        <v>45</v>
      </c>
    </row>
    <row r="41" spans="1:2" ht="37" customHeight="1" x14ac:dyDescent="0.35">
      <c r="A41" s="8" t="s">
        <v>46</v>
      </c>
    </row>
    <row r="42" spans="1:2" ht="37.5" customHeight="1" x14ac:dyDescent="0.35">
      <c r="A42" s="9" t="s">
        <v>47</v>
      </c>
      <c r="B42" s="13"/>
    </row>
    <row r="43" spans="1:2" ht="41.5" customHeight="1" x14ac:dyDescent="0.35">
      <c r="A43" s="113" t="s">
        <v>48</v>
      </c>
      <c r="B43" s="14"/>
    </row>
    <row r="44" spans="1:2" ht="27" customHeight="1" x14ac:dyDescent="0.35">
      <c r="A44" s="113" t="s">
        <v>49</v>
      </c>
      <c r="B44" s="14"/>
    </row>
    <row r="45" spans="1:2" ht="42.65" customHeight="1" x14ac:dyDescent="0.35">
      <c r="A45" s="132" t="s">
        <v>50</v>
      </c>
      <c r="B45" s="14"/>
    </row>
    <row r="46" spans="1:2" ht="41.5" customHeight="1" x14ac:dyDescent="0.35">
      <c r="A46" s="114" t="s">
        <v>51</v>
      </c>
      <c r="B46" s="14"/>
    </row>
    <row r="47" spans="1:2" ht="37" customHeight="1" x14ac:dyDescent="0.35">
      <c r="A47" s="8" t="s">
        <v>52</v>
      </c>
    </row>
    <row r="48" spans="1:2" ht="56.5" customHeight="1" x14ac:dyDescent="0.35">
      <c r="A48" s="7" t="s">
        <v>53</v>
      </c>
    </row>
    <row r="49" spans="1:1" ht="208" customHeight="1" x14ac:dyDescent="0.35">
      <c r="A49" s="7" t="s">
        <v>54</v>
      </c>
    </row>
    <row r="50" spans="1:1" ht="29.15" customHeight="1" x14ac:dyDescent="0.35">
      <c r="A50" s="16" t="s">
        <v>55</v>
      </c>
    </row>
    <row r="51" spans="1:1" ht="35.5" customHeight="1" x14ac:dyDescent="0.35">
      <c r="A51" s="8" t="s">
        <v>56</v>
      </c>
    </row>
    <row r="52" spans="1:1" ht="36.75" customHeight="1" x14ac:dyDescent="0.35">
      <c r="A52" s="7" t="s">
        <v>57</v>
      </c>
    </row>
    <row r="53" spans="1:1" ht="226" customHeight="1" x14ac:dyDescent="0.35">
      <c r="A53" s="7" t="s">
        <v>58</v>
      </c>
    </row>
    <row r="54" spans="1:1" ht="37.5" customHeight="1" x14ac:dyDescent="0.35">
      <c r="A54" s="8" t="s">
        <v>59</v>
      </c>
    </row>
    <row r="55" spans="1:1" ht="25.5" customHeight="1" x14ac:dyDescent="0.35">
      <c r="A55" s="7" t="s">
        <v>60</v>
      </c>
    </row>
    <row r="56" spans="1:1" ht="23.25" customHeight="1" x14ac:dyDescent="0.35">
      <c r="A56" s="7" t="s">
        <v>61</v>
      </c>
    </row>
    <row r="57" spans="1:1" ht="39" customHeight="1" x14ac:dyDescent="0.35">
      <c r="A57" s="7" t="s">
        <v>62</v>
      </c>
    </row>
    <row r="68" spans="1:1" x14ac:dyDescent="0.35">
      <c r="A68" s="15"/>
    </row>
  </sheetData>
  <sheetProtection algorithmName="SHA-512" hashValue="1QVwIGPlNogkEHdM6x/8+NNxpSxeEevigKkrAQZ9lmWp2aCmJxXRHD5VYz/BvjofFR5HxV24rvG3uS+t3+F51A==" saltValue="9Hw02xNvBr+GhMwme/8yVA==" spinCount="100000" sheet="1" objects="1" scenarios="1"/>
  <hyperlinks>
    <hyperlink ref="A26" r:id="rId1" display="https://www.gov.uk/guidance/habitats-regulations-assessments-protecting-a-european-site" xr:uid="{1EDC1A81-6777-4078-B45C-EC00F0C49AAC}"/>
    <hyperlink ref="A43" r:id="rId2" display="http://environment.data.gov.uk/catchment-planning/" xr:uid="{FD509D32-EA85-4C81-A30C-92057811C001}"/>
    <hyperlink ref="A44" r:id="rId3" location="." display="https://www.landis.org.uk/soilscapes/ - ." xr:uid="{C975D16F-04E6-413B-9B0E-9A048A53AC3E}"/>
    <hyperlink ref="A45" r:id="rId4" xr:uid="{924BEF43-F6DE-4D1C-92CD-E51413280336}"/>
    <hyperlink ref="A22" r:id="rId5" xr:uid="{389423FF-7AF3-4C87-A6A1-9253674EC26E}"/>
    <hyperlink ref="A40" r:id="rId6" xr:uid="{5F9A32EC-3423-491E-A26C-F5C100A13B41}"/>
    <hyperlink ref="A39" r:id="rId7" display="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 xr:uid="{F0FAFB80-F2AA-4001-B702-B9DF4C394334}"/>
    <hyperlink ref="B11" location="Nutrients_from_wastewater!A1" display="Nutrients from wastewater" xr:uid="{D622137D-55C7-4CDC-823F-703D113AC081}"/>
    <hyperlink ref="B12" location="Nutrients_from_current_land_use!A1" display="Nutrients from current land use" xr:uid="{BB96EDDA-4FA6-4C05-A690-292281B8659B}"/>
    <hyperlink ref="B13" location="Nutrients_from_future_land_use!A1" display="Nutrients from future land use" xr:uid="{EB541BED-4586-4E63-8DA4-DAF2CEE064A2}"/>
    <hyperlink ref="B14" location="SuDS!A1" display="SuDS" xr:uid="{C650A168-18AC-4D60-BC58-E554C225A454}"/>
    <hyperlink ref="B15" location="Final_nutrient_budgets!A1" display="Final_nutrient_budgets" xr:uid="{25A718A9-C802-4C1C-A642-C59A2853E56B}"/>
    <hyperlink ref="A50" r:id="rId8" xr:uid="{C23FA76E-3ADE-40CE-8CF5-F50BB3BE414C}"/>
  </hyperlinks>
  <pageMargins left="0.7" right="0.7" top="0.75" bottom="0.75" header="0.3" footer="0.3"/>
  <pageSetup paperSize="9" orientation="portrait" r:id="rId9"/>
  <tableParts count="2">
    <tablePart r:id="rId10"/>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E22"/>
  <sheetViews>
    <sheetView zoomScaleNormal="100" workbookViewId="0"/>
  </sheetViews>
  <sheetFormatPr defaultColWidth="8.81640625" defaultRowHeight="14.5" x14ac:dyDescent="0.35"/>
  <cols>
    <col min="1" max="1" width="120.81640625" style="17" customWidth="1"/>
    <col min="2" max="2" width="33.54296875" style="17" customWidth="1"/>
    <col min="3" max="3" width="26.1796875" style="17" customWidth="1"/>
    <col min="4" max="6" width="30.54296875" style="17" customWidth="1"/>
    <col min="7" max="360" width="8.54296875" style="17" customWidth="1"/>
    <col min="361" max="16384" width="8.81640625" style="17"/>
  </cols>
  <sheetData>
    <row r="1" spans="1:5" ht="50.25" customHeight="1" x14ac:dyDescent="0.35">
      <c r="A1" s="5" t="s">
        <v>12</v>
      </c>
    </row>
    <row r="2" spans="1:5" ht="409.5" customHeight="1" x14ac:dyDescent="0.35">
      <c r="A2" s="124" t="s">
        <v>63</v>
      </c>
    </row>
    <row r="3" spans="1:5" ht="51.65" customHeight="1" x14ac:dyDescent="0.35">
      <c r="A3" s="8" t="s">
        <v>64</v>
      </c>
      <c r="B3" s="15"/>
      <c r="C3" s="6"/>
    </row>
    <row r="4" spans="1:5" ht="46.5" x14ac:dyDescent="0.35">
      <c r="A4" s="1" t="s">
        <v>65</v>
      </c>
      <c r="B4" s="2" t="s">
        <v>66</v>
      </c>
      <c r="C4" s="2" t="s">
        <v>67</v>
      </c>
    </row>
    <row r="5" spans="1:5" ht="24.65" customHeight="1" x14ac:dyDescent="0.35">
      <c r="A5" s="18" t="s">
        <v>68</v>
      </c>
      <c r="B5" s="29"/>
      <c r="C5" s="19"/>
    </row>
    <row r="6" spans="1:5" ht="24.65" customHeight="1" x14ac:dyDescent="0.35">
      <c r="A6" s="18" t="s">
        <v>69</v>
      </c>
      <c r="B6" s="30">
        <v>2.4</v>
      </c>
      <c r="C6" s="19"/>
    </row>
    <row r="7" spans="1:5" ht="24.65" customHeight="1" x14ac:dyDescent="0.35">
      <c r="A7" s="18" t="s">
        <v>70</v>
      </c>
      <c r="B7" s="31">
        <v>120</v>
      </c>
      <c r="C7" s="19"/>
    </row>
    <row r="8" spans="1:5" ht="24.65" customHeight="1" x14ac:dyDescent="0.35">
      <c r="A8" s="18" t="s">
        <v>71</v>
      </c>
      <c r="B8" s="31"/>
      <c r="C8" s="19"/>
    </row>
    <row r="9" spans="1:5" ht="39.65" customHeight="1" x14ac:dyDescent="0.35">
      <c r="A9" s="18" t="s">
        <v>72</v>
      </c>
      <c r="B9" s="31" t="s">
        <v>129</v>
      </c>
      <c r="C9" s="19"/>
    </row>
    <row r="10" spans="1:5" ht="24.65" customHeight="1" x14ac:dyDescent="0.35">
      <c r="A10" s="18" t="s">
        <v>73</v>
      </c>
      <c r="B10" s="117">
        <f>IFERROR(IF(OR(B9="Package Treatment Plant user defined",B9="Septic Tank user defined"),"Enter value in cell C10",IF(AND(B5&lt;DATE(2025,1,1)),VLOOKUP(B9,Value_look_up_tables!$A$5:$J$18,2,FALSE),IF(AND(B5&lt;DATE(2025,1,1)),VLOOKUP(B9,Value_look_up_tables!$A$5:$J$18,2,FALSE),IF(AND(B5&lt;DATE(2030,4,1),B5&gt;=DATE(2025,1,1)),VLOOKUP(B9,Value_look_up_tables!$A$5:$J$18,3,FALSE),IF(AND(B5&lt;DATE(2030,4,1),B5&gt;=DATE(2025,1,1)),IF(AND(B5&lt;DATE(2030,4,1)),VLOOKUP(B9,Value_look_up_tables!$A$5:$J$18,2,FALSE),IF(AND(B5&lt;DATE(2030,4,1)),VLOOKUP(B9,Value_look_up_tables!$A$5:$J$18,3,FALSE),IF(AND(B5&gt;=DATE(2030,4,1)),VLOOKUP(B9,Value_look_up_tables!$A$5:$J$18,4,FALSE),IF(AND(B5&gt;=DATE(2030,4,1)),VLOOKUP(B9,Value_look_up_tables!$A$5:$J$18,4,FALSE),0)))),VLOOKUP(B9,Value_look_up_tables!$A$5:$J$18,4,FALSE)))))),0)</f>
        <v>8</v>
      </c>
      <c r="C10" s="131"/>
    </row>
    <row r="11" spans="1:5" ht="24.65" customHeight="1" x14ac:dyDescent="0.35">
      <c r="A11" s="18" t="str">
        <f>IFERROR(IF(AND($B$5&lt;DATE(2025,1,1),(VLOOKUP($B$9,Value_look_up_tables!$A$5:$E$16,2,FALSE))&gt;(VLOOKUP($B$9,Value_look_up_tables!$A$5:$E$16,3,FALSE))), "Post 2025 WwTW P permit (mg TP/litre):","Not applicable"),"Not applicable")</f>
        <v>Post 2025 WwTW P permit (mg TP/litre):</v>
      </c>
      <c r="B11" s="20">
        <f>IFERROR(IF(AND($B$5&lt;DATE(2025,1,1),(VLOOKUP($B$9,Value_look_up_tables!$A$5:$J$16,2,FALSE))&gt;(VLOOKUP($B$9,Value_look_up_tables!$A$5:$J$16,3,FALSE))),VLOOKUP(B9,Value_look_up_tables!$A$5:$J$19,3,FALSE),"Not applicable"),"Not applicable")</f>
        <v>2</v>
      </c>
      <c r="C11" s="19"/>
    </row>
    <row r="12" spans="1:5" ht="24.65" customHeight="1" x14ac:dyDescent="0.35">
      <c r="A12" s="21" t="str">
        <f>IFERROR(IF(AND($B$5&lt;DATE(2030,4,1),(VLOOKUP($B$9,Value_look_up_tables!$A$5:$J$16,3,FALSE))&gt;(VLOOKUP($B$9,Value_look_up_tables!$A$5:$J$16,4,FALSE))), "Post 2030 WwTW P permit (mg TP/litre):","Not applicable"),"Not applicable")</f>
        <v>Post 2030 WwTW P permit (mg TP/litre):</v>
      </c>
      <c r="B12" s="22">
        <f>IFERROR(IF(AND($B$5&lt;DATE(2030,4,1),(VLOOKUP($B$9,Value_look_up_tables!$A$5:$J$16,3,FALSE))&gt;(VLOOKUP($B$9,Value_look_up_tables!$A$5:$J$16,4,FALSE))), VLOOKUP(B9,Value_look_up_tables!$A$5:$J$19,4,FALSE),"Not applicable"),"Not applicable")</f>
        <v>0.25</v>
      </c>
      <c r="C12" s="23"/>
      <c r="E12" s="17" t="s">
        <v>74</v>
      </c>
    </row>
    <row r="13" spans="1:5" ht="37.5" customHeight="1" x14ac:dyDescent="0.35">
      <c r="A13" s="8" t="s">
        <v>75</v>
      </c>
      <c r="B13" s="6"/>
    </row>
    <row r="14" spans="1:5" ht="21" customHeight="1" x14ac:dyDescent="0.35">
      <c r="A14" s="32" t="s">
        <v>76</v>
      </c>
      <c r="B14" s="2" t="s">
        <v>77</v>
      </c>
      <c r="C14" s="24"/>
    </row>
    <row r="15" spans="1:5" ht="28.5" customHeight="1" x14ac:dyDescent="0.35">
      <c r="A15" s="33" t="str">
        <f>IFERROR(IF(AND($B$5&lt;DATE(2030,4,1),OR((VLOOKUP($B$9,Value_look_up_tables!$A$5:$J$16,3,FALSE))&gt;(VLOOKUP($B$9,Value_look_up_tables!$A$5:$J$16,4,FALSE)))),"Post-2030 wastewater nutrient Loading",IF(AND($B$5&lt;DATE(2025,1,1),OR((VLOOKUP($B$9,Value_look_up_tables!$A$5:$E$16,2,FALSE))&gt;(VLOOKUP($B$9,Value_look_up_tables!$A$5:$E$16,3,FALSE)))),"Post-2025 wastewater nutrient Loading","Wastewater nutrient loading")),IF(B10="Enter value in cell C10","Wastewater nutrient loading","Wastewater nutrient loading"))</f>
        <v>Post-2030 wastewater nutrient Loading</v>
      </c>
      <c r="B15" s="116"/>
    </row>
    <row r="16" spans="1:5" ht="23.25" customHeight="1" x14ac:dyDescent="0.35">
      <c r="A16" s="25" t="s">
        <v>78</v>
      </c>
      <c r="B16" s="115">
        <f>IF(ISBLANK(B8),0,B6*B8)</f>
        <v>0</v>
      </c>
    </row>
    <row r="17" spans="1:2" ht="23.25" customHeight="1" x14ac:dyDescent="0.35">
      <c r="A17" s="26" t="s">
        <v>79</v>
      </c>
      <c r="B17" s="42">
        <f>IFERROR(B16*B7,0)</f>
        <v>0</v>
      </c>
    </row>
    <row r="18" spans="1:2" ht="23.25" customHeight="1" x14ac:dyDescent="0.35">
      <c r="A18" s="26" t="s">
        <v>80</v>
      </c>
      <c r="B18" s="42">
        <f>IFERROR(ROUND(IF(ISNUMBER(B12),B12*B17*0.9/1000000*365.25,IF(ISNUMBER(B11),B11*B17*0.9/1000000*365.25,IF(B10="Enter value in cell C10",IF(AND(B10="Enter value in cell C10",ISNUMBER(C10)),B17*(IF(C10&lt;0,0,C10))/1000000*365.25, VLOOKUP((LEFT(B9,(LEN(B9)-13))&amp;" default"),Value_look_up_tables!$A$15:$C$16,3,FALSE)*B17/1000000*365.25),IF(OR(B9="Package Treatment Plant default",B9="Septic Tank default"),B10*B17/1000000*365.25,IF(B10=8,B10*B17/1000000*365.25,B10*B17*0.9/1000000*365.25))))),2),0)</f>
        <v>0</v>
      </c>
    </row>
    <row r="19" spans="1:2" ht="23.25" customHeight="1" x14ac:dyDescent="0.35">
      <c r="A19" s="34" t="str">
        <f>IFERROR(IF(AND($B$5&lt;DATE(2030,4,1),OR((VLOOKUP($B$9,Value_look_up_tables!$A$5:$J$16,3,FALSE))&gt;(VLOOKUP($B$9,Value_look_up_tables!$A$5:$J$16,4,FALSE)))),"Pre-2030 wastewater nutrient loading",IF(AND($B$5&lt;DATE(2025,1,1),OR((VLOOKUP($B$9,Value_look_up_tables!$A$5:$E$16,2,FALSE))&gt;(VLOOKUP($B$9,Value_look_up_tables!$A$5:$E$16,3,FALSE)))),IF(B18=B20,A15,"Pre-2025 wastewater nutrient loading"),"Not applicable")),"Not applicable")</f>
        <v>Pre-2030 wastewater nutrient loading</v>
      </c>
      <c r="B19" s="35"/>
    </row>
    <row r="20" spans="1:2" ht="23.25" customHeight="1" x14ac:dyDescent="0.35">
      <c r="A20" s="25" t="str">
        <f>IFERROR(IF(AND($B$5&lt;DATE(2030,4,1),OR((VLOOKUP($B$9,Value_look_up_tables!$A$5:$J$16,3,FALSE))&gt;(VLOOKUP($B$9,Value_look_up_tables!$A$5:$J$16,4,FALSE)),(VLOOKUP($B$9,Value_look_up_tables!$A$5:$J$16,2,FALSE))&gt;(VLOOKUP($B$9,Value_look_up_tables!$A$5:$J$16,4,FALSE)))),IF(AND(B11="Not applicable",B12="Not applicable"),"Not applicable","Annual wastewater TP load (kg TP/yr):"),"Not applicable"),"Not applicable")</f>
        <v>Annual wastewater TP load (kg TP/yr):</v>
      </c>
      <c r="B20" s="28">
        <f>IFERROR(ROUND(IF(AND($B$5&lt;DATE(2030,4,1),OR((VLOOKUP($B$9,Value_look_up_tables!$A$5:$J$16,3,FALSE))&gt;(VLOOKUP($B$9,Value_look_up_tables!$A$5:$J$16,4,FALSE)),(VLOOKUP($B$9,Value_look_up_tables!$A$5:$J$16,2,FALSE))&gt;(VLOOKUP($B$9,Value_look_up_tables!$A$5:$J$16,4,FALSE)))),IF(ISNUMBER(B11),IF(B11=8,(B11*B$17)/1000000*365.25,(B11*B$17*0.9)/1000000*365.25),IF(B10=8,(B10*B$17)/1000000*365.25,IF(AND(B11="Not applicable",B12="Not applicable"),"Not applicable",(B10*B$17*0.9)/1000000*365.25))),"Not applicable"),2),"Not applicable")</f>
        <v>0</v>
      </c>
    </row>
    <row r="21" spans="1:2" ht="23.25" customHeight="1" x14ac:dyDescent="0.35">
      <c r="A21" s="34" t="str">
        <f>IFERROR(IF(AND($B$5&lt;DATE(2025,1,1),$B$5&lt;DATE(2030,4,1),OR((VLOOKUP($B$9,Value_look_up_tables!$A$5:$J$16,3,FALSE))&gt;(VLOOKUP($B$9,Value_look_up_tables!$A$5:$J$16,4,FALSE)))),IF(AND(B22="Not applicable"),"Not applicable","Pre-2025 wastewater nutrient loading"),IF(AND($B$5&lt;DATE(2025,1,1),OR((VLOOKUP($B$9,Value_look_up_tables!$A$5:$E$16,2,FALSE))&gt;(VLOOKUP($B$9,Value_look_up_tables!$A$5:$E$16,3,FALSE)))),IF(LEFT(A19,9)="Post-2025","Pre-2025 wastewater nutrient loading","wastewater nutrient loading "),"Not applicable")),"Not applicable")</f>
        <v>Pre-2025 wastewater nutrient loading</v>
      </c>
      <c r="B21" s="35"/>
    </row>
    <row r="22" spans="1:2" ht="23.25" customHeight="1" x14ac:dyDescent="0.35">
      <c r="A22" s="25" t="str">
        <f>IFERROR(IF(AND($B$5&lt;DATE(2025,1,1),OR((VLOOKUP($B$9,Value_look_up_tables!$A$5:$E$16,2,FALSE))&gt;(VLOOKUP($B$9,Value_look_up_tables!$A$5:$E$16,3,FALSE)),(VLOOKUP($B$9,Value_look_up_tables!$A$5:$E$16,2,FALSE))&gt;(VLOOKUP($B$9,Value_look_up_tables!$A$5:$E$16,3,FALSE)))),"Annual wastewater TP load (kg TP/yr):","Not applicable"),"Not applicable")</f>
        <v>Annual wastewater TP load (kg TP/yr):</v>
      </c>
      <c r="B22" s="27">
        <f>IFERROR(ROUND(IF(AND($B$5&lt;DATE(2025,1,1),$B$5&lt;DATE(2030,4,1),OR((VLOOKUP($B$9,Value_look_up_tables!$A$5:$J$16,3,FALSE))&gt;(VLOOKUP($B$9,Value_look_up_tables!$A$5:$J$16,4,FALSE)),(VLOOKUP($B$9,Value_look_up_tables!$A$5:$J$16,2,FALSE))&gt;(VLOOKUP($B$9,Value_look_up_tables!$A$5:$J$16,3,FALSE)))),IF(ISNUMBER(B11),IF(B10=8,(B10*B$17)/1000000*365.25,(B10*B$17*0.9)/1000000*365.25),IF(B11=8,(B11*B$17)/1000000*365.25,(B11*B$17*0.9)/1000000*365.25)),"Not applicable"),2),"Not applicable")</f>
        <v>0</v>
      </c>
    </row>
  </sheetData>
  <sheetProtection algorithmName="SHA-512" hashValue="YqpW6H14tP02vRlm/Z83qRh+mAIMtZlWFr8LPQ2c3r6ygIGmE3iNQ//tZDhMLLEr1hApTiQVvqLrNlYJoEZmmA==" saltValue="6Kt+bNgjQQz0puJph8D3PQ=="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9" type="noConversion"/>
  <conditionalFormatting sqref="C10">
    <cfRule type="expression" dxfId="1" priority="1">
      <formula>$B$10="Enter value in cell C10"</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Value_look_up_tables!$A$5:$A$18</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F30"/>
  <sheetViews>
    <sheetView zoomScaleNormal="100" workbookViewId="0"/>
  </sheetViews>
  <sheetFormatPr defaultColWidth="9.1796875" defaultRowHeight="14" x14ac:dyDescent="0.35"/>
  <cols>
    <col min="1" max="1" width="90.1796875" style="37" customWidth="1"/>
    <col min="2" max="2" width="27.26953125" style="37" customWidth="1"/>
    <col min="3" max="3" width="24.26953125" style="37" customWidth="1"/>
    <col min="4" max="4" width="124.7265625" style="37" customWidth="1"/>
    <col min="5" max="386" width="8.54296875" style="37" customWidth="1"/>
    <col min="387" max="16384" width="9.1796875" style="37"/>
  </cols>
  <sheetData>
    <row r="1" spans="1:6" ht="50.25" customHeight="1" x14ac:dyDescent="0.35">
      <c r="A1" s="5" t="s">
        <v>14</v>
      </c>
      <c r="B1" s="36"/>
      <c r="C1" s="36"/>
      <c r="D1" s="36"/>
    </row>
    <row r="2" spans="1:6" ht="409.5" customHeight="1" x14ac:dyDescent="0.35">
      <c r="A2" s="7" t="s">
        <v>81</v>
      </c>
      <c r="B2" s="36"/>
      <c r="C2" s="36"/>
      <c r="D2" s="36"/>
      <c r="E2" s="15"/>
      <c r="F2" s="6"/>
    </row>
    <row r="3" spans="1:6" ht="37.5" customHeight="1" x14ac:dyDescent="0.35">
      <c r="A3" s="8" t="s">
        <v>82</v>
      </c>
      <c r="B3" s="38"/>
      <c r="C3" s="38"/>
      <c r="E3" s="6"/>
      <c r="F3" s="6"/>
    </row>
    <row r="4" spans="1:6" ht="38.9" customHeight="1" x14ac:dyDescent="0.35">
      <c r="A4" s="4" t="s">
        <v>65</v>
      </c>
      <c r="B4" s="85" t="s">
        <v>66</v>
      </c>
      <c r="C4" s="38"/>
      <c r="E4" s="6"/>
      <c r="F4" s="6"/>
    </row>
    <row r="5" spans="1:6" ht="29.9" customHeight="1" x14ac:dyDescent="0.35">
      <c r="A5" s="18" t="s">
        <v>83</v>
      </c>
      <c r="B5" s="44"/>
      <c r="C5" s="6"/>
      <c r="D5" s="6"/>
      <c r="E5" s="6"/>
      <c r="F5" s="39"/>
    </row>
    <row r="6" spans="1:6" ht="29.9" customHeight="1" x14ac:dyDescent="0.35">
      <c r="A6" s="18" t="s">
        <v>84</v>
      </c>
      <c r="B6" s="45"/>
      <c r="C6" s="6"/>
      <c r="D6" s="6"/>
      <c r="E6" s="6"/>
      <c r="F6" s="6"/>
    </row>
    <row r="7" spans="1:6" ht="29.9" customHeight="1" x14ac:dyDescent="0.35">
      <c r="A7" s="18" t="s">
        <v>85</v>
      </c>
      <c r="B7" s="46"/>
      <c r="C7" s="6"/>
      <c r="D7" s="6"/>
      <c r="E7" s="6"/>
      <c r="F7" s="6"/>
    </row>
    <row r="8" spans="1:6" ht="29.9" customHeight="1" x14ac:dyDescent="0.35">
      <c r="A8" s="21" t="s">
        <v>86</v>
      </c>
      <c r="B8" s="47"/>
      <c r="C8" s="6"/>
      <c r="D8" s="6"/>
      <c r="E8" s="6"/>
      <c r="F8" s="6"/>
    </row>
    <row r="9" spans="1:6" ht="48" customHeight="1" x14ac:dyDescent="0.35">
      <c r="A9" s="8" t="s">
        <v>87</v>
      </c>
      <c r="B9" s="40"/>
      <c r="C9" s="6"/>
      <c r="D9" s="6"/>
      <c r="E9" s="6"/>
      <c r="F9" s="6"/>
    </row>
    <row r="10" spans="1:6" ht="66" customHeight="1" x14ac:dyDescent="0.35">
      <c r="A10" s="1" t="s">
        <v>88</v>
      </c>
      <c r="B10" s="2" t="s">
        <v>89</v>
      </c>
      <c r="C10" s="2" t="s">
        <v>90</v>
      </c>
      <c r="D10" s="2" t="s">
        <v>91</v>
      </c>
      <c r="E10" s="6"/>
      <c r="F10" s="39"/>
    </row>
    <row r="11" spans="1:6" ht="43" customHeight="1" x14ac:dyDescent="0.35">
      <c r="A11" s="48"/>
      <c r="B11" s="30"/>
      <c r="C11" s="50">
        <f>IF(OR(ISBLANK($A11),ISBLANK($B11),ISBLANK($B$6),ISBLANK($B$7)),0,IFERROR($B11*VLOOKUP((IF(OR($A11="Residential urban land",$A11="Commercial/industrial urban land",$A11="Open urban land",$A11="Greenspace",$A11="Community food growing",$A11="Woodland",$A11="Shrub", $A11="Water"), "|||"&amp;$A11, (VLOOKUP(Nutrients_from_current_land_use!$B$5,Value_look_up_tables!$A$152:$B$152,2,FALSE)&amp;"|"&amp;$A11&amp;"|"&amp;VLOOKUP(Nutrients_from_current_land_use!$B$8,Value_look_up_tables!$A$165:$B$166,2,FALSE)&amp;"|"&amp;VLOOKUP(Nutrients_from_current_land_use!$B$7,Value_look_up_tables!$A$126:$C$148,3,FALSE)&amp;"|"&amp;VLOOKUP($B$6,Value_look_up_tables!$A$156:$B$161,2,FALSE)))),Value_look_up_tables!$F$22:$H$122,3,FALSE),
IFERROR(IFERROR($B11*VLOOKUP($A11&amp;"|"&amp;VLOOKUP(Nutrients_from_current_land_use!$B$8,Value_look_up_tables!$A$165:$B$166,2,FALSE)&amp;"|"&amp;VLOOKUP(Nutrients_from_current_land_use!$B$7,Value_look_up_tables!$A$126:$C$148,3,FALSE)&amp;"|"&amp;VLOOKUP($B$6,Value_look_up_tables!$A$156:$B$161,2,FALSE),Value_look_up_tables!$F$22:$H$122,3,FALSE),IFERROR($B11*VLOOKUP($A11&amp;"|"&amp;"TRUE"&amp;"|"&amp;VLOOKUP(Nutrients_from_current_land_use!$B$7,Value_look_up_tables!$A$126:$C$148,3,FALSE)&amp;"|"&amp;VLOOKUP($B$6,Value_look_up_tables!$A$156:$B$161,2,FALSE),Value_look_up_tables!$F$22:$H$122,3,FALSE),$B11*VLOOKUP($A11&amp;"|"&amp;VLOOKUP(Nutrients_from_current_land_use!$B$8,Value_look_up_tables!$A$165:$B$166,2,FALSE)&amp;"|"&amp;VLOOKUP(Nutrients_from_current_land_use!$B$7,Value_look_up_tables!$A$126:$C$148,3,FALSE)&amp;"|"&amp;"DrainedArGr",Value_look_up_tables!$F$22:$H$122,3,FALSE))),IFERROR($B11*VLOOKUP($A11&amp;"|"&amp;VLOOKUP(Nutrients_from_current_land_use!$B$7,Value_look_up_tables!$A$126:$C$148,3,FALSE),Value_look_up_tables!$I$22:$K$114,3,FALSE),$B11*VLOOKUP($A11,Value_look_up_tables!$B$22:$M$114,12,FALSE)))))</f>
        <v>0</v>
      </c>
      <c r="D11" s="41" t="str">
        <f>IF(
OR(ISBLANK($A11),ISBLANK($B11),ISBLANK($B$6),ISBLANK($B$5),ISBLANK($B$7),$A11="Residential urban land",$A11="Commercial/industrial urban land",$A11="Open urban land",$A11="Greenspace",$A11="Community food growing",$A11="Woodland",$A11="Shrub",$A11="Water"),"Not applicable",IF(ISNUMBER(IFERROR($B11*VLOOKUP((IF(
OR($A11="Residential urban land",$A11="Commercial/industrial urban land",$A11="Open urban land",$A11="Greenspace",$A11="Community food growing",$A11="Woodland",$A11="Shrub",$A11="Water"),"|||"&amp;$A11,(VLOOKUP(Nutrients_from_current_land_use!$B$5,Value_look_up_tables!$A$152:$B$152,2,FALSE)&amp;"|"&amp;$A11&amp;"|"&amp;VLOOKUP(Nutrients_from_current_land_use!$B$8,Value_look_up_tables!$A$165:$B$166,2,FALSE)&amp;"|"&amp;VLOOKUP(Nutrients_from_current_land_use!$B$7,Value_look_up_tables!$A$126:$C$148,3,FALSE)&amp;"|"&amp;VLOOKUP($B$6,Value_look_up_tables!$A$156:$B$161,2,FALSE)))),Value_look_up_tables!$F$22:$H$122,3,FALSE),
IFERROR($B11*VLOOKUP($A11&amp;"|"&amp;VLOOKUP(Nutrients_from_current_land_use!$B$8,Value_look_up_tables!$A$165:$B$166,2,FALSE)&amp;"|"&amp;VLOOKUP(Nutrients_from_current_land_use!$B$7,Value_look_up_tables!$A$126:$C$148,3,FALSE)&amp;"|"&amp;VLOOKUP($B$6,Value_look_up_tables!$A$156:$B$161,2,FALSE),Value_look_up_tables!$F$22:$H$122,3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1" s="6"/>
      <c r="F11" s="6"/>
    </row>
    <row r="12" spans="1:6" ht="43" customHeight="1" x14ac:dyDescent="0.35">
      <c r="A12" s="48"/>
      <c r="B12" s="30"/>
      <c r="C12" s="50">
        <f>IF(OR(ISBLANK($A12),ISBLANK($B12),ISBLANK($B$6),ISBLANK($B$7)),0,IFERROR($B12*VLOOKUP((IF(OR($A12="Residential urban land",$A12="Commercial/industrial urban land",$A12="Open urban land",$A12="Greenspace",$A12="Community food growing",$A12="Woodland",$A12="Shrub", $A12="Water"), "|||"&amp;$A12, (VLOOKUP(Nutrients_from_current_land_use!$B$5,Value_look_up_tables!$A$152:$B$152,2,FALSE)&amp;"|"&amp;$A12&amp;"|"&amp;VLOOKUP(Nutrients_from_current_land_use!$B$8,Value_look_up_tables!$A$165:$B$166,2,FALSE)&amp;"|"&amp;VLOOKUP(Nutrients_from_current_land_use!$B$7,Value_look_up_tables!$A$126:$C$148,3,FALSE)&amp;"|"&amp;VLOOKUP($B$6,Value_look_up_tables!$A$156:$B$161,2,FALSE)))),Value_look_up_tables!$F$22:$H$122,3,FALSE),
IFERROR(IFERROR($B12*VLOOKUP($A12&amp;"|"&amp;VLOOKUP(Nutrients_from_current_land_use!$B$8,Value_look_up_tables!$A$165:$B$166,2,FALSE)&amp;"|"&amp;VLOOKUP(Nutrients_from_current_land_use!$B$7,Value_look_up_tables!$A$126:$C$148,3,FALSE)&amp;"|"&amp;VLOOKUP($B$6,Value_look_up_tables!$A$156:$B$161,2,FALSE),Value_look_up_tables!$F$22:$H$122,3,FALSE),IFERROR($B12*VLOOKUP($A12&amp;"|"&amp;"TRUE"&amp;"|"&amp;VLOOKUP(Nutrients_from_current_land_use!$B$7,Value_look_up_tables!$A$126:$C$148,3,FALSE)&amp;"|"&amp;VLOOKUP($B$6,Value_look_up_tables!$A$156:$B$161,2,FALSE),Value_look_up_tables!$F$22:$H$122,3,FALSE),$B12*VLOOKUP($A12&amp;"|"&amp;VLOOKUP(Nutrients_from_current_land_use!$B$8,Value_look_up_tables!$A$165:$B$166,2,FALSE)&amp;"|"&amp;VLOOKUP(Nutrients_from_current_land_use!$B$7,Value_look_up_tables!$A$126:$C$148,3,FALSE)&amp;"|"&amp;"DrainedArGr",Value_look_up_tables!$F$22:$H$122,3,FALSE))),IFERROR($B12*VLOOKUP($A12&amp;"|"&amp;VLOOKUP(Nutrients_from_current_land_use!$B$7,Value_look_up_tables!$A$126:$C$148,3,FALSE),Value_look_up_tables!$I$22:$K$114,3,FALSE),$B12*VLOOKUP($A12,Value_look_up_tables!$B$22:$M$114,12,FALSE)))))</f>
        <v>0</v>
      </c>
      <c r="D12" s="41" t="str">
        <f>IF(
OR(ISBLANK($A12),ISBLANK($B12),ISBLANK($B$6),ISBLANK($B$5),ISBLANK($B$7),$A12="Residential urban land",$A12="Commercial/industrial urban land",$A12="Open urban land",$A12="Greenspace",$A12="Community food growing",$A12="Woodland",$A12="Shrub",$A12="Water"),"Not applicable",IF(ISNUMBER(IFERROR($B12*VLOOKUP((IF(
OR($A12="Residential urban land",$A12="Commercial/industrial urban land",$A12="Open urban land",$A12="Greenspace",$A12="Community food growing",$A12="Woodland",$A12="Shrub",$A12="Water"),"|||"&amp;$A12,(VLOOKUP(Nutrients_from_current_land_use!$B$5,Value_look_up_tables!$A$152:$B$152,2,FALSE)&amp;"|"&amp;$A12&amp;"|"&amp;VLOOKUP(Nutrients_from_current_land_use!$B$8,Value_look_up_tables!$A$165:$B$166,2,FALSE)&amp;"|"&amp;VLOOKUP(Nutrients_from_current_land_use!$B$7,Value_look_up_tables!$A$126:$C$148,3,FALSE)&amp;"|"&amp;VLOOKUP($B$6,Value_look_up_tables!$A$156:$B$161,2,FALSE)))),Value_look_up_tables!$F$22:$H$122,3,FALSE),
IFERROR($B12*VLOOKUP($A12&amp;"|"&amp;VLOOKUP(Nutrients_from_current_land_use!$B$8,Value_look_up_tables!$A$165:$B$166,2,FALSE)&amp;"|"&amp;VLOOKUP(Nutrients_from_current_land_use!$B$7,Value_look_up_tables!$A$126:$C$148,3,FALSE)&amp;"|"&amp;VLOOKUP($B$6,Value_look_up_tables!$A$156:$B$161,2,FALSE),Value_look_up_tables!$F$22:$H$122,3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2" s="6"/>
      <c r="F12" s="6"/>
    </row>
    <row r="13" spans="1:6" ht="43" customHeight="1" x14ac:dyDescent="0.35">
      <c r="A13" s="48"/>
      <c r="B13" s="30"/>
      <c r="C13" s="50">
        <f>IF(OR(ISBLANK($A13),ISBLANK($B13),ISBLANK($B$6),ISBLANK($B$7)),0,IFERROR($B13*VLOOKUP((IF(OR($A13="Residential urban land",$A13="Commercial/industrial urban land",$A13="Open urban land",$A13="Greenspace",$A13="Community food growing",$A13="Woodland",$A13="Shrub", $A13="Water"), "|||"&amp;$A13, (VLOOKUP(Nutrients_from_current_land_use!$B$5,Value_look_up_tables!$A$152:$B$152,2,FALSE)&amp;"|"&amp;$A13&amp;"|"&amp;VLOOKUP(Nutrients_from_current_land_use!$B$8,Value_look_up_tables!$A$165:$B$166,2,FALSE)&amp;"|"&amp;VLOOKUP(Nutrients_from_current_land_use!$B$7,Value_look_up_tables!$A$126:$C$148,3,FALSE)&amp;"|"&amp;VLOOKUP($B$6,Value_look_up_tables!$A$156:$B$161,2,FALSE)))),Value_look_up_tables!$F$22:$H$122,3,FALSE),
IFERROR(IFERROR($B13*VLOOKUP($A13&amp;"|"&amp;VLOOKUP(Nutrients_from_current_land_use!$B$8,Value_look_up_tables!$A$165:$B$166,2,FALSE)&amp;"|"&amp;VLOOKUP(Nutrients_from_current_land_use!$B$7,Value_look_up_tables!$A$126:$C$148,3,FALSE)&amp;"|"&amp;VLOOKUP($B$6,Value_look_up_tables!$A$156:$B$161,2,FALSE),Value_look_up_tables!$F$22:$H$122,3,FALSE),IFERROR($B13*VLOOKUP($A13&amp;"|"&amp;"TRUE"&amp;"|"&amp;VLOOKUP(Nutrients_from_current_land_use!$B$7,Value_look_up_tables!$A$126:$C$148,3,FALSE)&amp;"|"&amp;VLOOKUP($B$6,Value_look_up_tables!$A$156:$B$161,2,FALSE),Value_look_up_tables!$F$22:$H$122,3,FALSE),$B13*VLOOKUP($A13&amp;"|"&amp;VLOOKUP(Nutrients_from_current_land_use!$B$8,Value_look_up_tables!$A$165:$B$166,2,FALSE)&amp;"|"&amp;VLOOKUP(Nutrients_from_current_land_use!$B$7,Value_look_up_tables!$A$126:$C$148,3,FALSE)&amp;"|"&amp;"DrainedArGr",Value_look_up_tables!$F$22:$H$122,3,FALSE))),IFERROR($B13*VLOOKUP($A13&amp;"|"&amp;VLOOKUP(Nutrients_from_current_land_use!$B$7,Value_look_up_tables!$A$126:$C$148,3,FALSE),Value_look_up_tables!$I$22:$K$114,3,FALSE),$B13*VLOOKUP($A13,Value_look_up_tables!$B$22:$M$114,12,FALSE)))))</f>
        <v>0</v>
      </c>
      <c r="D13" s="41" t="str">
        <f>IF(
OR(ISBLANK($A13),ISBLANK($B13),ISBLANK($B$6),ISBLANK($B$5),ISBLANK($B$7),$A13="Residential urban land",$A13="Commercial/industrial urban land",$A13="Open urban land",$A13="Greenspace",$A13="Community food growing",$A13="Woodland",$A13="Shrub",$A13="Water"),"Not applicable",IF(ISNUMBER(IFERROR($B13*VLOOKUP((IF(
OR($A13="Residential urban land",$A13="Commercial/industrial urban land",$A13="Open urban land",$A13="Greenspace",$A13="Community food growing",$A13="Woodland",$A13="Shrub",$A13="Water"),"|||"&amp;$A13,(VLOOKUP(Nutrients_from_current_land_use!$B$5,Value_look_up_tables!$A$152:$B$152,2,FALSE)&amp;"|"&amp;$A13&amp;"|"&amp;VLOOKUP(Nutrients_from_current_land_use!$B$8,Value_look_up_tables!$A$165:$B$166,2,FALSE)&amp;"|"&amp;VLOOKUP(Nutrients_from_current_land_use!$B$7,Value_look_up_tables!$A$126:$C$148,3,FALSE)&amp;"|"&amp;VLOOKUP($B$6,Value_look_up_tables!$A$156:$B$161,2,FALSE)))),Value_look_up_tables!$F$22:$H$122,3,FALSE),
IFERROR($B13*VLOOKUP($A13&amp;"|"&amp;VLOOKUP(Nutrients_from_current_land_use!$B$8,Value_look_up_tables!$A$165:$B$166,2,FALSE)&amp;"|"&amp;VLOOKUP(Nutrients_from_current_land_use!$B$7,Value_look_up_tables!$A$126:$C$148,3,FALSE)&amp;"|"&amp;VLOOKUP($B$6,Value_look_up_tables!$A$156:$B$161,2,FALSE),Value_look_up_tables!$F$22:$H$122,3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3" s="6"/>
      <c r="F13" s="6"/>
    </row>
    <row r="14" spans="1:6" ht="43" customHeight="1" x14ac:dyDescent="0.35">
      <c r="A14" s="48"/>
      <c r="B14" s="30"/>
      <c r="C14" s="50">
        <f>IF(OR(ISBLANK($A14),ISBLANK($B14),ISBLANK($B$6),ISBLANK($B$7)),0,IFERROR($B14*VLOOKUP((IF(OR($A14="Residential urban land",$A14="Commercial/industrial urban land",$A14="Open urban land",$A14="Greenspace",$A14="Community food growing",$A14="Woodland",$A14="Shrub", $A14="Water"), "|||"&amp;$A14, (VLOOKUP(Nutrients_from_current_land_use!$B$5,Value_look_up_tables!$A$152:$B$152,2,FALSE)&amp;"|"&amp;$A14&amp;"|"&amp;VLOOKUP(Nutrients_from_current_land_use!$B$8,Value_look_up_tables!$A$165:$B$166,2,FALSE)&amp;"|"&amp;VLOOKUP(Nutrients_from_current_land_use!$B$7,Value_look_up_tables!$A$126:$C$148,3,FALSE)&amp;"|"&amp;VLOOKUP($B$6,Value_look_up_tables!$A$156:$B$161,2,FALSE)))),Value_look_up_tables!$F$22:$H$122,3,FALSE),
IFERROR(IFERROR($B14*VLOOKUP($A14&amp;"|"&amp;VLOOKUP(Nutrients_from_current_land_use!$B$8,Value_look_up_tables!$A$165:$B$166,2,FALSE)&amp;"|"&amp;VLOOKUP(Nutrients_from_current_land_use!$B$7,Value_look_up_tables!$A$126:$C$148,3,FALSE)&amp;"|"&amp;VLOOKUP($B$6,Value_look_up_tables!$A$156:$B$161,2,FALSE),Value_look_up_tables!$F$22:$H$122,3,FALSE),IFERROR($B14*VLOOKUP($A14&amp;"|"&amp;"TRUE"&amp;"|"&amp;VLOOKUP(Nutrients_from_current_land_use!$B$7,Value_look_up_tables!$A$126:$C$148,3,FALSE)&amp;"|"&amp;VLOOKUP($B$6,Value_look_up_tables!$A$156:$B$161,2,FALSE),Value_look_up_tables!$F$22:$H$122,3,FALSE),$B14*VLOOKUP($A14&amp;"|"&amp;VLOOKUP(Nutrients_from_current_land_use!$B$8,Value_look_up_tables!$A$165:$B$166,2,FALSE)&amp;"|"&amp;VLOOKUP(Nutrients_from_current_land_use!$B$7,Value_look_up_tables!$A$126:$C$148,3,FALSE)&amp;"|"&amp;"DrainedArGr",Value_look_up_tables!$F$22:$H$122,3,FALSE))),IFERROR($B14*VLOOKUP($A14&amp;"|"&amp;VLOOKUP(Nutrients_from_current_land_use!$B$7,Value_look_up_tables!$A$126:$C$148,3,FALSE),Value_look_up_tables!$I$22:$K$114,3,FALSE),$B14*VLOOKUP($A14,Value_look_up_tables!$B$22:$M$114,12,FALSE)))))</f>
        <v>0</v>
      </c>
      <c r="D14" s="41" t="str">
        <f>IF(
OR(ISBLANK($A14),ISBLANK($B14),ISBLANK($B$6),ISBLANK($B$5),ISBLANK($B$7),$A14="Residential urban land",$A14="Commercial/industrial urban land",$A14="Open urban land",$A14="Greenspace",$A14="Community food growing",$A14="Woodland",$A14="Shrub",$A14="Water"),"Not applicable",IF(ISNUMBER(IFERROR($B14*VLOOKUP((IF(
OR($A14="Residential urban land",$A14="Commercial/industrial urban land",$A14="Open urban land",$A14="Greenspace",$A14="Community food growing",$A14="Woodland",$A14="Shrub",$A14="Water"),"|||"&amp;$A14,(VLOOKUP(Nutrients_from_current_land_use!$B$5,Value_look_up_tables!$A$152:$B$152,2,FALSE)&amp;"|"&amp;$A14&amp;"|"&amp;VLOOKUP(Nutrients_from_current_land_use!$B$8,Value_look_up_tables!$A$165:$B$166,2,FALSE)&amp;"|"&amp;VLOOKUP(Nutrients_from_current_land_use!$B$7,Value_look_up_tables!$A$126:$C$148,3,FALSE)&amp;"|"&amp;VLOOKUP($B$6,Value_look_up_tables!$A$156:$B$161,2,FALSE)))),Value_look_up_tables!$F$22:$H$122,3,FALSE),
IFERROR($B14*VLOOKUP($A14&amp;"|"&amp;VLOOKUP(Nutrients_from_current_land_use!$B$8,Value_look_up_tables!$A$165:$B$166,2,FALSE)&amp;"|"&amp;VLOOKUP(Nutrients_from_current_land_use!$B$7,Value_look_up_tables!$A$126:$C$148,3,FALSE)&amp;"|"&amp;VLOOKUP($B$6,Value_look_up_tables!$A$156:$B$161,2,FALSE),Value_look_up_tables!$F$22:$H$122,3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4" s="6"/>
      <c r="F14" s="6"/>
    </row>
    <row r="15" spans="1:6" ht="43" customHeight="1" x14ac:dyDescent="0.35">
      <c r="A15" s="48"/>
      <c r="B15" s="30"/>
      <c r="C15" s="50">
        <f>IF(OR(ISBLANK($A15),ISBLANK($B15),ISBLANK($B$6),ISBLANK($B$7)),0,IFERROR($B15*VLOOKUP((IF(OR($A15="Residential urban land",$A15="Commercial/industrial urban land",$A15="Open urban land",$A15="Greenspace",$A15="Community food growing",$A15="Woodland",$A15="Shrub", $A15="Water"), "|||"&amp;$A15, (VLOOKUP(Nutrients_from_current_land_use!$B$5,Value_look_up_tables!$A$152:$B$152,2,FALSE)&amp;"|"&amp;$A15&amp;"|"&amp;VLOOKUP(Nutrients_from_current_land_use!$B$8,Value_look_up_tables!$A$165:$B$166,2,FALSE)&amp;"|"&amp;VLOOKUP(Nutrients_from_current_land_use!$B$7,Value_look_up_tables!$A$126:$C$148,3,FALSE)&amp;"|"&amp;VLOOKUP($B$6,Value_look_up_tables!$A$156:$B$161,2,FALSE)))),Value_look_up_tables!$F$22:$H$122,3,FALSE),
IFERROR(IFERROR($B15*VLOOKUP($A15&amp;"|"&amp;VLOOKUP(Nutrients_from_current_land_use!$B$8,Value_look_up_tables!$A$165:$B$166,2,FALSE)&amp;"|"&amp;VLOOKUP(Nutrients_from_current_land_use!$B$7,Value_look_up_tables!$A$126:$C$148,3,FALSE)&amp;"|"&amp;VLOOKUP($B$6,Value_look_up_tables!$A$156:$B$161,2,FALSE),Value_look_up_tables!$F$22:$H$122,3,FALSE),IFERROR($B15*VLOOKUP($A15&amp;"|"&amp;"TRUE"&amp;"|"&amp;VLOOKUP(Nutrients_from_current_land_use!$B$7,Value_look_up_tables!$A$126:$C$148,3,FALSE)&amp;"|"&amp;VLOOKUP($B$6,Value_look_up_tables!$A$156:$B$161,2,FALSE),Value_look_up_tables!$F$22:$H$122,3,FALSE),$B15*VLOOKUP($A15&amp;"|"&amp;VLOOKUP(Nutrients_from_current_land_use!$B$8,Value_look_up_tables!$A$165:$B$166,2,FALSE)&amp;"|"&amp;VLOOKUP(Nutrients_from_current_land_use!$B$7,Value_look_up_tables!$A$126:$C$148,3,FALSE)&amp;"|"&amp;"DrainedArGr",Value_look_up_tables!$F$22:$H$122,3,FALSE))),IFERROR($B15*VLOOKUP($A15&amp;"|"&amp;VLOOKUP(Nutrients_from_current_land_use!$B$7,Value_look_up_tables!$A$126:$C$148,3,FALSE),Value_look_up_tables!$I$22:$K$114,3,FALSE),$B15*VLOOKUP($A15,Value_look_up_tables!$B$22:$M$114,12,FALSE)))))</f>
        <v>0</v>
      </c>
      <c r="D15" s="41" t="str">
        <f>IF(
OR(ISBLANK($A15),ISBLANK($B15),ISBLANK($B$6),ISBLANK($B$5),ISBLANK($B$7),$A15="Residential urban land",$A15="Commercial/industrial urban land",$A15="Open urban land",$A15="Greenspace",$A15="Community food growing",$A15="Woodland",$A15="Shrub",$A15="Water"),"Not applicable",IF(ISNUMBER(IFERROR($B15*VLOOKUP((IF(
OR($A15="Residential urban land",$A15="Commercial/industrial urban land",$A15="Open urban land",$A15="Greenspace",$A15="Community food growing",$A15="Woodland",$A15="Shrub",$A15="Water"),"|||"&amp;$A15,(VLOOKUP(Nutrients_from_current_land_use!$B$5,Value_look_up_tables!$A$152:$B$152,2,FALSE)&amp;"|"&amp;$A15&amp;"|"&amp;VLOOKUP(Nutrients_from_current_land_use!$B$8,Value_look_up_tables!$A$165:$B$166,2,FALSE)&amp;"|"&amp;VLOOKUP(Nutrients_from_current_land_use!$B$7,Value_look_up_tables!$A$126:$C$148,3,FALSE)&amp;"|"&amp;VLOOKUP($B$6,Value_look_up_tables!$A$156:$B$161,2,FALSE)))),Value_look_up_tables!$F$22:$H$122,3,FALSE),
IFERROR($B15*VLOOKUP($A15&amp;"|"&amp;VLOOKUP(Nutrients_from_current_land_use!$B$8,Value_look_up_tables!$A$165:$B$166,2,FALSE)&amp;"|"&amp;VLOOKUP(Nutrients_from_current_land_use!$B$7,Value_look_up_tables!$A$126:$C$148,3,FALSE)&amp;"|"&amp;VLOOKUP($B$6,Value_look_up_tables!$A$156:$B$161,2,FALSE),Value_look_up_tables!$F$22:$H$122,3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5" s="6"/>
      <c r="F15" s="6"/>
    </row>
    <row r="16" spans="1:6" ht="43" customHeight="1" x14ac:dyDescent="0.35">
      <c r="A16" s="48"/>
      <c r="B16" s="30"/>
      <c r="C16" s="50">
        <f>IF(OR(ISBLANK($A16),ISBLANK($B16),ISBLANK($B$6),ISBLANK($B$7)),0,IFERROR($B16*VLOOKUP((IF(OR($A16="Residential urban land",$A16="Commercial/industrial urban land",$A16="Open urban land",$A16="Greenspace",$A16="Community food growing",$A16="Woodland",$A16="Shrub", $A16="Water"), "|||"&amp;$A16, (VLOOKUP(Nutrients_from_current_land_use!$B$5,Value_look_up_tables!$A$152:$B$152,2,FALSE)&amp;"|"&amp;$A16&amp;"|"&amp;VLOOKUP(Nutrients_from_current_land_use!$B$8,Value_look_up_tables!$A$165:$B$166,2,FALSE)&amp;"|"&amp;VLOOKUP(Nutrients_from_current_land_use!$B$7,Value_look_up_tables!$A$126:$C$148,3,FALSE)&amp;"|"&amp;VLOOKUP($B$6,Value_look_up_tables!$A$156:$B$161,2,FALSE)))),Value_look_up_tables!$F$22:$H$122,3,FALSE),
IFERROR(IFERROR($B16*VLOOKUP($A16&amp;"|"&amp;VLOOKUP(Nutrients_from_current_land_use!$B$8,Value_look_up_tables!$A$165:$B$166,2,FALSE)&amp;"|"&amp;VLOOKUP(Nutrients_from_current_land_use!$B$7,Value_look_up_tables!$A$126:$C$148,3,FALSE)&amp;"|"&amp;VLOOKUP($B$6,Value_look_up_tables!$A$156:$B$161,2,FALSE),Value_look_up_tables!$F$22:$H$122,3,FALSE),IFERROR($B16*VLOOKUP($A16&amp;"|"&amp;"TRUE"&amp;"|"&amp;VLOOKUP(Nutrients_from_current_land_use!$B$7,Value_look_up_tables!$A$126:$C$148,3,FALSE)&amp;"|"&amp;VLOOKUP($B$6,Value_look_up_tables!$A$156:$B$161,2,FALSE),Value_look_up_tables!$F$22:$H$122,3,FALSE),$B16*VLOOKUP($A16&amp;"|"&amp;VLOOKUP(Nutrients_from_current_land_use!$B$8,Value_look_up_tables!$A$165:$B$166,2,FALSE)&amp;"|"&amp;VLOOKUP(Nutrients_from_current_land_use!$B$7,Value_look_up_tables!$A$126:$C$148,3,FALSE)&amp;"|"&amp;"DrainedArGr",Value_look_up_tables!$F$22:$H$122,3,FALSE))),IFERROR($B16*VLOOKUP($A16&amp;"|"&amp;VLOOKUP(Nutrients_from_current_land_use!$B$7,Value_look_up_tables!$A$126:$C$148,3,FALSE),Value_look_up_tables!$I$22:$K$114,3,FALSE),$B16*VLOOKUP($A16,Value_look_up_tables!$B$22:$M$114,12,FALSE)))))</f>
        <v>0</v>
      </c>
      <c r="D16" s="41" t="str">
        <f>IF(
OR(ISBLANK($A16),ISBLANK($B16),ISBLANK($B$6),ISBLANK($B$5),ISBLANK($B$7),$A16="Residential urban land",$A16="Commercial/industrial urban land",$A16="Open urban land",$A16="Greenspace",$A16="Community food growing",$A16="Woodland",$A16="Shrub",$A16="Water"),"Not applicable",IF(ISNUMBER(IFERROR($B16*VLOOKUP((IF(
OR($A16="Residential urban land",$A16="Commercial/industrial urban land",$A16="Open urban land",$A16="Greenspace",$A16="Community food growing",$A16="Woodland",$A16="Shrub",$A16="Water"),"|||"&amp;$A16,(VLOOKUP(Nutrients_from_current_land_use!$B$5,Value_look_up_tables!$A$152:$B$152,2,FALSE)&amp;"|"&amp;$A16&amp;"|"&amp;VLOOKUP(Nutrients_from_current_land_use!$B$8,Value_look_up_tables!$A$165:$B$166,2,FALSE)&amp;"|"&amp;VLOOKUP(Nutrients_from_current_land_use!$B$7,Value_look_up_tables!$A$126:$C$148,3,FALSE)&amp;"|"&amp;VLOOKUP($B$6,Value_look_up_tables!$A$156:$B$161,2,FALSE)))),Value_look_up_tables!$F$22:$H$122,3,FALSE),
IFERROR($B16*VLOOKUP($A16&amp;"|"&amp;VLOOKUP(Nutrients_from_current_land_use!$B$8,Value_look_up_tables!$A$165:$B$166,2,FALSE)&amp;"|"&amp;VLOOKUP(Nutrients_from_current_land_use!$B$7,Value_look_up_tables!$A$126:$C$148,3,FALSE)&amp;"|"&amp;VLOOKUP($B$6,Value_look_up_tables!$A$156:$B$161,2,FALSE),Value_look_up_tables!$F$22:$H$122,3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6" s="6"/>
      <c r="F16" s="6"/>
    </row>
    <row r="17" spans="1:6" ht="43" customHeight="1" x14ac:dyDescent="0.35">
      <c r="A17" s="48"/>
      <c r="B17" s="30"/>
      <c r="C17" s="50">
        <f>IF(OR(ISBLANK($A17),ISBLANK($B17),ISBLANK($B$6),ISBLANK($B$7)),0,IFERROR($B17*VLOOKUP((IF(OR($A17="Residential urban land",$A17="Commercial/industrial urban land",$A17="Open urban land",$A17="Greenspace",$A17="Community food growing",$A17="Woodland",$A17="Shrub", $A17="Water"), "|||"&amp;$A17, (VLOOKUP(Nutrients_from_current_land_use!$B$5,Value_look_up_tables!$A$152:$B$152,2,FALSE)&amp;"|"&amp;$A17&amp;"|"&amp;VLOOKUP(Nutrients_from_current_land_use!$B$8,Value_look_up_tables!$A$165:$B$166,2,FALSE)&amp;"|"&amp;VLOOKUP(Nutrients_from_current_land_use!$B$7,Value_look_up_tables!$A$126:$C$148,3,FALSE)&amp;"|"&amp;VLOOKUP($B$6,Value_look_up_tables!$A$156:$B$161,2,FALSE)))),Value_look_up_tables!$F$22:$H$122,3,FALSE),
IFERROR(IFERROR($B17*VLOOKUP($A17&amp;"|"&amp;VLOOKUP(Nutrients_from_current_land_use!$B$8,Value_look_up_tables!$A$165:$B$166,2,FALSE)&amp;"|"&amp;VLOOKUP(Nutrients_from_current_land_use!$B$7,Value_look_up_tables!$A$126:$C$148,3,FALSE)&amp;"|"&amp;VLOOKUP($B$6,Value_look_up_tables!$A$156:$B$161,2,FALSE),Value_look_up_tables!$F$22:$H$122,3,FALSE),IFERROR($B17*VLOOKUP($A17&amp;"|"&amp;"TRUE"&amp;"|"&amp;VLOOKUP(Nutrients_from_current_land_use!$B$7,Value_look_up_tables!$A$126:$C$148,3,FALSE)&amp;"|"&amp;VLOOKUP($B$6,Value_look_up_tables!$A$156:$B$161,2,FALSE),Value_look_up_tables!$F$22:$H$122,3,FALSE),$B17*VLOOKUP($A17&amp;"|"&amp;VLOOKUP(Nutrients_from_current_land_use!$B$8,Value_look_up_tables!$A$165:$B$166,2,FALSE)&amp;"|"&amp;VLOOKUP(Nutrients_from_current_land_use!$B$7,Value_look_up_tables!$A$126:$C$148,3,FALSE)&amp;"|"&amp;"DrainedArGr",Value_look_up_tables!$F$22:$H$122,3,FALSE))),IFERROR($B17*VLOOKUP($A17&amp;"|"&amp;VLOOKUP(Nutrients_from_current_land_use!$B$7,Value_look_up_tables!$A$126:$C$148,3,FALSE),Value_look_up_tables!$I$22:$K$114,3,FALSE),$B17*VLOOKUP($A17,Value_look_up_tables!$B$22:$M$114,12,FALSE)))))</f>
        <v>0</v>
      </c>
      <c r="D17" s="41" t="str">
        <f>IF(
OR(ISBLANK($A17),ISBLANK($B17),ISBLANK($B$6),ISBLANK($B$5),ISBLANK($B$7),$A17="Residential urban land",$A17="Commercial/industrial urban land",$A17="Open urban land",$A17="Greenspace",$A17="Community food growing",$A17="Woodland",$A17="Shrub",$A17="Water"),"Not applicable",IF(ISNUMBER(IFERROR($B17*VLOOKUP((IF(
OR($A17="Residential urban land",$A17="Commercial/industrial urban land",$A17="Open urban land",$A17="Greenspace",$A17="Community food growing",$A17="Woodland",$A17="Shrub",$A17="Water"),"|||"&amp;$A17,(VLOOKUP(Nutrients_from_current_land_use!$B$5,Value_look_up_tables!$A$152:$B$152,2,FALSE)&amp;"|"&amp;$A17&amp;"|"&amp;VLOOKUP(Nutrients_from_current_land_use!$B$8,Value_look_up_tables!$A$165:$B$166,2,FALSE)&amp;"|"&amp;VLOOKUP(Nutrients_from_current_land_use!$B$7,Value_look_up_tables!$A$126:$C$148,3,FALSE)&amp;"|"&amp;VLOOKUP($B$6,Value_look_up_tables!$A$156:$B$161,2,FALSE)))),Value_look_up_tables!$F$22:$H$122,3,FALSE),
IFERROR($B17*VLOOKUP($A17&amp;"|"&amp;VLOOKUP(Nutrients_from_current_land_use!$B$8,Value_look_up_tables!$A$165:$B$166,2,FALSE)&amp;"|"&amp;VLOOKUP(Nutrients_from_current_land_use!$B$7,Value_look_up_tables!$A$126:$C$148,3,FALSE)&amp;"|"&amp;VLOOKUP($B$6,Value_look_up_tables!$A$156:$B$161,2,FALSE),Value_look_up_tables!$F$22:$H$122,3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7" s="6"/>
      <c r="F17" s="6"/>
    </row>
    <row r="18" spans="1:6" ht="43" customHeight="1" x14ac:dyDescent="0.35">
      <c r="A18" s="48"/>
      <c r="B18" s="30"/>
      <c r="C18" s="50">
        <f>IF(OR(ISBLANK($A18),ISBLANK($B18),ISBLANK($B$6),ISBLANK($B$7)),0,IFERROR($B18*VLOOKUP((IF(OR($A18="Residential urban land",$A18="Commercial/industrial urban land",$A18="Open urban land",$A18="Greenspace",$A18="Community food growing",$A18="Woodland",$A18="Shrub", $A18="Water"), "|||"&amp;$A18, (VLOOKUP(Nutrients_from_current_land_use!$B$5,Value_look_up_tables!$A$152:$B$152,2,FALSE)&amp;"|"&amp;$A18&amp;"|"&amp;VLOOKUP(Nutrients_from_current_land_use!$B$8,Value_look_up_tables!$A$165:$B$166,2,FALSE)&amp;"|"&amp;VLOOKUP(Nutrients_from_current_land_use!$B$7,Value_look_up_tables!$A$126:$C$148,3,FALSE)&amp;"|"&amp;VLOOKUP($B$6,Value_look_up_tables!$A$156:$B$161,2,FALSE)))),Value_look_up_tables!$F$22:$H$122,3,FALSE),
IFERROR(IFERROR($B18*VLOOKUP($A18&amp;"|"&amp;VLOOKUP(Nutrients_from_current_land_use!$B$8,Value_look_up_tables!$A$165:$B$166,2,FALSE)&amp;"|"&amp;VLOOKUP(Nutrients_from_current_land_use!$B$7,Value_look_up_tables!$A$126:$C$148,3,FALSE)&amp;"|"&amp;VLOOKUP($B$6,Value_look_up_tables!$A$156:$B$161,2,FALSE),Value_look_up_tables!$F$22:$H$122,3,FALSE),IFERROR($B18*VLOOKUP($A18&amp;"|"&amp;"TRUE"&amp;"|"&amp;VLOOKUP(Nutrients_from_current_land_use!$B$7,Value_look_up_tables!$A$126:$C$148,3,FALSE)&amp;"|"&amp;VLOOKUP($B$6,Value_look_up_tables!$A$156:$B$161,2,FALSE),Value_look_up_tables!$F$22:$H$122,3,FALSE),$B18*VLOOKUP($A18&amp;"|"&amp;VLOOKUP(Nutrients_from_current_land_use!$B$8,Value_look_up_tables!$A$165:$B$166,2,FALSE)&amp;"|"&amp;VLOOKUP(Nutrients_from_current_land_use!$B$7,Value_look_up_tables!$A$126:$C$148,3,FALSE)&amp;"|"&amp;"DrainedArGr",Value_look_up_tables!$F$22:$H$122,3,FALSE))),IFERROR($B18*VLOOKUP($A18&amp;"|"&amp;VLOOKUP(Nutrients_from_current_land_use!$B$7,Value_look_up_tables!$A$126:$C$148,3,FALSE),Value_look_up_tables!$I$22:$K$114,3,FALSE),$B18*VLOOKUP($A18,Value_look_up_tables!$B$22:$M$114,12,FALSE)))))</f>
        <v>0</v>
      </c>
      <c r="D18" s="41" t="str">
        <f>IF(
OR(ISBLANK($A18),ISBLANK($B18),ISBLANK($B$6),ISBLANK($B$5),ISBLANK($B$7),$A18="Residential urban land",$A18="Commercial/industrial urban land",$A18="Open urban land",$A18="Greenspace",$A18="Community food growing",$A18="Woodland",$A18="Shrub",$A18="Water"),"Not applicable",IF(ISNUMBER(IFERROR($B18*VLOOKUP((IF(
OR($A18="Residential urban land",$A18="Commercial/industrial urban land",$A18="Open urban land",$A18="Greenspace",$A18="Community food growing",$A18="Woodland",$A18="Shrub",$A18="Water"),"|||"&amp;$A18,(VLOOKUP(Nutrients_from_current_land_use!$B$5,Value_look_up_tables!$A$152:$B$152,2,FALSE)&amp;"|"&amp;$A18&amp;"|"&amp;VLOOKUP(Nutrients_from_current_land_use!$B$8,Value_look_up_tables!$A$165:$B$166,2,FALSE)&amp;"|"&amp;VLOOKUP(Nutrients_from_current_land_use!$B$7,Value_look_up_tables!$A$126:$C$148,3,FALSE)&amp;"|"&amp;VLOOKUP($B$6,Value_look_up_tables!$A$156:$B$161,2,FALSE)))),Value_look_up_tables!$F$22:$H$122,3,FALSE),
IFERROR($B18*VLOOKUP($A18&amp;"|"&amp;VLOOKUP(Nutrients_from_current_land_use!$B$8,Value_look_up_tables!$A$165:$B$166,2,FALSE)&amp;"|"&amp;VLOOKUP(Nutrients_from_current_land_use!$B$7,Value_look_up_tables!$A$126:$C$148,3,FALSE)&amp;"|"&amp;VLOOKUP($B$6,Value_look_up_tables!$A$156:$B$161,2,FALSE),Value_look_up_tables!$F$22:$H$122,3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8" s="6"/>
      <c r="F18" s="6"/>
    </row>
    <row r="19" spans="1:6" ht="43" customHeight="1" x14ac:dyDescent="0.35">
      <c r="A19" s="48"/>
      <c r="B19" s="30"/>
      <c r="C19" s="50">
        <f>IF(OR(ISBLANK($A19),ISBLANK($B19),ISBLANK($B$6),ISBLANK($B$7)),0,IFERROR($B19*VLOOKUP((IF(OR($A19="Residential urban land",$A19="Commercial/industrial urban land",$A19="Open urban land",$A19="Greenspace",$A19="Community food growing",$A19="Woodland",$A19="Shrub", $A19="Water"), "|||"&amp;$A19, (VLOOKUP(Nutrients_from_current_land_use!$B$5,Value_look_up_tables!$A$152:$B$152,2,FALSE)&amp;"|"&amp;$A19&amp;"|"&amp;VLOOKUP(Nutrients_from_current_land_use!$B$8,Value_look_up_tables!$A$165:$B$166,2,FALSE)&amp;"|"&amp;VLOOKUP(Nutrients_from_current_land_use!$B$7,Value_look_up_tables!$A$126:$C$148,3,FALSE)&amp;"|"&amp;VLOOKUP($B$6,Value_look_up_tables!$A$156:$B$161,2,FALSE)))),Value_look_up_tables!$F$22:$H$122,3,FALSE),
IFERROR(IFERROR($B19*VLOOKUP($A19&amp;"|"&amp;VLOOKUP(Nutrients_from_current_land_use!$B$8,Value_look_up_tables!$A$165:$B$166,2,FALSE)&amp;"|"&amp;VLOOKUP(Nutrients_from_current_land_use!$B$7,Value_look_up_tables!$A$126:$C$148,3,FALSE)&amp;"|"&amp;VLOOKUP($B$6,Value_look_up_tables!$A$156:$B$161,2,FALSE),Value_look_up_tables!$F$22:$H$122,3,FALSE),IFERROR($B19*VLOOKUP($A19&amp;"|"&amp;"TRUE"&amp;"|"&amp;VLOOKUP(Nutrients_from_current_land_use!$B$7,Value_look_up_tables!$A$126:$C$148,3,FALSE)&amp;"|"&amp;VLOOKUP($B$6,Value_look_up_tables!$A$156:$B$161,2,FALSE),Value_look_up_tables!$F$22:$H$122,3,FALSE),$B19*VLOOKUP($A19&amp;"|"&amp;VLOOKUP(Nutrients_from_current_land_use!$B$8,Value_look_up_tables!$A$165:$B$166,2,FALSE)&amp;"|"&amp;VLOOKUP(Nutrients_from_current_land_use!$B$7,Value_look_up_tables!$A$126:$C$148,3,FALSE)&amp;"|"&amp;"DrainedArGr",Value_look_up_tables!$F$22:$H$122,3,FALSE))),IFERROR($B19*VLOOKUP($A19&amp;"|"&amp;VLOOKUP(Nutrients_from_current_land_use!$B$7,Value_look_up_tables!$A$126:$C$148,3,FALSE),Value_look_up_tables!$I$22:$K$114,3,FALSE),$B19*VLOOKUP($A19,Value_look_up_tables!$B$22:$M$114,12,FALSE)))))</f>
        <v>0</v>
      </c>
      <c r="D19" s="41" t="str">
        <f>IF(
OR(ISBLANK($A19),ISBLANK($B19),ISBLANK($B$6),ISBLANK($B$5),ISBLANK($B$7),$A19="Residential urban land",$A19="Commercial/industrial urban land",$A19="Open urban land",$A19="Greenspace",$A19="Community food growing",$A19="Woodland",$A19="Shrub",$A19="Water"),"Not applicable",IF(ISNUMBER(IFERROR($B19*VLOOKUP((IF(
OR($A19="Residential urban land",$A19="Commercial/industrial urban land",$A19="Open urban land",$A19="Greenspace",$A19="Community food growing",$A19="Woodland",$A19="Shrub",$A19="Water"),"|||"&amp;$A19,(VLOOKUP(Nutrients_from_current_land_use!$B$5,Value_look_up_tables!$A$152:$B$152,2,FALSE)&amp;"|"&amp;$A19&amp;"|"&amp;VLOOKUP(Nutrients_from_current_land_use!$B$8,Value_look_up_tables!$A$165:$B$166,2,FALSE)&amp;"|"&amp;VLOOKUP(Nutrients_from_current_land_use!$B$7,Value_look_up_tables!$A$126:$C$148,3,FALSE)&amp;"|"&amp;VLOOKUP($B$6,Value_look_up_tables!$A$156:$B$161,2,FALSE)))),Value_look_up_tables!$F$22:$H$122,3,FALSE),
IFERROR($B19*VLOOKUP($A19&amp;"|"&amp;VLOOKUP(Nutrients_from_current_land_use!$B$8,Value_look_up_tables!$A$165:$B$166,2,FALSE)&amp;"|"&amp;VLOOKUP(Nutrients_from_current_land_use!$B$7,Value_look_up_tables!$A$126:$C$148,3,FALSE)&amp;"|"&amp;VLOOKUP($B$6,Value_look_up_tables!$A$156:$B$161,2,FALSE),Value_look_up_tables!$F$22:$H$122,3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9" s="6"/>
      <c r="F19" s="6"/>
    </row>
    <row r="20" spans="1:6" ht="43" customHeight="1" x14ac:dyDescent="0.35">
      <c r="A20" s="48"/>
      <c r="B20" s="30"/>
      <c r="C20" s="50">
        <f>IF(OR(ISBLANK($A20),ISBLANK($B20),ISBLANK($B$6),ISBLANK($B$7)),0,IFERROR($B20*VLOOKUP((IF(OR($A20="Residential urban land",$A20="Commercial/industrial urban land",$A20="Open urban land",$A20="Greenspace",$A20="Community food growing",$A20="Woodland",$A20="Shrub", $A20="Water"), "|||"&amp;$A20, (VLOOKUP(Nutrients_from_current_land_use!$B$5,Value_look_up_tables!$A$152:$B$152,2,FALSE)&amp;"|"&amp;$A20&amp;"|"&amp;VLOOKUP(Nutrients_from_current_land_use!$B$8,Value_look_up_tables!$A$165:$B$166,2,FALSE)&amp;"|"&amp;VLOOKUP(Nutrients_from_current_land_use!$B$7,Value_look_up_tables!$A$126:$C$148,3,FALSE)&amp;"|"&amp;VLOOKUP($B$6,Value_look_up_tables!$A$156:$B$161,2,FALSE)))),Value_look_up_tables!$F$22:$H$122,3,FALSE),
IFERROR(IFERROR($B20*VLOOKUP($A20&amp;"|"&amp;VLOOKUP(Nutrients_from_current_land_use!$B$8,Value_look_up_tables!$A$165:$B$166,2,FALSE)&amp;"|"&amp;VLOOKUP(Nutrients_from_current_land_use!$B$7,Value_look_up_tables!$A$126:$C$148,3,FALSE)&amp;"|"&amp;VLOOKUP($B$6,Value_look_up_tables!$A$156:$B$161,2,FALSE),Value_look_up_tables!$F$22:$H$122,3,FALSE),IFERROR($B20*VLOOKUP($A20&amp;"|"&amp;"TRUE"&amp;"|"&amp;VLOOKUP(Nutrients_from_current_land_use!$B$7,Value_look_up_tables!$A$126:$C$148,3,FALSE)&amp;"|"&amp;VLOOKUP($B$6,Value_look_up_tables!$A$156:$B$161,2,FALSE),Value_look_up_tables!$F$22:$H$122,3,FALSE),$B20*VLOOKUP($A20&amp;"|"&amp;VLOOKUP(Nutrients_from_current_land_use!$B$8,Value_look_up_tables!$A$165:$B$166,2,FALSE)&amp;"|"&amp;VLOOKUP(Nutrients_from_current_land_use!$B$7,Value_look_up_tables!$A$126:$C$148,3,FALSE)&amp;"|"&amp;"DrainedArGr",Value_look_up_tables!$F$22:$H$122,3,FALSE))),IFERROR($B20*VLOOKUP($A20&amp;"|"&amp;VLOOKUP(Nutrients_from_current_land_use!$B$7,Value_look_up_tables!$A$126:$C$148,3,FALSE),Value_look_up_tables!$I$22:$K$114,3,FALSE),$B20*VLOOKUP($A20,Value_look_up_tables!$B$22:$M$114,12,FALSE)))))</f>
        <v>0</v>
      </c>
      <c r="D20" s="41" t="str">
        <f>IF(
OR(ISBLANK($A20),ISBLANK($B20),ISBLANK($B$6),ISBLANK($B$5),ISBLANK($B$7),$A20="Residential urban land",$A20="Commercial/industrial urban land",$A20="Open urban land",$A20="Greenspace",$A20="Community food growing",$A20="Woodland",$A20="Shrub",$A20="Water"),"Not applicable",IF(ISNUMBER(IFERROR($B20*VLOOKUP((IF(
OR($A20="Residential urban land",$A20="Commercial/industrial urban land",$A20="Open urban land",$A20="Greenspace",$A20="Community food growing",$A20="Woodland",$A20="Shrub",$A20="Water"),"|||"&amp;$A20,(VLOOKUP(Nutrients_from_current_land_use!$B$5,Value_look_up_tables!$A$152:$B$152,2,FALSE)&amp;"|"&amp;$A20&amp;"|"&amp;VLOOKUP(Nutrients_from_current_land_use!$B$8,Value_look_up_tables!$A$165:$B$166,2,FALSE)&amp;"|"&amp;VLOOKUP(Nutrients_from_current_land_use!$B$7,Value_look_up_tables!$A$126:$C$148,3,FALSE)&amp;"|"&amp;VLOOKUP($B$6,Value_look_up_tables!$A$156:$B$161,2,FALSE)))),Value_look_up_tables!$F$22:$H$122,3,FALSE),
IFERROR($B20*VLOOKUP($A20&amp;"|"&amp;VLOOKUP(Nutrients_from_current_land_use!$B$8,Value_look_up_tables!$A$165:$B$166,2,FALSE)&amp;"|"&amp;VLOOKUP(Nutrients_from_current_land_use!$B$7,Value_look_up_tables!$A$126:$C$148,3,FALSE)&amp;"|"&amp;VLOOKUP($B$6,Value_look_up_tables!$A$156:$B$161,2,FALSE),Value_look_up_tables!$F$22:$H$122,3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0" s="6"/>
      <c r="F20" s="6"/>
    </row>
    <row r="21" spans="1:6" ht="43" customHeight="1" x14ac:dyDescent="0.35">
      <c r="A21" s="48"/>
      <c r="B21" s="30"/>
      <c r="C21" s="50">
        <f>IF(OR(ISBLANK($A21),ISBLANK($B21),ISBLANK($B$6),ISBLANK($B$7)),0,IFERROR($B21*VLOOKUP((IF(OR($A21="Residential urban land",$A21="Commercial/industrial urban land",$A21="Open urban land",$A21="Greenspace",$A21="Community food growing",$A21="Woodland",$A21="Shrub", $A21="Water"), "|||"&amp;$A21, (VLOOKUP(Nutrients_from_current_land_use!$B$5,Value_look_up_tables!$A$152:$B$152,2,FALSE)&amp;"|"&amp;$A21&amp;"|"&amp;VLOOKUP(Nutrients_from_current_land_use!$B$8,Value_look_up_tables!$A$165:$B$166,2,FALSE)&amp;"|"&amp;VLOOKUP(Nutrients_from_current_land_use!$B$7,Value_look_up_tables!$A$126:$C$148,3,FALSE)&amp;"|"&amp;VLOOKUP($B$6,Value_look_up_tables!$A$156:$B$161,2,FALSE)))),Value_look_up_tables!$F$22:$H$122,3,FALSE),
IFERROR(IFERROR($B21*VLOOKUP($A21&amp;"|"&amp;VLOOKUP(Nutrients_from_current_land_use!$B$8,Value_look_up_tables!$A$165:$B$166,2,FALSE)&amp;"|"&amp;VLOOKUP(Nutrients_from_current_land_use!$B$7,Value_look_up_tables!$A$126:$C$148,3,FALSE)&amp;"|"&amp;VLOOKUP($B$6,Value_look_up_tables!$A$156:$B$161,2,FALSE),Value_look_up_tables!$F$22:$H$122,3,FALSE),IFERROR($B21*VLOOKUP($A21&amp;"|"&amp;"TRUE"&amp;"|"&amp;VLOOKUP(Nutrients_from_current_land_use!$B$7,Value_look_up_tables!$A$126:$C$148,3,FALSE)&amp;"|"&amp;VLOOKUP($B$6,Value_look_up_tables!$A$156:$B$161,2,FALSE),Value_look_up_tables!$F$22:$H$122,3,FALSE),$B21*VLOOKUP($A21&amp;"|"&amp;VLOOKUP(Nutrients_from_current_land_use!$B$8,Value_look_up_tables!$A$165:$B$166,2,FALSE)&amp;"|"&amp;VLOOKUP(Nutrients_from_current_land_use!$B$7,Value_look_up_tables!$A$126:$C$148,3,FALSE)&amp;"|"&amp;"DrainedArGr",Value_look_up_tables!$F$22:$H$122,3,FALSE))),IFERROR($B21*VLOOKUP($A21&amp;"|"&amp;VLOOKUP(Nutrients_from_current_land_use!$B$7,Value_look_up_tables!$A$126:$C$148,3,FALSE),Value_look_up_tables!$I$22:$K$114,3,FALSE),$B21*VLOOKUP($A21,Value_look_up_tables!$B$22:$M$114,12,FALSE)))))</f>
        <v>0</v>
      </c>
      <c r="D21" s="41" t="str">
        <f>IF(
OR(ISBLANK($A21),ISBLANK($B21),ISBLANK($B$6),ISBLANK($B$5),ISBLANK($B$7),$A21="Residential urban land",$A21="Commercial/industrial urban land",$A21="Open urban land",$A21="Greenspace",$A21="Community food growing",$A21="Woodland",$A21="Shrub",$A21="Water"),"Not applicable",IF(ISNUMBER(IFERROR($B21*VLOOKUP((IF(
OR($A21="Residential urban land",$A21="Commercial/industrial urban land",$A21="Open urban land",$A21="Greenspace",$A21="Community food growing",$A21="Woodland",$A21="Shrub",$A21="Water"),"|||"&amp;$A21,(VLOOKUP(Nutrients_from_current_land_use!$B$5,Value_look_up_tables!$A$152:$B$152,2,FALSE)&amp;"|"&amp;$A21&amp;"|"&amp;VLOOKUP(Nutrients_from_current_land_use!$B$8,Value_look_up_tables!$A$165:$B$166,2,FALSE)&amp;"|"&amp;VLOOKUP(Nutrients_from_current_land_use!$B$7,Value_look_up_tables!$A$126:$C$148,3,FALSE)&amp;"|"&amp;VLOOKUP($B$6,Value_look_up_tables!$A$156:$B$161,2,FALSE)))),Value_look_up_tables!$F$22:$H$122,3,FALSE),
IFERROR($B21*VLOOKUP($A21&amp;"|"&amp;VLOOKUP(Nutrients_from_current_land_use!$B$8,Value_look_up_tables!$A$165:$B$166,2,FALSE)&amp;"|"&amp;VLOOKUP(Nutrients_from_current_land_use!$B$7,Value_look_up_tables!$A$126:$C$148,3,FALSE)&amp;"|"&amp;VLOOKUP($B$6,Value_look_up_tables!$A$156:$B$161,2,FALSE),Value_look_up_tables!$F$22:$H$122,3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1" s="6"/>
      <c r="F21" s="6"/>
    </row>
    <row r="22" spans="1:6" ht="43" customHeight="1" x14ac:dyDescent="0.35">
      <c r="A22" s="48"/>
      <c r="B22" s="30"/>
      <c r="C22" s="50">
        <f>IF(OR(ISBLANK($A22),ISBLANK($B22),ISBLANK($B$6),ISBLANK($B$7)),0,IFERROR($B22*VLOOKUP((IF(OR($A22="Residential urban land",$A22="Commercial/industrial urban land",$A22="Open urban land",$A22="Greenspace",$A22="Community food growing",$A22="Woodland",$A22="Shrub", $A22="Water"), "|||"&amp;$A22, (VLOOKUP(Nutrients_from_current_land_use!$B$5,Value_look_up_tables!$A$152:$B$152,2,FALSE)&amp;"|"&amp;$A22&amp;"|"&amp;VLOOKUP(Nutrients_from_current_land_use!$B$8,Value_look_up_tables!$A$165:$B$166,2,FALSE)&amp;"|"&amp;VLOOKUP(Nutrients_from_current_land_use!$B$7,Value_look_up_tables!$A$126:$C$148,3,FALSE)&amp;"|"&amp;VLOOKUP($B$6,Value_look_up_tables!$A$156:$B$161,2,FALSE)))),Value_look_up_tables!$F$22:$H$122,3,FALSE),
IFERROR(IFERROR($B22*VLOOKUP($A22&amp;"|"&amp;VLOOKUP(Nutrients_from_current_land_use!$B$8,Value_look_up_tables!$A$165:$B$166,2,FALSE)&amp;"|"&amp;VLOOKUP(Nutrients_from_current_land_use!$B$7,Value_look_up_tables!$A$126:$C$148,3,FALSE)&amp;"|"&amp;VLOOKUP($B$6,Value_look_up_tables!$A$156:$B$161,2,FALSE),Value_look_up_tables!$F$22:$H$122,3,FALSE),IFERROR($B22*VLOOKUP($A22&amp;"|"&amp;"TRUE"&amp;"|"&amp;VLOOKUP(Nutrients_from_current_land_use!$B$7,Value_look_up_tables!$A$126:$C$148,3,FALSE)&amp;"|"&amp;VLOOKUP($B$6,Value_look_up_tables!$A$156:$B$161,2,FALSE),Value_look_up_tables!$F$22:$H$122,3,FALSE),$B22*VLOOKUP($A22&amp;"|"&amp;VLOOKUP(Nutrients_from_current_land_use!$B$8,Value_look_up_tables!$A$165:$B$166,2,FALSE)&amp;"|"&amp;VLOOKUP(Nutrients_from_current_land_use!$B$7,Value_look_up_tables!$A$126:$C$148,3,FALSE)&amp;"|"&amp;"DrainedArGr",Value_look_up_tables!$F$22:$H$122,3,FALSE))),IFERROR($B22*VLOOKUP($A22&amp;"|"&amp;VLOOKUP(Nutrients_from_current_land_use!$B$7,Value_look_up_tables!$A$126:$C$148,3,FALSE),Value_look_up_tables!$I$22:$K$114,3,FALSE),$B22*VLOOKUP($A22,Value_look_up_tables!$B$22:$M$114,12,FALSE)))))</f>
        <v>0</v>
      </c>
      <c r="D22" s="41" t="str">
        <f>IF(
OR(ISBLANK($A22),ISBLANK($B22),ISBLANK($B$6),ISBLANK($B$5),ISBLANK($B$7),$A22="Residential urban land",$A22="Commercial/industrial urban land",$A22="Open urban land",$A22="Greenspace",$A22="Community food growing",$A22="Woodland",$A22="Shrub",$A22="Water"),"Not applicable",IF(ISNUMBER(IFERROR($B22*VLOOKUP((IF(
OR($A22="Residential urban land",$A22="Commercial/industrial urban land",$A22="Open urban land",$A22="Greenspace",$A22="Community food growing",$A22="Woodland",$A22="Shrub",$A22="Water"),"|||"&amp;$A22,(VLOOKUP(Nutrients_from_current_land_use!$B$5,Value_look_up_tables!$A$152:$B$152,2,FALSE)&amp;"|"&amp;$A22&amp;"|"&amp;VLOOKUP(Nutrients_from_current_land_use!$B$8,Value_look_up_tables!$A$165:$B$166,2,FALSE)&amp;"|"&amp;VLOOKUP(Nutrients_from_current_land_use!$B$7,Value_look_up_tables!$A$126:$C$148,3,FALSE)&amp;"|"&amp;VLOOKUP($B$6,Value_look_up_tables!$A$156:$B$161,2,FALSE)))),Value_look_up_tables!$F$22:$H$122,3,FALSE),
IFERROR($B22*VLOOKUP($A22&amp;"|"&amp;VLOOKUP(Nutrients_from_current_land_use!$B$8,Value_look_up_tables!$A$165:$B$166,2,FALSE)&amp;"|"&amp;VLOOKUP(Nutrients_from_current_land_use!$B$7,Value_look_up_tables!$A$126:$C$148,3,FALSE)&amp;"|"&amp;VLOOKUP($B$6,Value_look_up_tables!$A$156:$B$161,2,FALSE),Value_look_up_tables!$F$22:$H$122,3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2" s="6"/>
      <c r="F22" s="39"/>
    </row>
    <row r="23" spans="1:6" ht="43" customHeight="1" x14ac:dyDescent="0.35">
      <c r="A23" s="48"/>
      <c r="B23" s="30"/>
      <c r="C23" s="50">
        <f>IF(OR(ISBLANK($A23),ISBLANK($B23),ISBLANK($B$6),ISBLANK($B$7)),0,IFERROR($B23*VLOOKUP((IF(OR($A23="Residential urban land",$A23="Commercial/industrial urban land",$A23="Open urban land",$A23="Greenspace",$A23="Community food growing",$A23="Woodland",$A23="Shrub", $A23="Water"), "|||"&amp;$A23, (VLOOKUP(Nutrients_from_current_land_use!$B$5,Value_look_up_tables!$A$152:$B$152,2,FALSE)&amp;"|"&amp;$A23&amp;"|"&amp;VLOOKUP(Nutrients_from_current_land_use!$B$8,Value_look_up_tables!$A$165:$B$166,2,FALSE)&amp;"|"&amp;VLOOKUP(Nutrients_from_current_land_use!$B$7,Value_look_up_tables!$A$126:$C$148,3,FALSE)&amp;"|"&amp;VLOOKUP($B$6,Value_look_up_tables!$A$156:$B$161,2,FALSE)))),Value_look_up_tables!$F$22:$H$122,3,FALSE),
IFERROR(IFERROR($B23*VLOOKUP($A23&amp;"|"&amp;VLOOKUP(Nutrients_from_current_land_use!$B$8,Value_look_up_tables!$A$165:$B$166,2,FALSE)&amp;"|"&amp;VLOOKUP(Nutrients_from_current_land_use!$B$7,Value_look_up_tables!$A$126:$C$148,3,FALSE)&amp;"|"&amp;VLOOKUP($B$6,Value_look_up_tables!$A$156:$B$161,2,FALSE),Value_look_up_tables!$F$22:$H$122,3,FALSE),IFERROR($B23*VLOOKUP($A23&amp;"|"&amp;"TRUE"&amp;"|"&amp;VLOOKUP(Nutrients_from_current_land_use!$B$7,Value_look_up_tables!$A$126:$C$148,3,FALSE)&amp;"|"&amp;VLOOKUP($B$6,Value_look_up_tables!$A$156:$B$161,2,FALSE),Value_look_up_tables!$F$22:$H$122,3,FALSE),$B23*VLOOKUP($A23&amp;"|"&amp;VLOOKUP(Nutrients_from_current_land_use!$B$8,Value_look_up_tables!$A$165:$B$166,2,FALSE)&amp;"|"&amp;VLOOKUP(Nutrients_from_current_land_use!$B$7,Value_look_up_tables!$A$126:$C$148,3,FALSE)&amp;"|"&amp;"DrainedArGr",Value_look_up_tables!$F$22:$H$122,3,FALSE))),IFERROR($B23*VLOOKUP($A23&amp;"|"&amp;VLOOKUP(Nutrients_from_current_land_use!$B$7,Value_look_up_tables!$A$126:$C$148,3,FALSE),Value_look_up_tables!$I$22:$K$114,3,FALSE),$B23*VLOOKUP($A23,Value_look_up_tables!$B$22:$M$114,12,FALSE)))))</f>
        <v>0</v>
      </c>
      <c r="D23" s="41" t="str">
        <f>IF(
OR(ISBLANK($A23),ISBLANK($B23),ISBLANK($B$6),ISBLANK($B$5),ISBLANK($B$7),$A23="Residential urban land",$A23="Commercial/industrial urban land",$A23="Open urban land",$A23="Greenspace",$A23="Community food growing",$A23="Woodland",$A23="Shrub",$A23="Water"),"Not applicable",IF(ISNUMBER(IFERROR($B23*VLOOKUP((IF(
OR($A23="Residential urban land",$A23="Commercial/industrial urban land",$A23="Open urban land",$A23="Greenspace",$A23="Community food growing",$A23="Woodland",$A23="Shrub",$A23="Water"),"|||"&amp;$A23,(VLOOKUP(Nutrients_from_current_land_use!$B$5,Value_look_up_tables!$A$152:$B$152,2,FALSE)&amp;"|"&amp;$A23&amp;"|"&amp;VLOOKUP(Nutrients_from_current_land_use!$B$8,Value_look_up_tables!$A$165:$B$166,2,FALSE)&amp;"|"&amp;VLOOKUP(Nutrients_from_current_land_use!$B$7,Value_look_up_tables!$A$126:$C$148,3,FALSE)&amp;"|"&amp;VLOOKUP($B$6,Value_look_up_tables!$A$156:$B$161,2,FALSE)))),Value_look_up_tables!$F$22:$H$122,3,FALSE),
IFERROR($B23*VLOOKUP($A23&amp;"|"&amp;VLOOKUP(Nutrients_from_current_land_use!$B$8,Value_look_up_tables!$A$165:$B$166,2,FALSE)&amp;"|"&amp;VLOOKUP(Nutrients_from_current_land_use!$B$7,Value_look_up_tables!$A$126:$C$148,3,FALSE)&amp;"|"&amp;VLOOKUP($B$6,Value_look_up_tables!$A$156:$B$161,2,FALSE),Value_look_up_tables!$F$22:$H$122,3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3" s="6"/>
      <c r="F23" s="6"/>
    </row>
    <row r="24" spans="1:6" ht="43" customHeight="1" x14ac:dyDescent="0.35">
      <c r="A24" s="48"/>
      <c r="B24" s="30"/>
      <c r="C24" s="50">
        <f>IF(OR(ISBLANK($A24),ISBLANK($B24),ISBLANK($B$6),ISBLANK($B$7)),0,IFERROR($B24*VLOOKUP((IF(OR($A24="Residential urban land",$A24="Commercial/industrial urban land",$A24="Open urban land",$A24="Greenspace",$A24="Community food growing",$A24="Woodland",$A24="Shrub", $A24="Water"), "|||"&amp;$A24, (VLOOKUP(Nutrients_from_current_land_use!$B$5,Value_look_up_tables!$A$152:$B$152,2,FALSE)&amp;"|"&amp;$A24&amp;"|"&amp;VLOOKUP(Nutrients_from_current_land_use!$B$8,Value_look_up_tables!$A$165:$B$166,2,FALSE)&amp;"|"&amp;VLOOKUP(Nutrients_from_current_land_use!$B$7,Value_look_up_tables!$A$126:$C$148,3,FALSE)&amp;"|"&amp;VLOOKUP($B$6,Value_look_up_tables!$A$156:$B$161,2,FALSE)))),Value_look_up_tables!$F$22:$H$122,3,FALSE),
IFERROR(IFERROR($B24*VLOOKUP($A24&amp;"|"&amp;VLOOKUP(Nutrients_from_current_land_use!$B$8,Value_look_up_tables!$A$165:$B$166,2,FALSE)&amp;"|"&amp;VLOOKUP(Nutrients_from_current_land_use!$B$7,Value_look_up_tables!$A$126:$C$148,3,FALSE)&amp;"|"&amp;VLOOKUP($B$6,Value_look_up_tables!$A$156:$B$161,2,FALSE),Value_look_up_tables!$F$22:$H$122,3,FALSE),IFERROR($B24*VLOOKUP($A24&amp;"|"&amp;"TRUE"&amp;"|"&amp;VLOOKUP(Nutrients_from_current_land_use!$B$7,Value_look_up_tables!$A$126:$C$148,3,FALSE)&amp;"|"&amp;VLOOKUP($B$6,Value_look_up_tables!$A$156:$B$161,2,FALSE),Value_look_up_tables!$F$22:$H$122,3,FALSE),$B24*VLOOKUP($A24&amp;"|"&amp;VLOOKUP(Nutrients_from_current_land_use!$B$8,Value_look_up_tables!$A$165:$B$166,2,FALSE)&amp;"|"&amp;VLOOKUP(Nutrients_from_current_land_use!$B$7,Value_look_up_tables!$A$126:$C$148,3,FALSE)&amp;"|"&amp;"DrainedArGr",Value_look_up_tables!$F$22:$H$122,3,FALSE))),IFERROR($B24*VLOOKUP($A24&amp;"|"&amp;VLOOKUP(Nutrients_from_current_land_use!$B$7,Value_look_up_tables!$A$126:$C$148,3,FALSE),Value_look_up_tables!$I$22:$K$114,3,FALSE),$B24*VLOOKUP($A24,Value_look_up_tables!$B$22:$M$114,12,FALSE)))))</f>
        <v>0</v>
      </c>
      <c r="D24" s="41" t="str">
        <f>IF(
OR(ISBLANK($A24),ISBLANK($B24),ISBLANK($B$6),ISBLANK($B$5),ISBLANK($B$7),$A24="Residential urban land",$A24="Commercial/industrial urban land",$A24="Open urban land",$A24="Greenspace",$A24="Community food growing",$A24="Woodland",$A24="Shrub",$A24="Water"),"Not applicable",IF(ISNUMBER(IFERROR($B24*VLOOKUP((IF(
OR($A24="Residential urban land",$A24="Commercial/industrial urban land",$A24="Open urban land",$A24="Greenspace",$A24="Community food growing",$A24="Woodland",$A24="Shrub",$A24="Water"),"|||"&amp;$A24,(VLOOKUP(Nutrients_from_current_land_use!$B$5,Value_look_up_tables!$A$152:$B$152,2,FALSE)&amp;"|"&amp;$A24&amp;"|"&amp;VLOOKUP(Nutrients_from_current_land_use!$B$8,Value_look_up_tables!$A$165:$B$166,2,FALSE)&amp;"|"&amp;VLOOKUP(Nutrients_from_current_land_use!$B$7,Value_look_up_tables!$A$126:$C$148,3,FALSE)&amp;"|"&amp;VLOOKUP($B$6,Value_look_up_tables!$A$156:$B$161,2,FALSE)))),Value_look_up_tables!$F$22:$H$122,3,FALSE),
IFERROR($B24*VLOOKUP($A24&amp;"|"&amp;VLOOKUP(Nutrients_from_current_land_use!$B$8,Value_look_up_tables!$A$165:$B$166,2,FALSE)&amp;"|"&amp;VLOOKUP(Nutrients_from_current_land_use!$B$7,Value_look_up_tables!$A$126:$C$148,3,FALSE)&amp;"|"&amp;VLOOKUP($B$6,Value_look_up_tables!$A$156:$B$161,2,FALSE),Value_look_up_tables!$F$22:$H$122,3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4" s="6"/>
      <c r="F24" s="6"/>
    </row>
    <row r="25" spans="1:6" ht="43" customHeight="1" x14ac:dyDescent="0.35">
      <c r="A25" s="48"/>
      <c r="B25" s="30"/>
      <c r="C25" s="50">
        <f>IF(OR(ISBLANK($A25),ISBLANK($B25),ISBLANK($B$6),ISBLANK($B$7)),0,IFERROR($B25*VLOOKUP((IF(OR($A25="Residential urban land",$A25="Commercial/industrial urban land",$A25="Open urban land",$A25="Greenspace",$A25="Community food growing",$A25="Woodland",$A25="Shrub", $A25="Water"), "|||"&amp;$A25, (VLOOKUP(Nutrients_from_current_land_use!$B$5,Value_look_up_tables!$A$152:$B$152,2,FALSE)&amp;"|"&amp;$A25&amp;"|"&amp;VLOOKUP(Nutrients_from_current_land_use!$B$8,Value_look_up_tables!$A$165:$B$166,2,FALSE)&amp;"|"&amp;VLOOKUP(Nutrients_from_current_land_use!$B$7,Value_look_up_tables!$A$126:$C$148,3,FALSE)&amp;"|"&amp;VLOOKUP($B$6,Value_look_up_tables!$A$156:$B$161,2,FALSE)))),Value_look_up_tables!$F$22:$H$122,3,FALSE),
IFERROR(IFERROR($B25*VLOOKUP($A25&amp;"|"&amp;VLOOKUP(Nutrients_from_current_land_use!$B$8,Value_look_up_tables!$A$165:$B$166,2,FALSE)&amp;"|"&amp;VLOOKUP(Nutrients_from_current_land_use!$B$7,Value_look_up_tables!$A$126:$C$148,3,FALSE)&amp;"|"&amp;VLOOKUP($B$6,Value_look_up_tables!$A$156:$B$161,2,FALSE),Value_look_up_tables!$F$22:$H$122,3,FALSE),IFERROR($B25*VLOOKUP($A25&amp;"|"&amp;"TRUE"&amp;"|"&amp;VLOOKUP(Nutrients_from_current_land_use!$B$7,Value_look_up_tables!$A$126:$C$148,3,FALSE)&amp;"|"&amp;VLOOKUP($B$6,Value_look_up_tables!$A$156:$B$161,2,FALSE),Value_look_up_tables!$F$22:$H$122,3,FALSE),$B25*VLOOKUP($A25&amp;"|"&amp;VLOOKUP(Nutrients_from_current_land_use!$B$8,Value_look_up_tables!$A$165:$B$166,2,FALSE)&amp;"|"&amp;VLOOKUP(Nutrients_from_current_land_use!$B$7,Value_look_up_tables!$A$126:$C$148,3,FALSE)&amp;"|"&amp;"DrainedArGr",Value_look_up_tables!$F$22:$H$122,3,FALSE))),IFERROR($B25*VLOOKUP($A25&amp;"|"&amp;VLOOKUP(Nutrients_from_current_land_use!$B$7,Value_look_up_tables!$A$126:$C$148,3,FALSE),Value_look_up_tables!$I$22:$K$114,3,FALSE),$B25*VLOOKUP($A25,Value_look_up_tables!$B$22:$M$114,12,FALSE)))))</f>
        <v>0</v>
      </c>
      <c r="D25" s="41" t="str">
        <f>IF(
OR(ISBLANK($A25),ISBLANK($B25),ISBLANK($B$6),ISBLANK($B$5),ISBLANK($B$7),$A25="Residential urban land",$A25="Commercial/industrial urban land",$A25="Open urban land",$A25="Greenspace",$A25="Community food growing",$A25="Woodland",$A25="Shrub",$A25="Water"),"Not applicable",IF(ISNUMBER(IFERROR($B25*VLOOKUP((IF(
OR($A25="Residential urban land",$A25="Commercial/industrial urban land",$A25="Open urban land",$A25="Greenspace",$A25="Community food growing",$A25="Woodland",$A25="Shrub",$A25="Water"),"|||"&amp;$A25,(VLOOKUP(Nutrients_from_current_land_use!$B$5,Value_look_up_tables!$A$152:$B$152,2,FALSE)&amp;"|"&amp;$A25&amp;"|"&amp;VLOOKUP(Nutrients_from_current_land_use!$B$8,Value_look_up_tables!$A$165:$B$166,2,FALSE)&amp;"|"&amp;VLOOKUP(Nutrients_from_current_land_use!$B$7,Value_look_up_tables!$A$126:$C$148,3,FALSE)&amp;"|"&amp;VLOOKUP($B$6,Value_look_up_tables!$A$156:$B$161,2,FALSE)))),Value_look_up_tables!$F$22:$H$122,3,FALSE),
IFERROR($B25*VLOOKUP($A25&amp;"|"&amp;VLOOKUP(Nutrients_from_current_land_use!$B$8,Value_look_up_tables!$A$165:$B$166,2,FALSE)&amp;"|"&amp;VLOOKUP(Nutrients_from_current_land_use!$B$7,Value_look_up_tables!$A$126:$C$148,3,FALSE)&amp;"|"&amp;VLOOKUP($B$6,Value_look_up_tables!$A$156:$B$161,2,FALSE),Value_look_up_tables!$F$22:$H$122,3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5" s="6"/>
      <c r="F25" s="6"/>
    </row>
    <row r="26" spans="1:6" ht="43" customHeight="1" x14ac:dyDescent="0.35">
      <c r="A26" s="48"/>
      <c r="B26" s="30"/>
      <c r="C26" s="50">
        <f>IF(OR(ISBLANK($A26),ISBLANK($B26),ISBLANK($B$6),ISBLANK($B$7)),0,IFERROR($B26*VLOOKUP((IF(OR($A26="Residential urban land",$A26="Commercial/industrial urban land",$A26="Open urban land",$A26="Greenspace",$A26="Community food growing",$A26="Woodland",$A26="Shrub", $A26="Water"), "|||"&amp;$A26, (VLOOKUP(Nutrients_from_current_land_use!$B$5,Value_look_up_tables!$A$152:$B$152,2,FALSE)&amp;"|"&amp;$A26&amp;"|"&amp;VLOOKUP(Nutrients_from_current_land_use!$B$8,Value_look_up_tables!$A$165:$B$166,2,FALSE)&amp;"|"&amp;VLOOKUP(Nutrients_from_current_land_use!$B$7,Value_look_up_tables!$A$126:$C$148,3,FALSE)&amp;"|"&amp;VLOOKUP($B$6,Value_look_up_tables!$A$156:$B$161,2,FALSE)))),Value_look_up_tables!$F$22:$H$122,3,FALSE),
IFERROR(IFERROR($B26*VLOOKUP($A26&amp;"|"&amp;VLOOKUP(Nutrients_from_current_land_use!$B$8,Value_look_up_tables!$A$165:$B$166,2,FALSE)&amp;"|"&amp;VLOOKUP(Nutrients_from_current_land_use!$B$7,Value_look_up_tables!$A$126:$C$148,3,FALSE)&amp;"|"&amp;VLOOKUP($B$6,Value_look_up_tables!$A$156:$B$161,2,FALSE),Value_look_up_tables!$F$22:$H$122,3,FALSE),IFERROR($B26*VLOOKUP($A26&amp;"|"&amp;"TRUE"&amp;"|"&amp;VLOOKUP(Nutrients_from_current_land_use!$B$7,Value_look_up_tables!$A$126:$C$148,3,FALSE)&amp;"|"&amp;VLOOKUP($B$6,Value_look_up_tables!$A$156:$B$161,2,FALSE),Value_look_up_tables!$F$22:$H$122,3,FALSE),$B26*VLOOKUP($A26&amp;"|"&amp;VLOOKUP(Nutrients_from_current_land_use!$B$8,Value_look_up_tables!$A$165:$B$166,2,FALSE)&amp;"|"&amp;VLOOKUP(Nutrients_from_current_land_use!$B$7,Value_look_up_tables!$A$126:$C$148,3,FALSE)&amp;"|"&amp;"DrainedArGr",Value_look_up_tables!$F$22:$H$122,3,FALSE))),IFERROR($B26*VLOOKUP($A26&amp;"|"&amp;VLOOKUP(Nutrients_from_current_land_use!$B$7,Value_look_up_tables!$A$126:$C$148,3,FALSE),Value_look_up_tables!$I$22:$K$114,3,FALSE),$B26*VLOOKUP($A26,Value_look_up_tables!$B$22:$M$114,12,FALSE)))))</f>
        <v>0</v>
      </c>
      <c r="D26" s="41" t="str">
        <f>IF(
OR(ISBLANK($A26),ISBLANK($B26),ISBLANK($B$6),ISBLANK($B$5),ISBLANK($B$7),$A26="Residential urban land",$A26="Commercial/industrial urban land",$A26="Open urban land",$A26="Greenspace",$A26="Community food growing",$A26="Woodland",$A26="Shrub",$A26="Water"),"Not applicable",IF(ISNUMBER(IFERROR($B26*VLOOKUP((IF(
OR($A26="Residential urban land",$A26="Commercial/industrial urban land",$A26="Open urban land",$A26="Greenspace",$A26="Community food growing",$A26="Woodland",$A26="Shrub",$A26="Water"),"|||"&amp;$A26,(VLOOKUP(Nutrients_from_current_land_use!$B$5,Value_look_up_tables!$A$152:$B$152,2,FALSE)&amp;"|"&amp;$A26&amp;"|"&amp;VLOOKUP(Nutrients_from_current_land_use!$B$8,Value_look_up_tables!$A$165:$B$166,2,FALSE)&amp;"|"&amp;VLOOKUP(Nutrients_from_current_land_use!$B$7,Value_look_up_tables!$A$126:$C$148,3,FALSE)&amp;"|"&amp;VLOOKUP($B$6,Value_look_up_tables!$A$156:$B$161,2,FALSE)))),Value_look_up_tables!$F$22:$H$122,3,FALSE),
IFERROR($B26*VLOOKUP($A26&amp;"|"&amp;VLOOKUP(Nutrients_from_current_land_use!$B$8,Value_look_up_tables!$A$165:$B$166,2,FALSE)&amp;"|"&amp;VLOOKUP(Nutrients_from_current_land_use!$B$7,Value_look_up_tables!$A$126:$C$148,3,FALSE)&amp;"|"&amp;VLOOKUP($B$6,Value_look_up_tables!$A$156:$B$161,2,FALSE),Value_look_up_tables!$F$22:$H$122,3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6" ht="43" customHeight="1" x14ac:dyDescent="0.35">
      <c r="A27" s="48"/>
      <c r="B27" s="30"/>
      <c r="C27" s="50">
        <f>IF(OR(ISBLANK($A27),ISBLANK($B27),ISBLANK($B$6),ISBLANK($B$7)),0,IFERROR($B27*VLOOKUP((IF(OR($A27="Residential urban land",$A27="Commercial/industrial urban land",$A27="Open urban land",$A27="Greenspace",$A27="Community food growing",$A27="Woodland",$A27="Shrub", $A27="Water"), "|||"&amp;$A27, (VLOOKUP(Nutrients_from_current_land_use!$B$5,Value_look_up_tables!$A$152:$B$152,2,FALSE)&amp;"|"&amp;$A27&amp;"|"&amp;VLOOKUP(Nutrients_from_current_land_use!$B$8,Value_look_up_tables!$A$165:$B$166,2,FALSE)&amp;"|"&amp;VLOOKUP(Nutrients_from_current_land_use!$B$7,Value_look_up_tables!$A$126:$C$148,3,FALSE)&amp;"|"&amp;VLOOKUP($B$6,Value_look_up_tables!$A$156:$B$161,2,FALSE)))),Value_look_up_tables!$F$22:$H$122,3,FALSE),
IFERROR(IFERROR($B27*VLOOKUP($A27&amp;"|"&amp;VLOOKUP(Nutrients_from_current_land_use!$B$8,Value_look_up_tables!$A$165:$B$166,2,FALSE)&amp;"|"&amp;VLOOKUP(Nutrients_from_current_land_use!$B$7,Value_look_up_tables!$A$126:$C$148,3,FALSE)&amp;"|"&amp;VLOOKUP($B$6,Value_look_up_tables!$A$156:$B$161,2,FALSE),Value_look_up_tables!$F$22:$H$122,3,FALSE),IFERROR($B27*VLOOKUP($A27&amp;"|"&amp;"TRUE"&amp;"|"&amp;VLOOKUP(Nutrients_from_current_land_use!$B$7,Value_look_up_tables!$A$126:$C$148,3,FALSE)&amp;"|"&amp;VLOOKUP($B$6,Value_look_up_tables!$A$156:$B$161,2,FALSE),Value_look_up_tables!$F$22:$H$122,3,FALSE),$B27*VLOOKUP($A27&amp;"|"&amp;VLOOKUP(Nutrients_from_current_land_use!$B$8,Value_look_up_tables!$A$165:$B$166,2,FALSE)&amp;"|"&amp;VLOOKUP(Nutrients_from_current_land_use!$B$7,Value_look_up_tables!$A$126:$C$148,3,FALSE)&amp;"|"&amp;"DrainedArGr",Value_look_up_tables!$F$22:$H$122,3,FALSE))),IFERROR($B27*VLOOKUP($A27&amp;"|"&amp;VLOOKUP(Nutrients_from_current_land_use!$B$7,Value_look_up_tables!$A$126:$C$148,3,FALSE),Value_look_up_tables!$I$22:$K$114,3,FALSE),$B27*VLOOKUP($A27,Value_look_up_tables!$B$22:$M$114,12,FALSE)))))</f>
        <v>0</v>
      </c>
      <c r="D27" s="41" t="str">
        <f>IF(
OR(ISBLANK($A27),ISBLANK($B27),ISBLANK($B$6),ISBLANK($B$5),ISBLANK($B$7),$A27="Residential urban land",$A27="Commercial/industrial urban land",$A27="Open urban land",$A27="Greenspace",$A27="Community food growing",$A27="Woodland",$A27="Shrub",$A27="Water"),"Not applicable",IF(ISNUMBER(IFERROR($B27*VLOOKUP((IF(
OR($A27="Residential urban land",$A27="Commercial/industrial urban land",$A27="Open urban land",$A27="Greenspace",$A27="Community food growing",$A27="Woodland",$A27="Shrub",$A27="Water"),"|||"&amp;$A27,(VLOOKUP(Nutrients_from_current_land_use!$B$5,Value_look_up_tables!$A$152:$B$152,2,FALSE)&amp;"|"&amp;$A27&amp;"|"&amp;VLOOKUP(Nutrients_from_current_land_use!$B$8,Value_look_up_tables!$A$165:$B$166,2,FALSE)&amp;"|"&amp;VLOOKUP(Nutrients_from_current_land_use!$B$7,Value_look_up_tables!$A$126:$C$148,3,FALSE)&amp;"|"&amp;VLOOKUP($B$6,Value_look_up_tables!$A$156:$B$161,2,FALSE)))),Value_look_up_tables!$F$22:$H$122,3,FALSE),
IFERROR($B27*VLOOKUP($A27&amp;"|"&amp;VLOOKUP(Nutrients_from_current_land_use!$B$8,Value_look_up_tables!$A$165:$B$166,2,FALSE)&amp;"|"&amp;VLOOKUP(Nutrients_from_current_land_use!$B$7,Value_look_up_tables!$A$126:$C$148,3,FALSE)&amp;"|"&amp;VLOOKUP($B$6,Value_look_up_tables!$A$156:$B$161,2,FALSE),Value_look_up_tables!$F$22:$H$122,3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6" ht="24" customHeight="1" x14ac:dyDescent="0.35">
      <c r="A28" s="3" t="s">
        <v>92</v>
      </c>
      <c r="B28" s="42">
        <f>SUM(B11:B27)</f>
        <v>0</v>
      </c>
      <c r="C28" s="42">
        <f>SUM(C11:C27)</f>
        <v>0</v>
      </c>
      <c r="D28" s="49"/>
    </row>
    <row r="30" spans="1:6" x14ac:dyDescent="0.35">
      <c r="F30" s="43"/>
    </row>
  </sheetData>
  <sheetProtection algorithmName="SHA-512" hashValue="F6TjGVEUyR08KAmParhU4Oj6YfaFVdWj4QXno8XbGS7cM39NrjdBBDo+2eh7HyNrOucTMoqLxHLfD5MOZKt4Cw==" saltValue="HVUFfqv5Drmz8/qPSuSW1w=="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0"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Value_look_up_tables!$A$138:$A$147</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Value_look_up_tables!$A$165:$A$166</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Value_look_up_tables!$A$156:$A$161</xm:f>
          </x14:formula1>
          <xm:sqref>B6</xm:sqref>
        </x14:dataValidation>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Value_look_up_tables!$A$152:$A$152</xm:f>
          </x14:formula1>
          <xm:sqref>B5</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Value_look_up_tables!$A$190:$A$206</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E22"/>
  <sheetViews>
    <sheetView zoomScaleNormal="100" workbookViewId="0"/>
  </sheetViews>
  <sheetFormatPr defaultColWidth="9.1796875" defaultRowHeight="14" x14ac:dyDescent="0.3"/>
  <cols>
    <col min="1" max="1" width="67.7265625" style="52" customWidth="1"/>
    <col min="2" max="2" width="22.81640625" style="52" customWidth="1"/>
    <col min="3" max="3" width="24.54296875" style="52" customWidth="1"/>
    <col min="4" max="473" width="8.54296875" style="52" customWidth="1"/>
    <col min="474" max="16384" width="9.1796875" style="52"/>
  </cols>
  <sheetData>
    <row r="1" spans="1:3" ht="50.25" customHeight="1" x14ac:dyDescent="0.3">
      <c r="A1" s="5" t="s">
        <v>16</v>
      </c>
      <c r="B1" s="51"/>
      <c r="C1" s="51"/>
    </row>
    <row r="2" spans="1:3" ht="373.5" customHeight="1" x14ac:dyDescent="0.3">
      <c r="A2" s="7" t="s">
        <v>93</v>
      </c>
      <c r="B2" s="53"/>
      <c r="C2" s="51"/>
    </row>
    <row r="3" spans="1:3" ht="51" customHeight="1" x14ac:dyDescent="0.4">
      <c r="A3" s="8" t="s">
        <v>94</v>
      </c>
      <c r="B3" s="54"/>
      <c r="C3" s="54"/>
    </row>
    <row r="4" spans="1:3" ht="56.25" customHeight="1" x14ac:dyDescent="0.3">
      <c r="A4" s="59" t="s">
        <v>95</v>
      </c>
      <c r="B4" s="59" t="s">
        <v>89</v>
      </c>
      <c r="C4" s="59" t="s">
        <v>96</v>
      </c>
    </row>
    <row r="5" spans="1:3" ht="23.25" customHeight="1" x14ac:dyDescent="0.3">
      <c r="A5" s="61"/>
      <c r="B5" s="30"/>
      <c r="C5" s="50">
        <f>IFERROR(IF(OR(ISBLANK(A5),ISBLANK(B5)),0,B5*VLOOKUP((IF(OR(A5="Residential urban land",A5="Commercial/industrial urban land",A5="Open urban land",A5="Greenspace",A5="Community food growing",A5="Woodland",A5="Shrub", A5="Water"), "|||"&amp;A5, (VLOOKUP(Nutrients_from_current_land_use!$B$5,Value_look_up_tables!$A$152:$B$152,2,FALSE)&amp;"|"&amp;A5&amp;"|"&amp;VLOOKUP(Nutrients_from_current_land_use!$B$8,Value_look_up_tables!$A$165:$B$166,2,FALSE)&amp;"|"&amp;VLOOKUP(Nutrients_from_current_land_use!$B$7,Value_look_up_tables!$A$126:$C$148,3,FALSE)&amp;"|"&amp;VLOOKUP(Nutrients_from_current_land_use!$B$6,Value_look_up_tables!$A$156:$B$161,2,FALSE)))),Value_look_up_tables!$F$22:$H$122,3,FALSE)),0)</f>
        <v>0</v>
      </c>
    </row>
    <row r="6" spans="1:3" ht="23.25" customHeight="1" x14ac:dyDescent="0.3">
      <c r="A6" s="62"/>
      <c r="B6" s="63"/>
      <c r="C6" s="50">
        <f>IFERROR(IF(OR(ISBLANK(A6),ISBLANK(B6)),0,B6*VLOOKUP((IF(OR(A6="Residential urban land",A6="Commercial/industrial urban land",A6="Open urban land",A6="Greenspace",A6="Community food growing",A6="Woodland",A6="Shrub", A6="Water"), "|||"&amp;A6, (VLOOKUP(Nutrients_from_current_land_use!$B$5,Value_look_up_tables!$A$152:$B$152,2,FALSE)&amp;"|"&amp;A6&amp;"|"&amp;VLOOKUP(Nutrients_from_current_land_use!$B$8,Value_look_up_tables!$A$165:$B$166,2,FALSE)&amp;"|"&amp;VLOOKUP(Nutrients_from_current_land_use!$B$7,Value_look_up_tables!$A$126:$C$148,3,FALSE)&amp;"|"&amp;VLOOKUP(Nutrients_from_current_land_use!$B$6,Value_look_up_tables!$A$156:$B$161,2,FALSE)))),Value_look_up_tables!$F$22:$H$122,3,FALSE)),0)</f>
        <v>0</v>
      </c>
    </row>
    <row r="7" spans="1:3" ht="23.25" customHeight="1" x14ac:dyDescent="0.3">
      <c r="A7" s="62"/>
      <c r="B7" s="63"/>
      <c r="C7" s="50">
        <f>IFERROR(IF(OR(ISBLANK(A7),ISBLANK(B7)),0,B7*VLOOKUP((IF(OR(A7="Residential urban land",A7="Commercial/industrial urban land",A7="Open urban land",A7="Greenspace",A7="Community food growing",A7="Woodland",A7="Shrub", A7="Water"), "|||"&amp;A7, (VLOOKUP(Nutrients_from_current_land_use!$B$5,Value_look_up_tables!$A$152:$B$152,2,FALSE)&amp;"|"&amp;A7&amp;"|"&amp;VLOOKUP(Nutrients_from_current_land_use!$B$8,Value_look_up_tables!$A$165:$B$166,2,FALSE)&amp;"|"&amp;VLOOKUP(Nutrients_from_current_land_use!$B$7,Value_look_up_tables!$A$126:$C$148,3,FALSE)&amp;"|"&amp;VLOOKUP(Nutrients_from_current_land_use!$B$6,Value_look_up_tables!$A$156:$B$161,2,FALSE)))),Value_look_up_tables!$F$22:$H$122,3,FALSE)),0)</f>
        <v>0</v>
      </c>
    </row>
    <row r="8" spans="1:3" ht="23.25" customHeight="1" x14ac:dyDescent="0.3">
      <c r="A8" s="62"/>
      <c r="B8" s="63"/>
      <c r="C8" s="50">
        <f>IFERROR(IF(OR(ISBLANK(A8),ISBLANK(B8)),0,B8*VLOOKUP((IF(OR(A8="Residential urban land",A8="Commercial/industrial urban land",A8="Open urban land",A8="Greenspace",A8="Community food growing",A8="Woodland",A8="Shrub", A8="Water"), "|||"&amp;A8, (VLOOKUP(Nutrients_from_current_land_use!$B$5,Value_look_up_tables!$A$152:$B$152,2,FALSE)&amp;"|"&amp;A8&amp;"|"&amp;VLOOKUP(Nutrients_from_current_land_use!$B$8,Value_look_up_tables!$A$165:$B$166,2,FALSE)&amp;"|"&amp;VLOOKUP(Nutrients_from_current_land_use!$B$7,Value_look_up_tables!$A$126:$C$148,3,FALSE)&amp;"|"&amp;VLOOKUP(Nutrients_from_current_land_use!$B$6,Value_look_up_tables!$A$156:$B$161,2,FALSE)))),Value_look_up_tables!$F$22:$H$122,3,FALSE)),0)</f>
        <v>0</v>
      </c>
    </row>
    <row r="9" spans="1:3" ht="23.25" customHeight="1" x14ac:dyDescent="0.3">
      <c r="A9" s="62"/>
      <c r="B9" s="63"/>
      <c r="C9" s="50">
        <f>IFERROR(IF(OR(ISBLANK(A9),ISBLANK(B9)),0,B9*VLOOKUP((IF(OR(A9="Residential urban land",A9="Commercial/industrial urban land",A9="Open urban land",A9="Greenspace",A9="Community food growing",A9="Woodland",A9="Shrub", A9="Water"), "|||"&amp;A9, (VLOOKUP(Nutrients_from_current_land_use!$B$5,Value_look_up_tables!$A$152:$B$152,2,FALSE)&amp;"|"&amp;A9&amp;"|"&amp;VLOOKUP(Nutrients_from_current_land_use!$B$8,Value_look_up_tables!$A$165:$B$166,2,FALSE)&amp;"|"&amp;VLOOKUP(Nutrients_from_current_land_use!$B$7,Value_look_up_tables!$A$126:$C$148,3,FALSE)&amp;"|"&amp;VLOOKUP(Nutrients_from_current_land_use!$B$6,Value_look_up_tables!$A$156:$B$161,2,FALSE)))),Value_look_up_tables!$F$22:$H$122,3,FALSE)),0)</f>
        <v>0</v>
      </c>
    </row>
    <row r="10" spans="1:3" ht="23.25" customHeight="1" x14ac:dyDescent="0.3">
      <c r="A10" s="62"/>
      <c r="B10" s="63"/>
      <c r="C10" s="50">
        <f>IFERROR(IF(OR(ISBLANK(A10),ISBLANK(B10)),0,B10*VLOOKUP((IF(OR(A10="Residential urban land",A10="Commercial/industrial urban land",A10="Open urban land",A10="Greenspace",A10="Community food growing",A10="Woodland",A10="Shrub", A10="Water"), "|||"&amp;A10, (VLOOKUP(Nutrients_from_current_land_use!$B$5,Value_look_up_tables!$A$152:$B$152,2,FALSE)&amp;"|"&amp;A10&amp;"|"&amp;VLOOKUP(Nutrients_from_current_land_use!$B$8,Value_look_up_tables!$A$165:$B$166,2,FALSE)&amp;"|"&amp;VLOOKUP(Nutrients_from_current_land_use!$B$7,Value_look_up_tables!$A$126:$C$148,3,FALSE)&amp;"|"&amp;VLOOKUP(Nutrients_from_current_land_use!$B$6,Value_look_up_tables!$A$156:$B$161,2,FALSE)))),Value_look_up_tables!$F$22:$H$122,3,FALSE)),0)</f>
        <v>0</v>
      </c>
    </row>
    <row r="11" spans="1:3" ht="23.25" customHeight="1" x14ac:dyDescent="0.3">
      <c r="A11" s="62"/>
      <c r="B11" s="63"/>
      <c r="C11" s="50">
        <f>IFERROR(IF(OR(ISBLANK(A11),ISBLANK(B11)),0,B11*VLOOKUP((IF(OR(A11="Residential urban land",A11="Commercial/industrial urban land",A11="Open urban land",A11="Greenspace",A11="Community food growing",A11="Woodland",A11="Shrub", A11="Water"), "|||"&amp;A11, (VLOOKUP(Nutrients_from_current_land_use!$B$5,Value_look_up_tables!$A$152:$B$152,2,FALSE)&amp;"|"&amp;A11&amp;"|"&amp;VLOOKUP(Nutrients_from_current_land_use!$B$8,Value_look_up_tables!$A$165:$B$166,2,FALSE)&amp;"|"&amp;VLOOKUP(Nutrients_from_current_land_use!$B$7,Value_look_up_tables!$A$126:$C$148,3,FALSE)&amp;"|"&amp;VLOOKUP(Nutrients_from_current_land_use!$B$6,Value_look_up_tables!$A$156:$B$161,2,FALSE)))),Value_look_up_tables!$F$22:$H$122,3,FALSE)),0)</f>
        <v>0</v>
      </c>
    </row>
    <row r="12" spans="1:3" ht="23.25" customHeight="1" x14ac:dyDescent="0.3">
      <c r="A12" s="62"/>
      <c r="B12" s="63"/>
      <c r="C12" s="50">
        <f>IFERROR(IF(OR(ISBLANK(A12),ISBLANK(B12)),0,B12*VLOOKUP((IF(OR(A12="Residential urban land",A12="Commercial/industrial urban land",A12="Open urban land",A12="Greenspace",A12="Community food growing",A12="Woodland",A12="Shrub", A12="Water"), "|||"&amp;A12, (VLOOKUP(Nutrients_from_current_land_use!$B$5,Value_look_up_tables!$A$152:$B$152,2,FALSE)&amp;"|"&amp;A12&amp;"|"&amp;VLOOKUP(Nutrients_from_current_land_use!$B$8,Value_look_up_tables!$A$165:$B$166,2,FALSE)&amp;"|"&amp;VLOOKUP(Nutrients_from_current_land_use!$B$7,Value_look_up_tables!$A$126:$C$148,3,FALSE)&amp;"|"&amp;VLOOKUP(Nutrients_from_current_land_use!$B$6,Value_look_up_tables!$A$156:$B$161,2,FALSE)))),Value_look_up_tables!$F$22:$H$122,3,FALSE)),0)</f>
        <v>0</v>
      </c>
    </row>
    <row r="13" spans="1:3" ht="23.25" customHeight="1" x14ac:dyDescent="0.3">
      <c r="A13" s="62"/>
      <c r="B13" s="63"/>
      <c r="C13" s="50">
        <f>IFERROR(IF(OR(ISBLANK(A13),ISBLANK(B13)),0,B13*VLOOKUP((IF(OR(A13="Residential urban land",A13="Commercial/industrial urban land",A13="Open urban land",A13="Greenspace",A13="Community food growing",A13="Woodland",A13="Shrub", A13="Water"), "|||"&amp;A13, (VLOOKUP(Nutrients_from_current_land_use!$B$5,Value_look_up_tables!$A$152:$B$152,2,FALSE)&amp;"|"&amp;A13&amp;"|"&amp;VLOOKUP(Nutrients_from_current_land_use!$B$8,Value_look_up_tables!$A$165:$B$166,2,FALSE)&amp;"|"&amp;VLOOKUP(Nutrients_from_current_land_use!$B$7,Value_look_up_tables!$A$126:$C$148,3,FALSE)&amp;"|"&amp;VLOOKUP(Nutrients_from_current_land_use!$B$6,Value_look_up_tables!$A$156:$B$161,2,FALSE)))),Value_look_up_tables!$F$22:$H$122,3,FALSE)),0)</f>
        <v>0</v>
      </c>
    </row>
    <row r="14" spans="1:3" ht="23.25" customHeight="1" x14ac:dyDescent="0.3">
      <c r="A14" s="62"/>
      <c r="B14" s="63"/>
      <c r="C14" s="50">
        <f>IFERROR(IF(OR(ISBLANK(A14),ISBLANK(B14)),0,B14*VLOOKUP((IF(OR(A14="Residential urban land",A14="Commercial/industrial urban land",A14="Open urban land",A14="Greenspace",A14="Community food growing",A14="Woodland",A14="Shrub", A14="Water"), "|||"&amp;A14, (VLOOKUP(Nutrients_from_current_land_use!$B$5,Value_look_up_tables!$A$152:$B$152,2,FALSE)&amp;"|"&amp;A14&amp;"|"&amp;VLOOKUP(Nutrients_from_current_land_use!$B$8,Value_look_up_tables!$A$165:$B$166,2,FALSE)&amp;"|"&amp;VLOOKUP(Nutrients_from_current_land_use!$B$7,Value_look_up_tables!$A$126:$C$148,3,FALSE)&amp;"|"&amp;VLOOKUP(Nutrients_from_current_land_use!$B$6,Value_look_up_tables!$A$156:$B$161,2,FALSE)))),Value_look_up_tables!$F$22:$H$122,3,FALSE)),0)</f>
        <v>0</v>
      </c>
    </row>
    <row r="15" spans="1:3" ht="23.25" customHeight="1" x14ac:dyDescent="0.3">
      <c r="A15" s="62"/>
      <c r="B15" s="63"/>
      <c r="C15" s="50">
        <f>IFERROR(IF(OR(ISBLANK(A15),ISBLANK(B15)),0,B15*VLOOKUP((IF(OR(A15="Residential urban land",A15="Commercial/industrial urban land",A15="Open urban land",A15="Greenspace",A15="Community food growing",A15="Woodland",A15="Shrub", A15="Water"), "|||"&amp;A15, (VLOOKUP(Nutrients_from_current_land_use!$B$5,Value_look_up_tables!$A$152:$B$152,2,FALSE)&amp;"|"&amp;A15&amp;"|"&amp;VLOOKUP(Nutrients_from_current_land_use!$B$8,Value_look_up_tables!$A$165:$B$166,2,FALSE)&amp;"|"&amp;VLOOKUP(Nutrients_from_current_land_use!$B$7,Value_look_up_tables!$A$126:$C$148,3,FALSE)&amp;"|"&amp;VLOOKUP(Nutrients_from_current_land_use!$B$6,Value_look_up_tables!$A$156:$B$161,2,FALSE)))),Value_look_up_tables!$F$22:$H$122,3,FALSE)),0)</f>
        <v>0</v>
      </c>
    </row>
    <row r="16" spans="1:3" ht="23.25" customHeight="1" x14ac:dyDescent="0.3">
      <c r="A16" s="62"/>
      <c r="B16" s="63"/>
      <c r="C16" s="50">
        <f>IFERROR(IF(OR(ISBLANK(A16),ISBLANK(B16)),0,B16*VLOOKUP((IF(OR(A16="Residential urban land",A16="Commercial/industrial urban land",A16="Open urban land",A16="Greenspace",A16="Community food growing",A16="Woodland",A16="Shrub", A16="Water"), "|||"&amp;A16, (VLOOKUP(Nutrients_from_current_land_use!$B$5,Value_look_up_tables!$A$152:$B$152,2,FALSE)&amp;"|"&amp;A16&amp;"|"&amp;VLOOKUP(Nutrients_from_current_land_use!$B$8,Value_look_up_tables!$A$165:$B$166,2,FALSE)&amp;"|"&amp;VLOOKUP(Nutrients_from_current_land_use!$B$7,Value_look_up_tables!$A$126:$C$148,3,FALSE)&amp;"|"&amp;VLOOKUP(Nutrients_from_current_land_use!$B$6,Value_look_up_tables!$A$156:$B$161,2,FALSE)))),Value_look_up_tables!$F$22:$H$122,3,FALSE)),0)</f>
        <v>0</v>
      </c>
    </row>
    <row r="17" spans="1:5" ht="23.25" customHeight="1" x14ac:dyDescent="0.3">
      <c r="A17" s="62"/>
      <c r="B17" s="63"/>
      <c r="C17" s="50">
        <f>IFERROR(IF(OR(ISBLANK(A17),ISBLANK(B17)),0,B17*VLOOKUP((IF(OR(A17="Residential urban land",A17="Commercial/industrial urban land",A17="Open urban land",A17="Greenspace",A17="Community food growing",A17="Woodland",A17="Shrub", A17="Water"), "|||"&amp;A17, (VLOOKUP(Nutrients_from_current_land_use!$B$5,Value_look_up_tables!$A$152:$B$152,2,FALSE)&amp;"|"&amp;A17&amp;"|"&amp;VLOOKUP(Nutrients_from_current_land_use!$B$8,Value_look_up_tables!$A$165:$B$166,2,FALSE)&amp;"|"&amp;VLOOKUP(Nutrients_from_current_land_use!$B$7,Value_look_up_tables!$A$126:$C$148,3,FALSE)&amp;"|"&amp;VLOOKUP(Nutrients_from_current_land_use!$B$6,Value_look_up_tables!$A$156:$B$161,2,FALSE)))),Value_look_up_tables!$F$22:$H$122,3,FALSE)),0)</f>
        <v>0</v>
      </c>
    </row>
    <row r="18" spans="1:5" ht="23.25" customHeight="1" x14ac:dyDescent="0.3">
      <c r="A18" s="62"/>
      <c r="B18" s="63"/>
      <c r="C18" s="50">
        <f>IFERROR(IF(OR(ISBLANK(A18),ISBLANK(B18)),0,B18*VLOOKUP((IF(OR(A18="Residential urban land",A18="Commercial/industrial urban land",A18="Open urban land",A18="Greenspace",A18="Community food growing",A18="Woodland",A18="Shrub", A18="Water"), "|||"&amp;A18, (VLOOKUP(Nutrients_from_current_land_use!$B$5,Value_look_up_tables!$A$152:$B$152,2,FALSE)&amp;"|"&amp;A18&amp;"|"&amp;VLOOKUP(Nutrients_from_current_land_use!$B$8,Value_look_up_tables!$A$165:$B$166,2,FALSE)&amp;"|"&amp;VLOOKUP(Nutrients_from_current_land_use!$B$7,Value_look_up_tables!$A$126:$C$148,3,FALSE)&amp;"|"&amp;VLOOKUP(Nutrients_from_current_land_use!$B$6,Value_look_up_tables!$A$156:$B$161,2,FALSE)))),Value_look_up_tables!$F$22:$H$122,3,FALSE)),0)</f>
        <v>0</v>
      </c>
    </row>
    <row r="19" spans="1:5" ht="23.25" customHeight="1" x14ac:dyDescent="0.3">
      <c r="A19" s="62"/>
      <c r="B19" s="63"/>
      <c r="C19" s="50">
        <f>IFERROR(IF(OR(ISBLANK(A19),ISBLANK(B19)),0,B19*VLOOKUP((IF(OR(A19="Residential urban land",A19="Commercial/industrial urban land",A19="Open urban land",A19="Greenspace",A19="Community food growing",A19="Woodland",A19="Shrub", A19="Water"), "|||"&amp;A19, (VLOOKUP(Nutrients_from_current_land_use!$B$5,Value_look_up_tables!$A$152:$B$152,2,FALSE)&amp;"|"&amp;A19&amp;"|"&amp;VLOOKUP(Nutrients_from_current_land_use!$B$8,Value_look_up_tables!$A$165:$B$166,2,FALSE)&amp;"|"&amp;VLOOKUP(Nutrients_from_current_land_use!$B$7,Value_look_up_tables!$A$126:$C$148,3,FALSE)&amp;"|"&amp;VLOOKUP(Nutrients_from_current_land_use!$B$6,Value_look_up_tables!$A$156:$B$161,2,FALSE)))),Value_look_up_tables!$F$22:$H$122,3,FALSE)),0)</f>
        <v>0</v>
      </c>
    </row>
    <row r="20" spans="1:5" ht="23.25" customHeight="1" x14ac:dyDescent="0.3">
      <c r="A20" s="62"/>
      <c r="B20" s="63"/>
      <c r="C20" s="50">
        <f>IFERROR(IF(OR(ISBLANK(A20),ISBLANK(B20)),0,B20*VLOOKUP((IF(OR(A20="Residential urban land",A20="Commercial/industrial urban land",A20="Open urban land",A20="Greenspace",A20="Community food growing",A20="Woodland",A20="Shrub", A20="Water"), "|||"&amp;A20, (VLOOKUP(Nutrients_from_current_land_use!$B$5,Value_look_up_tables!$A$152:$B$152,2,FALSE)&amp;"|"&amp;A20&amp;"|"&amp;VLOOKUP(Nutrients_from_current_land_use!$B$8,Value_look_up_tables!$A$165:$B$166,2,FALSE)&amp;"|"&amp;VLOOKUP(Nutrients_from_current_land_use!$B$7,Value_look_up_tables!$A$126:$C$148,3,FALSE)&amp;"|"&amp;VLOOKUP(Nutrients_from_current_land_use!$B$6,Value_look_up_tables!$A$156:$B$161,2,FALSE)))),Value_look_up_tables!$F$22:$H$122,3,FALSE)),0)</f>
        <v>0</v>
      </c>
      <c r="E20" s="57"/>
    </row>
    <row r="21" spans="1:5" ht="23.25" customHeight="1" x14ac:dyDescent="0.3">
      <c r="A21" s="62"/>
      <c r="B21" s="63"/>
      <c r="C21" s="50">
        <f>IFERROR(IF(OR(ISBLANK(A21),ISBLANK(B21)),0,B21*VLOOKUP((IF(OR(A21="Residential urban land",A21="Commercial/industrial urban land",A21="Open urban land",A21="Greenspace",A21="Community food growing",A21="Woodland",A21="Shrub", A21="Water"), "|||"&amp;A21, (VLOOKUP(Nutrients_from_current_land_use!$B$5,Value_look_up_tables!$A$152:$B$152,2,FALSE)&amp;"|"&amp;A21&amp;"|"&amp;VLOOKUP(Nutrients_from_current_land_use!$B$8,Value_look_up_tables!$A$165:$B$166,2,FALSE)&amp;"|"&amp;VLOOKUP(Nutrients_from_current_land_use!$B$7,Value_look_up_tables!$A$126:$C$148,3,FALSE)&amp;"|"&amp;VLOOKUP(Nutrients_from_current_land_use!$B$6,Value_look_up_tables!$A$156:$B$161,2,FALSE)))),Value_look_up_tables!$F$22:$H$122,3,FALSE)),0)</f>
        <v>0</v>
      </c>
    </row>
    <row r="22" spans="1:5" ht="23.25" customHeight="1" x14ac:dyDescent="0.3">
      <c r="A22" s="64" t="s">
        <v>92</v>
      </c>
      <c r="B22" s="56">
        <f>SUM(B5:B21)</f>
        <v>0</v>
      </c>
      <c r="C22" s="56">
        <f>SUM(C5:C21)</f>
        <v>0</v>
      </c>
    </row>
  </sheetData>
  <sheetProtection algorithmName="SHA-512" hashValue="YjJghamNElWOzKtsK0lvuuI0M3CGuhSNYvQJvN6q0kpBdqwyydHnEO4205p4DYCujfxHiEb9k7P9AeymCBg07A==" saltValue="OwK6vMFfaVaB3hZieEaEwg=="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Value_look_up_tables!$A$179:$A$186</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K30"/>
  <sheetViews>
    <sheetView zoomScaleNormal="100" workbookViewId="0"/>
  </sheetViews>
  <sheetFormatPr defaultColWidth="9.1796875" defaultRowHeight="14" x14ac:dyDescent="0.35"/>
  <cols>
    <col min="1" max="1" width="132.1796875" style="65" customWidth="1"/>
    <col min="2" max="3" width="19.81640625" style="65" customWidth="1"/>
    <col min="4" max="4" width="22.1796875" style="65" customWidth="1"/>
    <col min="5" max="5" width="60.81640625" style="65" customWidth="1"/>
    <col min="6" max="6" width="23" style="65" customWidth="1"/>
    <col min="7" max="7" width="23.7265625" style="65" customWidth="1"/>
    <col min="8" max="8" width="117.1796875" style="65" customWidth="1"/>
    <col min="9" max="471" width="8.54296875" style="65" customWidth="1"/>
    <col min="472" max="16384" width="9.1796875" style="65"/>
  </cols>
  <sheetData>
    <row r="1" spans="1:11" ht="67.5" customHeight="1" x14ac:dyDescent="0.35">
      <c r="A1" s="5" t="s">
        <v>97</v>
      </c>
      <c r="B1" s="51"/>
      <c r="C1" s="51"/>
      <c r="D1" s="51"/>
    </row>
    <row r="2" spans="1:11" ht="409.6" customHeight="1" x14ac:dyDescent="0.35">
      <c r="A2" s="7" t="s">
        <v>98</v>
      </c>
      <c r="B2" s="66"/>
      <c r="C2" s="66"/>
      <c r="D2" s="66"/>
    </row>
    <row r="3" spans="1:11" ht="53.25" customHeight="1" x14ac:dyDescent="0.35">
      <c r="A3" s="84" t="s">
        <v>99</v>
      </c>
      <c r="B3" s="66"/>
      <c r="C3" s="66"/>
      <c r="D3" s="66"/>
    </row>
    <row r="4" spans="1:11" ht="97.5" customHeight="1" x14ac:dyDescent="0.35">
      <c r="A4" s="60" t="s">
        <v>100</v>
      </c>
      <c r="B4" s="60" t="s">
        <v>101</v>
      </c>
      <c r="C4" s="60" t="s">
        <v>102</v>
      </c>
      <c r="D4" s="60" t="s">
        <v>103</v>
      </c>
      <c r="E4" s="60" t="s">
        <v>104</v>
      </c>
      <c r="F4" s="60" t="s">
        <v>105</v>
      </c>
      <c r="G4" s="60" t="s">
        <v>106</v>
      </c>
      <c r="H4" s="69" t="s">
        <v>91</v>
      </c>
    </row>
    <row r="5" spans="1:11" ht="36" customHeight="1" x14ac:dyDescent="0.35">
      <c r="A5" s="61"/>
      <c r="B5" s="30"/>
      <c r="C5" s="70"/>
      <c r="D5" s="50">
        <f>IFERROR(IF(ISBLANK(A5),0,IF(ISBLANK(B5),0,VLOOKUP(A5,Nutrients_from_future_land_use!$A$5:$C$21,3,FALSE)*(B5/VLOOKUP(A5,Nutrients_from_future_land_use!$A$5:$C$21,2,FALSE)))),0)</f>
        <v>0</v>
      </c>
      <c r="E5" s="70"/>
      <c r="F5" s="70"/>
      <c r="G5" s="50">
        <f>IFERROR(IF(OR(ISBLANK($A5),ISBLANK($B5),ISBLANK($F5)),0,$C5/100*D5*F5/100),0)</f>
        <v>0</v>
      </c>
      <c r="H5" s="74" t="str">
        <f>IF(SUMIFS($B$5:$B$29,$A$5:$A$29,A5)&gt;SUMIFS(Nutrients_from_future_land_use!$B$5:$B$21,Nutrients_from_future_land_use!$A$5:$A$21,A5),"Area of new land covers within SuDS catchment area exceeds the area of new land covers proposed","Not applicable")</f>
        <v>Not applicable</v>
      </c>
    </row>
    <row r="6" spans="1:11" ht="36" customHeight="1" x14ac:dyDescent="0.35">
      <c r="A6" s="62"/>
      <c r="B6" s="63"/>
      <c r="C6" s="70"/>
      <c r="D6" s="50">
        <f>IFERROR(IF(ISBLANK(A6),0,IF(ISBLANK(B6),0,VLOOKUP(A6,Nutrients_from_future_land_use!$A$5:$C$21,3,FALSE)*(B6/VLOOKUP(A6,Nutrients_from_future_land_use!$A$5:$C$21,2,FALSE)))),0)</f>
        <v>0</v>
      </c>
      <c r="E6" s="70"/>
      <c r="F6" s="70"/>
      <c r="G6" s="50">
        <f t="shared" ref="G6:G29" si="0">IFERROR(IF(OR(ISBLANK($A6),ISBLANK($B6),ISBLANK($F6)),0,$C6/100*D6*F6/100),0)</f>
        <v>0</v>
      </c>
      <c r="H6" s="74" t="str">
        <f>IF(SUMIFS($B$5:$B$29,$A$5:$A$29,A6)&gt;SUMIFS(Nutrients_from_future_land_use!$B$5:$B$21,Nutrients_from_future_land_use!$A$5:$A$21,A6),"Area of new land covers within SuDS catchment area exceeds the area of new land covers proposed","Not applicable")</f>
        <v>Not applicable</v>
      </c>
    </row>
    <row r="7" spans="1:11" ht="36" customHeight="1" x14ac:dyDescent="0.35">
      <c r="A7" s="62"/>
      <c r="B7" s="63"/>
      <c r="C7" s="70"/>
      <c r="D7" s="50">
        <f>IFERROR(IF(ISBLANK(A7),0,IF(ISBLANK(B7),0,VLOOKUP(A7,Nutrients_from_future_land_use!$A$5:$C$21,3,FALSE)*(B7/VLOOKUP(A7,Nutrients_from_future_land_use!$A$5:$C$21,2,FALSE)))),0)</f>
        <v>0</v>
      </c>
      <c r="E7" s="70"/>
      <c r="F7" s="70"/>
      <c r="G7" s="50">
        <f t="shared" si="0"/>
        <v>0</v>
      </c>
      <c r="H7" s="74" t="str">
        <f>IF(SUMIFS($B$5:$B$29,$A$5:$A$29,A7)&gt;SUMIFS(Nutrients_from_future_land_use!$B$5:$B$21,Nutrients_from_future_land_use!$A$5:$A$21,A7),"Area of new land covers within SuDS catchment area exceeds the area of new land covers proposed","Not applicable")</f>
        <v>Not applicable</v>
      </c>
    </row>
    <row r="8" spans="1:11" ht="36" customHeight="1" x14ac:dyDescent="0.35">
      <c r="A8" s="62"/>
      <c r="B8" s="63"/>
      <c r="C8" s="70"/>
      <c r="D8" s="50">
        <f>IFERROR(IF(ISBLANK(A8),0,IF(ISBLANK(B8),0,VLOOKUP(A8,Nutrients_from_future_land_use!$A$5:$C$21,3,FALSE)*(B8/VLOOKUP(A8,Nutrients_from_future_land_use!$A$5:$C$21,2,FALSE)))),0)</f>
        <v>0</v>
      </c>
      <c r="E8" s="70"/>
      <c r="F8" s="70"/>
      <c r="G8" s="50">
        <f t="shared" si="0"/>
        <v>0</v>
      </c>
      <c r="H8" s="74" t="str">
        <f>IF(SUMIFS($B$5:$B$29,$A$5:$A$29,A8)&gt;SUMIFS(Nutrients_from_future_land_use!$B$5:$B$21,Nutrients_from_future_land_use!$A$5:$A$21,A8),"Area of new land covers within SuDS catchment area exceeds the area of new land covers proposed","Not applicable")</f>
        <v>Not applicable</v>
      </c>
    </row>
    <row r="9" spans="1:11" ht="36" customHeight="1" x14ac:dyDescent="0.35">
      <c r="A9" s="62"/>
      <c r="B9" s="63"/>
      <c r="C9" s="70"/>
      <c r="D9" s="50">
        <f>IFERROR(IF(ISBLANK(A9),0,IF(ISBLANK(B9),0,VLOOKUP(A9,Nutrients_from_future_land_use!$A$5:$C$21,3,FALSE)*(B9/VLOOKUP(A9,Nutrients_from_future_land_use!$A$5:$C$21,2,FALSE)))),0)</f>
        <v>0</v>
      </c>
      <c r="E9" s="70"/>
      <c r="F9" s="70"/>
      <c r="G9" s="50">
        <f t="shared" si="0"/>
        <v>0</v>
      </c>
      <c r="H9" s="74" t="str">
        <f>IF(SUMIFS($B$5:$B$29,$A$5:$A$29,A9)&gt;SUMIFS(Nutrients_from_future_land_use!$B$5:$B$21,Nutrients_from_future_land_use!$A$5:$A$21,A9),"Area of new land covers within SuDS catchment area exceeds the area of new land covers proposed","Not applicable")</f>
        <v>Not applicable</v>
      </c>
      <c r="K9" s="67"/>
    </row>
    <row r="10" spans="1:11" ht="36" customHeight="1" x14ac:dyDescent="0.35">
      <c r="A10" s="62"/>
      <c r="B10" s="63"/>
      <c r="C10" s="70"/>
      <c r="D10" s="50">
        <f>IFERROR(IF(ISBLANK(A10),0,IF(ISBLANK(B10),0,VLOOKUP(A10,Nutrients_from_future_land_use!$A$5:$C$21,3,FALSE)*(B10/VLOOKUP(A10,Nutrients_from_future_land_use!$A$5:$C$21,2,FALSE)))),0)</f>
        <v>0</v>
      </c>
      <c r="E10" s="70"/>
      <c r="F10" s="70"/>
      <c r="G10" s="50">
        <f t="shared" si="0"/>
        <v>0</v>
      </c>
      <c r="H10" s="74" t="str">
        <f>IF(SUMIFS($B$5:$B$29,$A$5:$A$29,A10)&gt;SUMIFS(Nutrients_from_future_land_use!$B$5:$B$21,Nutrients_from_future_land_use!$A$5:$A$21,A10),"Area of new land covers within SuDS catchment area exceeds the area of new land covers proposed","Not applicable")</f>
        <v>Not applicable</v>
      </c>
      <c r="K10" s="67"/>
    </row>
    <row r="11" spans="1:11" ht="36" customHeight="1" x14ac:dyDescent="0.35">
      <c r="A11" s="62"/>
      <c r="B11" s="63"/>
      <c r="C11" s="70"/>
      <c r="D11" s="50">
        <f>IFERROR(IF(ISBLANK(A11),0,IF(ISBLANK(B11),0,VLOOKUP(A11,Nutrients_from_future_land_use!$A$5:$C$21,3,FALSE)*(B11/VLOOKUP(A11,Nutrients_from_future_land_use!$A$5:$C$21,2,FALSE)))),0)</f>
        <v>0</v>
      </c>
      <c r="E11" s="70"/>
      <c r="F11" s="70"/>
      <c r="G11" s="50">
        <f t="shared" si="0"/>
        <v>0</v>
      </c>
      <c r="H11" s="74" t="str">
        <f>IF(SUMIFS($B$5:$B$29,$A$5:$A$29,A11)&gt;SUMIFS(Nutrients_from_future_land_use!$B$5:$B$21,Nutrients_from_future_land_use!$A$5:$A$21,A11),"Area of new land covers within SuDS catchment area exceeds the area of new land covers proposed","Not applicable")</f>
        <v>Not applicable</v>
      </c>
      <c r="K11" s="67"/>
    </row>
    <row r="12" spans="1:11" ht="36" customHeight="1" x14ac:dyDescent="0.35">
      <c r="A12" s="62"/>
      <c r="B12" s="63"/>
      <c r="C12" s="70"/>
      <c r="D12" s="50">
        <f>IFERROR(IF(ISBLANK(A12),0,IF(ISBLANK(B12),0,VLOOKUP(A12,Nutrients_from_future_land_use!$A$5:$C$21,3,FALSE)*(B12/VLOOKUP(A12,Nutrients_from_future_land_use!$A$5:$C$21,2,FALSE)))),0)</f>
        <v>0</v>
      </c>
      <c r="E12" s="70"/>
      <c r="F12" s="70"/>
      <c r="G12" s="50">
        <f t="shared" si="0"/>
        <v>0</v>
      </c>
      <c r="H12" s="74" t="str">
        <f>IF(SUMIFS($B$5:$B$29,$A$5:$A$29,A12)&gt;SUMIFS(Nutrients_from_future_land_use!$B$5:$B$21,Nutrients_from_future_land_use!$A$5:$A$21,A12),"Area of new land covers within SuDS catchment area exceeds the area of new land covers proposed","Not applicable")</f>
        <v>Not applicable</v>
      </c>
      <c r="K12" s="67"/>
    </row>
    <row r="13" spans="1:11" ht="36" customHeight="1" x14ac:dyDescent="0.35">
      <c r="A13" s="62"/>
      <c r="B13" s="63"/>
      <c r="C13" s="70"/>
      <c r="D13" s="50">
        <f>IFERROR(IF(ISBLANK(A13),0,IF(ISBLANK(B13),0,VLOOKUP(A13,Nutrients_from_future_land_use!$A$5:$C$21,3,FALSE)*(B13/VLOOKUP(A13,Nutrients_from_future_land_use!$A$5:$C$21,2,FALSE)))),0)</f>
        <v>0</v>
      </c>
      <c r="E13" s="70"/>
      <c r="F13" s="70"/>
      <c r="G13" s="50">
        <f t="shared" si="0"/>
        <v>0</v>
      </c>
      <c r="H13" s="74" t="str">
        <f>IF(SUMIFS($B$5:$B$29,$A$5:$A$29,A13)&gt;SUMIFS(Nutrients_from_future_land_use!$B$5:$B$21,Nutrients_from_future_land_use!$A$5:$A$21,A13),"Area of new land covers within SuDS catchment area exceeds the area of new land covers proposed","Not applicable")</f>
        <v>Not applicable</v>
      </c>
      <c r="K13" s="67"/>
    </row>
    <row r="14" spans="1:11" ht="36" customHeight="1" x14ac:dyDescent="0.35">
      <c r="A14" s="62"/>
      <c r="B14" s="63"/>
      <c r="C14" s="70"/>
      <c r="D14" s="50">
        <f>IFERROR(IF(ISBLANK(A14),0,IF(ISBLANK(B14),0,VLOOKUP(A14,Nutrients_from_future_land_use!$A$5:$C$21,3,FALSE)*(B14/VLOOKUP(A14,Nutrients_from_future_land_use!$A$5:$C$21,2,FALSE)))),0)</f>
        <v>0</v>
      </c>
      <c r="E14" s="70"/>
      <c r="F14" s="70"/>
      <c r="G14" s="50">
        <f t="shared" si="0"/>
        <v>0</v>
      </c>
      <c r="H14" s="74" t="str">
        <f>IF(SUMIFS($B$5:$B$29,$A$5:$A$29,A14)&gt;SUMIFS(Nutrients_from_future_land_use!$B$5:$B$21,Nutrients_from_future_land_use!$A$5:$A$21,A14),"Area of new land covers within SuDS catchment area exceeds the area of new land covers proposed","Not applicable")</f>
        <v>Not applicable</v>
      </c>
      <c r="K14" s="67"/>
    </row>
    <row r="15" spans="1:11" ht="36" customHeight="1" x14ac:dyDescent="0.35">
      <c r="A15" s="62"/>
      <c r="B15" s="63"/>
      <c r="C15" s="70"/>
      <c r="D15" s="50">
        <f>IFERROR(IF(ISBLANK(A15),0,IF(ISBLANK(B15),0,VLOOKUP(A15,Nutrients_from_future_land_use!$A$5:$C$21,3,FALSE)*(B15/VLOOKUP(A15,Nutrients_from_future_land_use!$A$5:$C$21,2,FALSE)))),0)</f>
        <v>0</v>
      </c>
      <c r="E15" s="70"/>
      <c r="F15" s="70"/>
      <c r="G15" s="50">
        <f t="shared" si="0"/>
        <v>0</v>
      </c>
      <c r="H15" s="74" t="str">
        <f>IF(SUMIFS($B$5:$B$29,$A$5:$A$29,A15)&gt;SUMIFS(Nutrients_from_future_land_use!$B$5:$B$21,Nutrients_from_future_land_use!$A$5:$A$21,A15),"Area of new land covers within SuDS catchment area exceeds the area of new land covers proposed","Not applicable")</f>
        <v>Not applicable</v>
      </c>
    </row>
    <row r="16" spans="1:11" ht="36" customHeight="1" x14ac:dyDescent="0.35">
      <c r="A16" s="62"/>
      <c r="B16" s="63"/>
      <c r="C16" s="70"/>
      <c r="D16" s="50">
        <f>IFERROR(IF(ISBLANK(A16),0,IF(ISBLANK(B16),0,VLOOKUP(A16,Nutrients_from_future_land_use!$A$5:$C$21,3,FALSE)*(B16/VLOOKUP(A16,Nutrients_from_future_land_use!$A$5:$C$21,2,FALSE)))),0)</f>
        <v>0</v>
      </c>
      <c r="E16" s="70"/>
      <c r="F16" s="70"/>
      <c r="G16" s="50">
        <f t="shared" si="0"/>
        <v>0</v>
      </c>
      <c r="H16" s="74" t="str">
        <f>IF(SUMIFS($B$5:$B$29,$A$5:$A$29,A16)&gt;SUMIFS(Nutrients_from_future_land_use!$B$5:$B$21,Nutrients_from_future_land_use!$A$5:$A$21,A16),"Area of new land covers within SuDS catchment area exceeds the area of new land covers proposed","Not applicable")</f>
        <v>Not applicable</v>
      </c>
    </row>
    <row r="17" spans="1:8" ht="36" customHeight="1" x14ac:dyDescent="0.35">
      <c r="A17" s="62"/>
      <c r="B17" s="63"/>
      <c r="C17" s="70"/>
      <c r="D17" s="50">
        <f>IFERROR(IF(ISBLANK(A17),0,IF(ISBLANK(B17),0,VLOOKUP(A17,Nutrients_from_future_land_use!$A$5:$C$21,3,FALSE)*(B17/VLOOKUP(A17,Nutrients_from_future_land_use!$A$5:$C$21,2,FALSE)))),0)</f>
        <v>0</v>
      </c>
      <c r="E17" s="70"/>
      <c r="F17" s="70"/>
      <c r="G17" s="50">
        <f t="shared" si="0"/>
        <v>0</v>
      </c>
      <c r="H17" s="74" t="str">
        <f>IF(SUMIFS($B$5:$B$29,$A$5:$A$29,A17)&gt;SUMIFS(Nutrients_from_future_land_use!$B$5:$B$21,Nutrients_from_future_land_use!$A$5:$A$21,A17),"Area of new land covers within SuDS catchment area exceeds the area of new land covers proposed","Not applicable")</f>
        <v>Not applicable</v>
      </c>
    </row>
    <row r="18" spans="1:8" ht="36" customHeight="1" x14ac:dyDescent="0.35">
      <c r="A18" s="62"/>
      <c r="B18" s="63"/>
      <c r="C18" s="70"/>
      <c r="D18" s="50">
        <f>IFERROR(IF(ISBLANK(A18),0,IF(ISBLANK(B18),0,VLOOKUP(A18,Nutrients_from_future_land_use!$A$5:$C$21,3,FALSE)*(B18/VLOOKUP(A18,Nutrients_from_future_land_use!$A$5:$C$21,2,FALSE)))),0)</f>
        <v>0</v>
      </c>
      <c r="E18" s="70"/>
      <c r="F18" s="70"/>
      <c r="G18" s="50">
        <f t="shared" si="0"/>
        <v>0</v>
      </c>
      <c r="H18" s="74" t="str">
        <f>IF(SUMIFS($B$5:$B$29,$A$5:$A$29,A18)&gt;SUMIFS(Nutrients_from_future_land_use!$B$5:$B$21,Nutrients_from_future_land_use!$A$5:$A$21,A18),"Area of new land covers within SuDS catchment area exceeds the area of new land covers proposed","Not applicable")</f>
        <v>Not applicable</v>
      </c>
    </row>
    <row r="19" spans="1:8" ht="36" customHeight="1" x14ac:dyDescent="0.35">
      <c r="A19" s="62"/>
      <c r="B19" s="63"/>
      <c r="C19" s="70"/>
      <c r="D19" s="50">
        <f>IFERROR(IF(ISBLANK(A19),0,IF(ISBLANK(B19),0,VLOOKUP(A19,Nutrients_from_future_land_use!$A$5:$C$21,3,FALSE)*(B19/VLOOKUP(A19,Nutrients_from_future_land_use!$A$5:$C$21,2,FALSE)))),0)</f>
        <v>0</v>
      </c>
      <c r="E19" s="70"/>
      <c r="F19" s="70"/>
      <c r="G19" s="50">
        <f t="shared" si="0"/>
        <v>0</v>
      </c>
      <c r="H19" s="74" t="str">
        <f>IF(SUMIFS($B$5:$B$29,$A$5:$A$29,A19)&gt;SUMIFS(Nutrients_from_future_land_use!$B$5:$B$21,Nutrients_from_future_land_use!$A$5:$A$21,A19),"Area of new land covers within SuDS catchment area exceeds the area of new land covers proposed","Not applicable")</f>
        <v>Not applicable</v>
      </c>
    </row>
    <row r="20" spans="1:8" ht="36" customHeight="1" x14ac:dyDescent="0.35">
      <c r="A20" s="62"/>
      <c r="B20" s="63"/>
      <c r="C20" s="70"/>
      <c r="D20" s="50">
        <f>IFERROR(IF(ISBLANK(A20),0,IF(ISBLANK(B20),0,VLOOKUP(A20,Nutrients_from_future_land_use!$A$5:$C$21,3,FALSE)*(B20/VLOOKUP(A20,Nutrients_from_future_land_use!$A$5:$C$21,2,FALSE)))),0)</f>
        <v>0</v>
      </c>
      <c r="E20" s="70"/>
      <c r="F20" s="70"/>
      <c r="G20" s="50">
        <f>IFERROR(IF(OR(ISBLANK($A20),ISBLANK($B20),ISBLANK($F20)),0,$C20/100*D20*F20/100),0)</f>
        <v>0</v>
      </c>
      <c r="H20" s="74" t="str">
        <f>IF(SUMIFS($B$5:$B$29,$A$5:$A$29,A20)&gt;SUMIFS(Nutrients_from_future_land_use!$B$5:$B$21,Nutrients_from_future_land_use!$A$5:$A$21,A20),"Area of new land covers within SuDS catchment area exceeds the area of new land covers proposed","Not applicable")</f>
        <v>Not applicable</v>
      </c>
    </row>
    <row r="21" spans="1:8" ht="36" customHeight="1" x14ac:dyDescent="0.35">
      <c r="A21" s="62"/>
      <c r="B21" s="63"/>
      <c r="C21" s="70"/>
      <c r="D21" s="50">
        <f>IFERROR(IF(ISBLANK(A21),0,IF(ISBLANK(B21),0,VLOOKUP(A21,Nutrients_from_future_land_use!$A$5:$C$21,3,FALSE)*(B21/VLOOKUP(A21,Nutrients_from_future_land_use!$A$5:$C$21,2,FALSE)))),0)</f>
        <v>0</v>
      </c>
      <c r="E21" s="70"/>
      <c r="F21" s="70"/>
      <c r="G21" s="50">
        <f t="shared" si="0"/>
        <v>0</v>
      </c>
      <c r="H21" s="74" t="str">
        <f>IF(SUMIFS($B$5:$B$29,$A$5:$A$29,A21)&gt;SUMIFS(Nutrients_from_future_land_use!$B$5:$B$21,Nutrients_from_future_land_use!$A$5:$A$21,A21),"Area of new land covers within SuDS catchment area exceeds the area of new land covers proposed","Not applicable")</f>
        <v>Not applicable</v>
      </c>
    </row>
    <row r="22" spans="1:8" ht="36" customHeight="1" x14ac:dyDescent="0.35">
      <c r="A22" s="62"/>
      <c r="B22" s="63"/>
      <c r="C22" s="70"/>
      <c r="D22" s="50">
        <f>IFERROR(IF(ISBLANK(A22),0,IF(ISBLANK(B22),0,VLOOKUP(A22,Nutrients_from_future_land_use!$A$5:$C$21,3,FALSE)*(B22/VLOOKUP(A22,Nutrients_from_future_land_use!$A$5:$C$21,2,FALSE)))),0)</f>
        <v>0</v>
      </c>
      <c r="E22" s="70"/>
      <c r="F22" s="70"/>
      <c r="G22" s="50">
        <f t="shared" si="0"/>
        <v>0</v>
      </c>
      <c r="H22" s="74" t="str">
        <f>IF(SUMIFS($B$5:$B$29,$A$5:$A$29,A22)&gt;SUMIFS(Nutrients_from_future_land_use!$B$5:$B$21,Nutrients_from_future_land_use!$A$5:$A$21,A22),"Area of new land covers within SuDS catchment area exceeds the area of new land covers proposed","Not applicable")</f>
        <v>Not applicable</v>
      </c>
    </row>
    <row r="23" spans="1:8" ht="36" customHeight="1" x14ac:dyDescent="0.35">
      <c r="A23" s="62"/>
      <c r="B23" s="63"/>
      <c r="C23" s="70"/>
      <c r="D23" s="50">
        <f>IFERROR(IF(ISBLANK(A23),0,IF(ISBLANK(B23),0,VLOOKUP(A23,Nutrients_from_future_land_use!$A$5:$C$21,3,FALSE)*(B23/VLOOKUP(A23,Nutrients_from_future_land_use!$A$5:$C$21,2,FALSE)))),0)</f>
        <v>0</v>
      </c>
      <c r="E23" s="70"/>
      <c r="F23" s="70"/>
      <c r="G23" s="50">
        <f t="shared" si="0"/>
        <v>0</v>
      </c>
      <c r="H23" s="74" t="str">
        <f>IF(SUMIFS($B$5:$B$29,$A$5:$A$29,A23)&gt;SUMIFS(Nutrients_from_future_land_use!$B$5:$B$21,Nutrients_from_future_land_use!$A$5:$A$21,A23),"Area of new land covers within SuDS catchment area exceeds the area of new land covers proposed","Not applicable")</f>
        <v>Not applicable</v>
      </c>
    </row>
    <row r="24" spans="1:8" ht="36" customHeight="1" x14ac:dyDescent="0.35">
      <c r="A24" s="62"/>
      <c r="B24" s="63"/>
      <c r="C24" s="70"/>
      <c r="D24" s="50">
        <f>IFERROR(IF(ISBLANK(A24),0,IF(ISBLANK(B24),0,VLOOKUP(A24,Nutrients_from_future_land_use!$A$5:$C$21,3,FALSE)*(B24/VLOOKUP(A24,Nutrients_from_future_land_use!$A$5:$C$21,2,FALSE)))),0)</f>
        <v>0</v>
      </c>
      <c r="E24" s="70"/>
      <c r="F24" s="70"/>
      <c r="G24" s="50">
        <f t="shared" si="0"/>
        <v>0</v>
      </c>
      <c r="H24" s="74" t="str">
        <f>IF(SUMIFS($B$5:$B$29,$A$5:$A$29,A24)&gt;SUMIFS(Nutrients_from_future_land_use!$B$5:$B$21,Nutrients_from_future_land_use!$A$5:$A$21,A24),"Area of new land covers within SuDS catchment area exceeds the area of new land covers proposed","Not applicable")</f>
        <v>Not applicable</v>
      </c>
    </row>
    <row r="25" spans="1:8" ht="36" customHeight="1" x14ac:dyDescent="0.35">
      <c r="A25" s="62"/>
      <c r="B25" s="63"/>
      <c r="C25" s="70"/>
      <c r="D25" s="50">
        <f>IFERROR(IF(ISBLANK(A25),0,IF(ISBLANK(B25),0,VLOOKUP(A25,Nutrients_from_future_land_use!$A$5:$C$21,3,FALSE)*(B25/VLOOKUP(A25,Nutrients_from_future_land_use!$A$5:$C$21,2,FALSE)))),0)</f>
        <v>0</v>
      </c>
      <c r="E25" s="70"/>
      <c r="F25" s="70"/>
      <c r="G25" s="50">
        <f t="shared" si="0"/>
        <v>0</v>
      </c>
      <c r="H25" s="74" t="str">
        <f>IF(SUMIFS($B$5:$B$29,$A$5:$A$29,A25)&gt;SUMIFS(Nutrients_from_future_land_use!$B$5:$B$21,Nutrients_from_future_land_use!$A$5:$A$21,A25),"Area of new land covers within SuDS catchment area exceeds the area of new land covers proposed","Not applicable")</f>
        <v>Not applicable</v>
      </c>
    </row>
    <row r="26" spans="1:8" ht="36" customHeight="1" x14ac:dyDescent="0.35">
      <c r="A26" s="62"/>
      <c r="B26" s="63"/>
      <c r="C26" s="70"/>
      <c r="D26" s="50">
        <f>IFERROR(IF(ISBLANK(A26),0,IF(ISBLANK(B26),0,VLOOKUP(A26,Nutrients_from_future_land_use!$A$5:$C$21,3,FALSE)*(B26/VLOOKUP(A26,Nutrients_from_future_land_use!$A$5:$C$21,2,FALSE)))),0)</f>
        <v>0</v>
      </c>
      <c r="E26" s="70"/>
      <c r="F26" s="70"/>
      <c r="G26" s="50">
        <f>IFERROR(IF(OR(ISBLANK($A26),ISBLANK($B26),ISBLANK($F26)),0,$C26/100*D26*F26/100),0)</f>
        <v>0</v>
      </c>
      <c r="H26" s="74" t="str">
        <f>IF(SUMIFS($B$5:$B$29,$A$5:$A$29,A26)&gt;SUMIFS(Nutrients_from_future_land_use!$B$5:$B$21,Nutrients_from_future_land_use!$A$5:$A$21,A26),"Area of new land covers within SuDS catchment area exceeds the area of new land covers proposed","Not applicable")</f>
        <v>Not applicable</v>
      </c>
    </row>
    <row r="27" spans="1:8" ht="36" customHeight="1" x14ac:dyDescent="0.35">
      <c r="A27" s="62"/>
      <c r="B27" s="63"/>
      <c r="C27" s="70"/>
      <c r="D27" s="50">
        <f>IFERROR(IF(ISBLANK(A27),0,IF(ISBLANK(B27),0,VLOOKUP(A27,Nutrients_from_future_land_use!$A$5:$C$21,3,FALSE)*(B27/VLOOKUP(A27,Nutrients_from_future_land_use!$A$5:$C$21,2,FALSE)))),0)</f>
        <v>0</v>
      </c>
      <c r="E27" s="70"/>
      <c r="F27" s="70"/>
      <c r="G27" s="50">
        <f t="shared" si="0"/>
        <v>0</v>
      </c>
      <c r="H27" s="74" t="str">
        <f>IF(SUMIFS($B$5:$B$29,$A$5:$A$29,A27)&gt;SUMIFS(Nutrients_from_future_land_use!$B$5:$B$21,Nutrients_from_future_land_use!$A$5:$A$21,A27),"Area of new land covers within SuDS catchment area exceeds the area of new land covers proposed","Not applicable")</f>
        <v>Not applicable</v>
      </c>
    </row>
    <row r="28" spans="1:8" ht="36" customHeight="1" x14ac:dyDescent="0.35">
      <c r="A28" s="62"/>
      <c r="B28" s="63"/>
      <c r="C28" s="70"/>
      <c r="D28" s="50">
        <f>IFERROR(IF(ISBLANK(A28),0,IF(ISBLANK(B28),0,VLOOKUP(A28,Nutrients_from_future_land_use!$A$5:$C$21,3,FALSE)*(B28/VLOOKUP(A28,Nutrients_from_future_land_use!$A$5:$C$21,2,FALSE)))),0)</f>
        <v>0</v>
      </c>
      <c r="E28" s="70"/>
      <c r="F28" s="70"/>
      <c r="G28" s="50">
        <f t="shared" si="0"/>
        <v>0</v>
      </c>
      <c r="H28" s="74" t="str">
        <f>IF(SUMIFS($B$5:$B$29,$A$5:$A$29,A28)&gt;SUMIFS(Nutrients_from_future_land_use!$B$5:$B$21,Nutrients_from_future_land_use!$A$5:$A$21,A28),"Area of new land covers within SuDS catchment area exceeds the area of new land covers proposed","Not applicable")</f>
        <v>Not applicable</v>
      </c>
    </row>
    <row r="29" spans="1:8" ht="36" customHeight="1" x14ac:dyDescent="0.35">
      <c r="A29" s="62"/>
      <c r="B29" s="63"/>
      <c r="C29" s="70"/>
      <c r="D29" s="50">
        <f>IFERROR(IF(ISBLANK(A29),0,IF(ISBLANK(B29),0,VLOOKUP(A29,Nutrients_from_future_land_use!$A$5:$C$21,3,FALSE)*(B29/VLOOKUP(A29,Nutrients_from_future_land_use!$A$5:$C$21,2,FALSE)))),0)</f>
        <v>0</v>
      </c>
      <c r="E29" s="70"/>
      <c r="F29" s="70"/>
      <c r="G29" s="50">
        <f t="shared" si="0"/>
        <v>0</v>
      </c>
      <c r="H29" s="74" t="str">
        <f>IF(SUMIFS($B$5:$B$29,$A$5:$A$29,A29)&gt;SUMIFS(Nutrients_from_future_land_use!$B$5:$B$21,Nutrients_from_future_land_use!$A$5:$A$21,A29),"Area of new land covers within SuDS catchment area exceeds the area of new land covers proposed","Not applicable")</f>
        <v>Not applicable</v>
      </c>
    </row>
    <row r="30" spans="1:8" ht="28.5" customHeight="1" x14ac:dyDescent="0.35">
      <c r="A30" s="64" t="s">
        <v>92</v>
      </c>
      <c r="B30" s="68">
        <f>SUM(B5:B29)</f>
        <v>0</v>
      </c>
      <c r="C30" s="71"/>
      <c r="D30" s="68">
        <f t="shared" ref="D30" si="1">SUM(D5:D29)</f>
        <v>0</v>
      </c>
      <c r="E30" s="72"/>
      <c r="F30" s="72"/>
      <c r="G30" s="56">
        <f>SUM(G5:G29)</f>
        <v>0</v>
      </c>
      <c r="H30" s="73"/>
    </row>
  </sheetData>
  <sheetProtection algorithmName="SHA-512" hashValue="L0c/hSwLe9EanswF+8VGR+8u3rHNJZSakkiAM67aJBrvkk521SuMABEIxlt+tlg6cAw2ZIuniHL/47IGUzBPGw==" saltValue="gsnY1vQBibvoNcMIzZmUSw==" spinCount="100000" sheet="1" objects="1" scenarios="1"/>
  <protectedRanges>
    <protectedRange algorithmName="SHA-512" hashValue="MvmTLotpKiuRnedI3A4NjKJPVt4Aw8hcOvmE+D0rBMjM9TiU4ekXkprnHN0k9oVg0inb+CLcUsLFrJxBFcC6uw==" saltValue="93Zg0snhziumGVhjlXa2zg==" spinCount="100000" sqref="A5:A29 B30:D30" name="Range1"/>
    <protectedRange algorithmName="SHA-512" hashValue="MvmTLotpKiuRnedI3A4NjKJPVt4Aw8hcOvmE+D0rBMjM9TiU4ekXkprnHN0k9oVg0inb+CLcUsLFrJxBFcC6uw==" saltValue="93Zg0snhziumGVhjlXa2zg==" spinCount="100000" sqref="B5:C29" name="Range1_1"/>
  </protectedRanges>
  <phoneticPr fontId="9" type="noConversion"/>
  <dataValidations count="4">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 allowBlank="1" showErrorMessage="1" prompt="Please enter area in hectares." sqref="B30:D30" xr:uid="{4F17A0C8-BADF-4DA8-A067-4ABBCFF91399}"/>
    <dataValidation type="decimal" allowBlank="1" showErrorMessage="1" sqref="F5:F29" xr:uid="{71280BD0-17E2-4B70-8A1F-A9E40789C1E4}">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_xlfn.ANCHORARRAY(Value_look_up_tables!$A$210)</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16"/>
  <sheetViews>
    <sheetView zoomScaleNormal="100" workbookViewId="0"/>
  </sheetViews>
  <sheetFormatPr defaultColWidth="9.1796875" defaultRowHeight="14" x14ac:dyDescent="0.35"/>
  <cols>
    <col min="1" max="1" width="78.7265625" style="65" customWidth="1"/>
    <col min="2" max="2" width="30.81640625" style="65" customWidth="1"/>
    <col min="3" max="4" width="40.54296875" style="65" customWidth="1"/>
    <col min="5" max="466" width="8.54296875" style="65" customWidth="1"/>
    <col min="467" max="16384" width="9.1796875" style="65"/>
  </cols>
  <sheetData>
    <row r="1" spans="1:4" ht="50.25" customHeight="1" x14ac:dyDescent="0.35">
      <c r="A1" s="5" t="s">
        <v>107</v>
      </c>
      <c r="B1" s="51"/>
    </row>
    <row r="2" spans="1:4" ht="249" customHeight="1" x14ac:dyDescent="0.35">
      <c r="A2" s="55" t="s">
        <v>108</v>
      </c>
      <c r="B2" s="75"/>
      <c r="C2" s="74"/>
      <c r="D2" s="74"/>
    </row>
    <row r="3" spans="1:4" ht="50.25" customHeight="1" x14ac:dyDescent="0.35">
      <c r="A3" s="8" t="s">
        <v>109</v>
      </c>
      <c r="B3" s="58"/>
      <c r="C3" s="74"/>
      <c r="D3" s="74"/>
    </row>
    <row r="4" spans="1:4" ht="24.75" customHeight="1" x14ac:dyDescent="0.35">
      <c r="A4" s="32" t="s">
        <v>76</v>
      </c>
      <c r="B4" s="2" t="s">
        <v>77</v>
      </c>
    </row>
    <row r="5" spans="1:4" ht="24.75" customHeight="1" x14ac:dyDescent="0.35">
      <c r="A5" s="76" t="s">
        <v>110</v>
      </c>
      <c r="B5" s="77">
        <f>Nutrients_from_wastewater!B18</f>
        <v>0</v>
      </c>
    </row>
    <row r="6" spans="1:4" ht="24.75" customHeight="1" x14ac:dyDescent="0.35">
      <c r="A6" s="18" t="s">
        <v>111</v>
      </c>
      <c r="B6" s="78">
        <f>IFERROR(Nutrients_from_future_land_use!C22-SuDS!G30-Nutrients_from_current_land_use!C28,0)</f>
        <v>0</v>
      </c>
    </row>
    <row r="7" spans="1:4" ht="24.75" customHeight="1" x14ac:dyDescent="0.35">
      <c r="A7" s="18" t="s">
        <v>112</v>
      </c>
      <c r="B7" s="78">
        <f>IFERROR(B5+B6,0)</f>
        <v>0</v>
      </c>
    </row>
    <row r="8" spans="1:4" ht="24.75" customHeight="1" x14ac:dyDescent="0.35">
      <c r="A8" s="18" t="s">
        <v>113</v>
      </c>
      <c r="B8" s="78">
        <f>IFERROR(IF(B7&lt;0,B7,B7*1.2),0)</f>
        <v>0</v>
      </c>
    </row>
    <row r="9" spans="1:4" ht="24.75" customHeight="1" x14ac:dyDescent="0.35">
      <c r="A9" s="82" t="str">
        <f>IFERROR(IF(AND(Nutrients_from_wastewater!$B$5&lt;DATE(2025,1,1),OR((VLOOKUP(Nutrients_from_wastewater!$B$9,Value_look_up_tables!$A$5:$E$16,2,FALSE))&gt;(VLOOKUP(Nutrients_from_wastewater!$B$9,Value_look_up_tables!$A$5:$E$16,3,FALSE)),(VLOOKUP(Nutrients_from_wastewater!$B$9,Value_look_up_tables!$A$5:$E$16,2,FALSE))&gt;(VLOOKUP(Nutrients_from_wastewater!$B$9,Value_look_up_tables!$A$5:$E$16,3,FALSE)))),"Post-2030 annual nutrient budget","Annual nutrient budget"),"Annual nutrient budget")</f>
        <v>Post-2030 annual nutrient budget</v>
      </c>
      <c r="B9" s="83"/>
    </row>
    <row r="10" spans="1:4" ht="24.75" customHeight="1" x14ac:dyDescent="0.35">
      <c r="A10" s="76" t="s">
        <v>114</v>
      </c>
      <c r="B10" s="78">
        <f>IFERROR(IF(ROUND(B8,2)&lt;0,0,ROUND(B8,2)),0)</f>
        <v>0</v>
      </c>
    </row>
    <row r="11" spans="1:4" ht="24.75" customHeight="1" x14ac:dyDescent="0.35">
      <c r="A11" s="82" t="str">
        <f>IF(Nutrients_from_wastewater!A19="Not applicable","Not applicable",IF(LEFT(Nutrients_from_wastewater!A19,9)="Pre-2030 ",LEFT(Nutrients_from_wastewater!A19,9),LEFT(Nutrients_from_wastewater!A19,10))&amp;"nutrient budget")</f>
        <v>Pre-2030 nutrient budget</v>
      </c>
      <c r="B11" s="83"/>
    </row>
    <row r="12" spans="1:4" ht="24.75" customHeight="1" x14ac:dyDescent="0.35">
      <c r="A12" s="76" t="str">
        <f>IF(A11&lt;&gt;"Not applicable","The total annual phosphorus load to mitigate is (kg TP/yr):","Not applicable")</f>
        <v>The total annual phosphorus load to mitigate is (kg TP/yr):</v>
      </c>
      <c r="B12" s="79">
        <f>IF(IFERROR(ROUND((Nutrients_from_wastewater!B20+$B$6)*1.2,2),"Not applicable")&lt;0,0,IFERROR(ROUND((Nutrients_from_wastewater!B20+$B$6)*1.2,2),"Not applicable"))</f>
        <v>0</v>
      </c>
    </row>
    <row r="13" spans="1:4" ht="24.75" customHeight="1" x14ac:dyDescent="0.35">
      <c r="A13" s="82" t="str">
        <f>IF(Nutrients_from_wastewater!A21="Not applicable","Not applicable",LEFT(Nutrients_from_wastewater!A21,9)&amp;"nutrient budget")</f>
        <v>Pre-2025 nutrient budget</v>
      </c>
      <c r="B13" s="83"/>
    </row>
    <row r="14" spans="1:4" ht="24.75" customHeight="1" x14ac:dyDescent="0.35">
      <c r="A14" s="80" t="str">
        <f>IF(A13&lt;&gt;"Not applicable","The total annual phosphorus load to mitigate is (kg TP/yr):","Not applicable")</f>
        <v>The total annual phosphorus load to mitigate is (kg TP/yr):</v>
      </c>
      <c r="B14" s="79">
        <f>IF(IFERROR(IF(Nutrients_from_wastewater!$A$21="Not applicable","Not applicable",ROUND((Nutrients_from_wastewater!B22+$B$6)*1.2,2)),IFERROR(B12,"Not applicable"))&lt;0,0,IFERROR(IF(Nutrients_from_wastewater!$A$21="Not applicable","Not applicable",ROUND((Nutrients_from_wastewater!B22+$B$6)*1.2,2)),IFERROR(B12,"Not applicable")))</f>
        <v>0</v>
      </c>
    </row>
    <row r="15" spans="1:4" ht="22.5" customHeight="1" x14ac:dyDescent="0.35">
      <c r="A15" s="81"/>
      <c r="B15" s="56"/>
    </row>
    <row r="16" spans="1:4" ht="15.5" x14ac:dyDescent="0.35">
      <c r="A16" s="81"/>
      <c r="B16" s="56"/>
      <c r="C16" s="58"/>
    </row>
  </sheetData>
  <sheetProtection algorithmName="SHA-512" hashValue="Yl1tg9wqEnWJJBUIkIx9IstnjTwsRr98StgeIs04q7KAnTqu9ycyd/4AsuCoIi5EGlWGe5n4vy6ejD00CkNf9g==" saltValue="0nw2xQIC0GmcFqDlzH8ADg=="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210"/>
  <sheetViews>
    <sheetView topLeftCell="A4" zoomScaleNormal="100" workbookViewId="0">
      <selection activeCell="B13" sqref="B13"/>
    </sheetView>
  </sheetViews>
  <sheetFormatPr defaultColWidth="65.453125" defaultRowHeight="14" x14ac:dyDescent="0.3"/>
  <cols>
    <col min="1" max="1" width="47.26953125" style="88" customWidth="1"/>
    <col min="2" max="4" width="15.7265625" style="88" customWidth="1"/>
    <col min="5" max="5" width="25.7265625" style="88" customWidth="1"/>
    <col min="6" max="6" width="79.81640625" style="88" customWidth="1"/>
    <col min="7" max="8" width="15.7265625" style="88" customWidth="1"/>
    <col min="9" max="9" width="25.7265625" style="88" customWidth="1"/>
    <col min="10" max="13" width="15.7265625" style="88" customWidth="1"/>
    <col min="14" max="16384" width="65.453125" style="88"/>
  </cols>
  <sheetData>
    <row r="1" spans="1:14" ht="50.25" customHeight="1" x14ac:dyDescent="0.3">
      <c r="A1" s="111" t="s">
        <v>12</v>
      </c>
      <c r="B1" s="86"/>
      <c r="C1" s="87"/>
      <c r="D1" s="87"/>
      <c r="E1" s="87"/>
      <c r="F1" s="87"/>
      <c r="G1" s="87"/>
      <c r="H1" s="87"/>
      <c r="I1" s="87"/>
      <c r="J1" s="87"/>
      <c r="K1" s="87"/>
      <c r="L1" s="87"/>
      <c r="M1" s="87"/>
      <c r="N1" s="87"/>
    </row>
    <row r="2" spans="1:14" ht="57.75" customHeight="1" x14ac:dyDescent="0.3">
      <c r="A2" s="99" t="s">
        <v>115</v>
      </c>
    </row>
    <row r="3" spans="1:14" ht="37.5" customHeight="1" x14ac:dyDescent="0.3">
      <c r="A3" s="110" t="s">
        <v>116</v>
      </c>
      <c r="B3" s="89"/>
    </row>
    <row r="4" spans="1:14" ht="75.75" customHeight="1" x14ac:dyDescent="0.3">
      <c r="A4" s="121" t="s">
        <v>117</v>
      </c>
      <c r="B4" s="122" t="s">
        <v>118</v>
      </c>
      <c r="C4" s="122" t="s">
        <v>119</v>
      </c>
      <c r="D4" s="123" t="s">
        <v>120</v>
      </c>
      <c r="E4" s="43"/>
      <c r="F4" s="81"/>
      <c r="G4" s="81"/>
      <c r="H4" s="43"/>
      <c r="I4" s="43"/>
      <c r="J4" s="81"/>
      <c r="L4" s="65"/>
      <c r="M4" s="65"/>
    </row>
    <row r="5" spans="1:14" x14ac:dyDescent="0.3">
      <c r="A5" s="90" t="s">
        <v>121</v>
      </c>
      <c r="B5" s="91">
        <v>8</v>
      </c>
      <c r="C5" s="91">
        <v>8</v>
      </c>
      <c r="D5" s="92">
        <v>8</v>
      </c>
      <c r="E5" s="65"/>
      <c r="F5" s="65"/>
      <c r="G5" s="65"/>
      <c r="H5" s="65"/>
      <c r="I5" s="65"/>
      <c r="J5" s="65"/>
      <c r="L5" s="65"/>
      <c r="M5" s="65"/>
    </row>
    <row r="6" spans="1:14" x14ac:dyDescent="0.3">
      <c r="A6" s="90" t="s">
        <v>122</v>
      </c>
      <c r="B6" s="91">
        <v>1</v>
      </c>
      <c r="C6" s="91">
        <v>1</v>
      </c>
      <c r="D6" s="92">
        <v>0.25</v>
      </c>
      <c r="E6" s="65"/>
      <c r="F6" s="65"/>
      <c r="G6" s="65"/>
      <c r="H6" s="65"/>
      <c r="I6" s="65"/>
      <c r="J6" s="65"/>
      <c r="L6" s="65"/>
      <c r="M6" s="65"/>
    </row>
    <row r="7" spans="1:14" x14ac:dyDescent="0.3">
      <c r="A7" s="90" t="s">
        <v>123</v>
      </c>
      <c r="B7" s="91">
        <v>1</v>
      </c>
      <c r="C7" s="91">
        <v>1</v>
      </c>
      <c r="D7" s="92">
        <v>0.25</v>
      </c>
      <c r="E7" s="65"/>
      <c r="F7" s="65"/>
      <c r="G7" s="65"/>
      <c r="H7" s="65"/>
      <c r="I7" s="65"/>
      <c r="J7" s="65"/>
      <c r="L7" s="65"/>
      <c r="M7" s="65"/>
    </row>
    <row r="8" spans="1:14" x14ac:dyDescent="0.3">
      <c r="A8" s="90" t="s">
        <v>124</v>
      </c>
      <c r="B8" s="91">
        <v>8</v>
      </c>
      <c r="C8" s="91">
        <v>8</v>
      </c>
      <c r="D8" s="92">
        <v>8</v>
      </c>
      <c r="E8" s="65"/>
      <c r="F8" s="65"/>
      <c r="G8" s="65"/>
      <c r="H8" s="65"/>
      <c r="I8" s="65"/>
      <c r="J8" s="65"/>
      <c r="L8" s="65"/>
      <c r="M8" s="65"/>
    </row>
    <row r="9" spans="1:14" x14ac:dyDescent="0.3">
      <c r="A9" s="90" t="s">
        <v>125</v>
      </c>
      <c r="B9" s="91">
        <v>1</v>
      </c>
      <c r="C9" s="91">
        <v>0.8</v>
      </c>
      <c r="D9" s="92">
        <v>0.25</v>
      </c>
      <c r="E9" s="65"/>
      <c r="F9" s="65"/>
      <c r="G9" s="65"/>
      <c r="H9" s="65"/>
      <c r="I9" s="65"/>
      <c r="J9" s="65"/>
      <c r="L9" s="65"/>
      <c r="M9" s="65"/>
    </row>
    <row r="10" spans="1:14" x14ac:dyDescent="0.3">
      <c r="A10" s="90" t="s">
        <v>126</v>
      </c>
      <c r="B10" s="91">
        <v>1</v>
      </c>
      <c r="C10" s="91">
        <v>1</v>
      </c>
      <c r="D10" s="92">
        <v>0.25</v>
      </c>
      <c r="E10" s="65"/>
      <c r="F10" s="65"/>
      <c r="G10" s="65"/>
      <c r="H10" s="65"/>
      <c r="I10" s="65"/>
      <c r="J10" s="65"/>
      <c r="L10" s="65"/>
      <c r="M10" s="65"/>
    </row>
    <row r="11" spans="1:14" x14ac:dyDescent="0.3">
      <c r="A11" s="90" t="s">
        <v>127</v>
      </c>
      <c r="B11" s="91">
        <v>8</v>
      </c>
      <c r="C11" s="91">
        <v>8</v>
      </c>
      <c r="D11" s="92">
        <v>8</v>
      </c>
      <c r="E11" s="65"/>
      <c r="F11" s="65"/>
      <c r="G11" s="65"/>
      <c r="H11" s="65"/>
      <c r="I11" s="65"/>
      <c r="J11" s="65"/>
      <c r="L11" s="65"/>
      <c r="M11" s="65"/>
    </row>
    <row r="12" spans="1:14" x14ac:dyDescent="0.3">
      <c r="A12" s="90" t="s">
        <v>128</v>
      </c>
      <c r="B12" s="91">
        <v>8</v>
      </c>
      <c r="C12" s="91">
        <v>8</v>
      </c>
      <c r="D12" s="92">
        <v>8</v>
      </c>
      <c r="E12" s="65"/>
      <c r="F12" s="65"/>
      <c r="G12" s="65"/>
      <c r="H12" s="65"/>
      <c r="I12" s="65"/>
      <c r="J12" s="65"/>
      <c r="L12" s="65"/>
      <c r="M12" s="65"/>
    </row>
    <row r="13" spans="1:14" x14ac:dyDescent="0.3">
      <c r="A13" s="90" t="s">
        <v>129</v>
      </c>
      <c r="B13" s="91">
        <v>8</v>
      </c>
      <c r="C13" s="91">
        <v>2</v>
      </c>
      <c r="D13" s="92">
        <v>0.25</v>
      </c>
      <c r="E13" s="65"/>
      <c r="F13" s="65"/>
      <c r="G13" s="65"/>
      <c r="H13" s="65"/>
      <c r="I13" s="65"/>
      <c r="J13" s="65"/>
      <c r="L13" s="65"/>
      <c r="M13" s="65"/>
    </row>
    <row r="14" spans="1:14" x14ac:dyDescent="0.3">
      <c r="A14" s="90" t="s">
        <v>130</v>
      </c>
      <c r="B14" s="91">
        <v>8</v>
      </c>
      <c r="C14" s="91">
        <v>8</v>
      </c>
      <c r="D14" s="92">
        <v>0.25</v>
      </c>
      <c r="E14" s="65"/>
      <c r="F14" s="65"/>
      <c r="G14" s="65"/>
      <c r="H14" s="65"/>
      <c r="I14" s="65"/>
      <c r="J14" s="65"/>
      <c r="L14" s="65"/>
      <c r="M14" s="65"/>
    </row>
    <row r="15" spans="1:14" x14ac:dyDescent="0.3">
      <c r="A15" s="90" t="s">
        <v>131</v>
      </c>
      <c r="B15" s="91">
        <v>9.6999999999999993</v>
      </c>
      <c r="C15" s="91">
        <v>9.6999999999999993</v>
      </c>
      <c r="D15" s="92">
        <v>9.6999999999999993</v>
      </c>
      <c r="E15" s="65"/>
      <c r="F15" s="65"/>
      <c r="G15" s="65"/>
      <c r="H15" s="65"/>
      <c r="I15" s="65"/>
      <c r="J15" s="65"/>
      <c r="L15" s="65"/>
      <c r="M15" s="65"/>
    </row>
    <row r="16" spans="1:14" x14ac:dyDescent="0.3">
      <c r="A16" s="90" t="s">
        <v>132</v>
      </c>
      <c r="B16" s="91">
        <v>11.6</v>
      </c>
      <c r="C16" s="91">
        <v>11.6</v>
      </c>
      <c r="D16" s="92">
        <v>11.6</v>
      </c>
      <c r="E16" s="65"/>
      <c r="F16" s="65"/>
      <c r="G16" s="65"/>
      <c r="H16" s="65"/>
      <c r="I16" s="65"/>
      <c r="J16" s="65"/>
      <c r="L16" s="65"/>
      <c r="M16" s="65"/>
    </row>
    <row r="17" spans="1:13" x14ac:dyDescent="0.3">
      <c r="A17" s="90" t="s">
        <v>133</v>
      </c>
      <c r="B17" s="91"/>
      <c r="C17" s="91"/>
      <c r="D17" s="92"/>
      <c r="E17" s="65"/>
      <c r="F17" s="65"/>
      <c r="G17" s="65"/>
      <c r="H17" s="65"/>
      <c r="I17" s="65"/>
      <c r="J17" s="65"/>
      <c r="L17" s="65"/>
      <c r="M17" s="65"/>
    </row>
    <row r="18" spans="1:13" x14ac:dyDescent="0.3">
      <c r="A18" s="93" t="s">
        <v>134</v>
      </c>
      <c r="B18" s="94"/>
      <c r="C18" s="94"/>
      <c r="D18" s="95"/>
      <c r="E18" s="65"/>
      <c r="F18" s="65"/>
      <c r="G18" s="65"/>
      <c r="H18" s="65"/>
      <c r="I18" s="65"/>
      <c r="J18" s="65"/>
      <c r="L18" s="65"/>
      <c r="M18" s="65"/>
    </row>
    <row r="19" spans="1:13" x14ac:dyDescent="0.3">
      <c r="A19" s="65"/>
      <c r="B19" s="65"/>
      <c r="C19" s="65"/>
      <c r="D19" s="65"/>
      <c r="E19" s="65"/>
      <c r="F19" s="65"/>
      <c r="G19" s="65"/>
      <c r="H19" s="65"/>
      <c r="I19" s="65"/>
      <c r="J19" s="65"/>
      <c r="K19" s="65"/>
      <c r="L19" s="65"/>
      <c r="M19" s="65"/>
    </row>
    <row r="20" spans="1:13" ht="37.5" customHeight="1" x14ac:dyDescent="0.3">
      <c r="A20" s="106" t="s">
        <v>135</v>
      </c>
      <c r="B20" s="108"/>
      <c r="C20" s="65"/>
      <c r="D20" s="65"/>
      <c r="E20" s="65"/>
      <c r="F20" s="65"/>
      <c r="G20" s="65"/>
      <c r="H20" s="65"/>
      <c r="I20" s="65"/>
      <c r="J20" s="65"/>
      <c r="K20" s="65"/>
      <c r="L20" s="65"/>
      <c r="M20" s="65"/>
    </row>
    <row r="21" spans="1:13" ht="56" x14ac:dyDescent="0.3">
      <c r="A21" s="120" t="s">
        <v>136</v>
      </c>
      <c r="B21" s="120" t="s">
        <v>137</v>
      </c>
      <c r="C21" s="120" t="s">
        <v>138</v>
      </c>
      <c r="D21" s="120" t="s">
        <v>139</v>
      </c>
      <c r="E21" s="120" t="s">
        <v>140</v>
      </c>
      <c r="F21" s="120" t="s">
        <v>141</v>
      </c>
      <c r="G21" s="120" t="s">
        <v>142</v>
      </c>
      <c r="H21" s="120" t="s">
        <v>143</v>
      </c>
      <c r="I21" s="120" t="s">
        <v>144</v>
      </c>
      <c r="J21" s="120" t="s">
        <v>145</v>
      </c>
      <c r="K21" s="120" t="s">
        <v>146</v>
      </c>
      <c r="L21" s="120" t="s">
        <v>147</v>
      </c>
      <c r="M21" s="120" t="s">
        <v>148</v>
      </c>
    </row>
    <row r="22" spans="1:13" x14ac:dyDescent="0.3">
      <c r="A22" s="96" t="s">
        <v>149</v>
      </c>
      <c r="B22" s="96" t="s">
        <v>150</v>
      </c>
      <c r="C22" s="96" t="b">
        <v>0</v>
      </c>
      <c r="D22" s="96" t="s">
        <v>151</v>
      </c>
      <c r="E22" s="96" t="s">
        <v>152</v>
      </c>
      <c r="F22" s="91" t="s">
        <v>153</v>
      </c>
      <c r="G22" s="103"/>
      <c r="H22" s="103">
        <v>0.22268165934573059</v>
      </c>
      <c r="I22" s="91" t="s">
        <v>154</v>
      </c>
      <c r="J22" s="91"/>
      <c r="K22" s="91">
        <v>0.68141784218540236</v>
      </c>
      <c r="L22" s="91"/>
      <c r="M22" s="91">
        <v>0.57584362538797151</v>
      </c>
    </row>
    <row r="23" spans="1:13" x14ac:dyDescent="0.3">
      <c r="A23" s="96" t="s">
        <v>149</v>
      </c>
      <c r="B23" s="96" t="s">
        <v>150</v>
      </c>
      <c r="C23" s="96" t="b">
        <v>0</v>
      </c>
      <c r="D23" s="96" t="s">
        <v>151</v>
      </c>
      <c r="E23" s="96" t="s">
        <v>155</v>
      </c>
      <c r="F23" s="91" t="s">
        <v>156</v>
      </c>
      <c r="G23" s="103"/>
      <c r="H23" s="103">
        <v>1.1401540250250741</v>
      </c>
      <c r="I23" s="91" t="s">
        <v>154</v>
      </c>
      <c r="J23" s="91"/>
      <c r="K23" s="91"/>
      <c r="L23" s="91"/>
      <c r="M23" s="91"/>
    </row>
    <row r="24" spans="1:13" x14ac:dyDescent="0.3">
      <c r="A24" s="96" t="s">
        <v>149</v>
      </c>
      <c r="B24" s="96" t="s">
        <v>150</v>
      </c>
      <c r="C24" s="96" t="b">
        <v>0</v>
      </c>
      <c r="D24" s="96" t="s">
        <v>157</v>
      </c>
      <c r="E24" s="96" t="s">
        <v>152</v>
      </c>
      <c r="F24" s="91" t="s">
        <v>158</v>
      </c>
      <c r="G24" s="103"/>
      <c r="H24" s="103">
        <v>0.3333551030803249</v>
      </c>
      <c r="I24" s="91" t="s">
        <v>159</v>
      </c>
      <c r="J24" s="91"/>
      <c r="K24" s="91">
        <v>1.0086397335954627</v>
      </c>
      <c r="L24" s="91"/>
      <c r="M24" s="91"/>
    </row>
    <row r="25" spans="1:13" x14ac:dyDescent="0.3">
      <c r="A25" s="96" t="s">
        <v>149</v>
      </c>
      <c r="B25" s="96" t="s">
        <v>150</v>
      </c>
      <c r="C25" s="96" t="b">
        <v>0</v>
      </c>
      <c r="D25" s="96" t="s">
        <v>160</v>
      </c>
      <c r="E25" s="96" t="s">
        <v>152</v>
      </c>
      <c r="F25" s="91" t="s">
        <v>161</v>
      </c>
      <c r="G25" s="103"/>
      <c r="H25" s="103">
        <v>0.60718371410075633</v>
      </c>
      <c r="I25" s="91" t="s">
        <v>162</v>
      </c>
      <c r="J25" s="91"/>
      <c r="K25" s="91">
        <v>0.62718886616162217</v>
      </c>
      <c r="L25" s="91"/>
      <c r="M25" s="91"/>
    </row>
    <row r="26" spans="1:13" x14ac:dyDescent="0.3">
      <c r="A26" s="96" t="s">
        <v>149</v>
      </c>
      <c r="B26" s="96" t="s">
        <v>163</v>
      </c>
      <c r="C26" s="96" t="b">
        <v>0</v>
      </c>
      <c r="D26" s="96" t="s">
        <v>151</v>
      </c>
      <c r="E26" s="96" t="s">
        <v>152</v>
      </c>
      <c r="F26" s="91" t="s">
        <v>164</v>
      </c>
      <c r="G26" s="103"/>
      <c r="H26" s="103">
        <v>0.17194498911032507</v>
      </c>
      <c r="I26" s="91" t="s">
        <v>165</v>
      </c>
      <c r="J26" s="91"/>
      <c r="K26" s="91">
        <v>0.44228131422957839</v>
      </c>
      <c r="L26" s="91"/>
      <c r="M26" s="91">
        <v>0.55359621588568753</v>
      </c>
    </row>
    <row r="27" spans="1:13" x14ac:dyDescent="0.3">
      <c r="A27" s="96" t="s">
        <v>149</v>
      </c>
      <c r="B27" s="96" t="s">
        <v>163</v>
      </c>
      <c r="C27" s="96" t="b">
        <v>0</v>
      </c>
      <c r="D27" s="96" t="s">
        <v>151</v>
      </c>
      <c r="E27" s="96" t="s">
        <v>155</v>
      </c>
      <c r="F27" s="91" t="s">
        <v>166</v>
      </c>
      <c r="G27" s="103"/>
      <c r="H27" s="103">
        <v>0.71261763934883171</v>
      </c>
      <c r="I27" s="91" t="s">
        <v>165</v>
      </c>
      <c r="J27" s="91"/>
      <c r="K27" s="91"/>
      <c r="L27" s="91"/>
      <c r="M27" s="91"/>
    </row>
    <row r="28" spans="1:13" x14ac:dyDescent="0.3">
      <c r="A28" s="96" t="s">
        <v>149</v>
      </c>
      <c r="B28" s="96" t="s">
        <v>163</v>
      </c>
      <c r="C28" s="96" t="b">
        <v>0</v>
      </c>
      <c r="D28" s="96" t="s">
        <v>157</v>
      </c>
      <c r="E28" s="96" t="s">
        <v>152</v>
      </c>
      <c r="F28" s="91" t="s">
        <v>167</v>
      </c>
      <c r="G28" s="103"/>
      <c r="H28" s="103">
        <v>0.25964333144221985</v>
      </c>
      <c r="I28" s="91" t="s">
        <v>168</v>
      </c>
      <c r="J28" s="91"/>
      <c r="K28" s="91">
        <v>0.71156903297947238</v>
      </c>
      <c r="L28" s="91"/>
      <c r="M28" s="91"/>
    </row>
    <row r="29" spans="1:13" x14ac:dyDescent="0.3">
      <c r="A29" s="96" t="s">
        <v>149</v>
      </c>
      <c r="B29" s="96" t="s">
        <v>163</v>
      </c>
      <c r="C29" s="96" t="b">
        <v>0</v>
      </c>
      <c r="D29" s="96" t="s">
        <v>157</v>
      </c>
      <c r="E29" s="96" t="s">
        <v>155</v>
      </c>
      <c r="F29" s="91" t="s">
        <v>169</v>
      </c>
      <c r="G29" s="103"/>
      <c r="H29" s="103">
        <v>1.163494734516725</v>
      </c>
      <c r="I29" s="91" t="s">
        <v>168</v>
      </c>
      <c r="J29" s="91"/>
      <c r="K29" s="91"/>
      <c r="L29" s="91"/>
      <c r="M29" s="91"/>
    </row>
    <row r="30" spans="1:13" x14ac:dyDescent="0.3">
      <c r="A30" s="96" t="s">
        <v>149</v>
      </c>
      <c r="B30" s="96" t="s">
        <v>163</v>
      </c>
      <c r="C30" s="96" t="b">
        <v>0</v>
      </c>
      <c r="D30" s="96" t="s">
        <v>160</v>
      </c>
      <c r="E30" s="96" t="s">
        <v>152</v>
      </c>
      <c r="F30" s="91" t="s">
        <v>170</v>
      </c>
      <c r="G30" s="103"/>
      <c r="H30" s="103">
        <v>0.46028038501033652</v>
      </c>
      <c r="I30" s="91" t="s">
        <v>171</v>
      </c>
      <c r="J30" s="91"/>
      <c r="K30" s="91">
        <v>1.0204598222702475</v>
      </c>
      <c r="L30" s="91"/>
      <c r="M30" s="91"/>
    </row>
    <row r="31" spans="1:13" x14ac:dyDescent="0.3">
      <c r="A31" s="96" t="s">
        <v>149</v>
      </c>
      <c r="B31" s="96" t="s">
        <v>172</v>
      </c>
      <c r="C31" s="96" t="b">
        <v>0</v>
      </c>
      <c r="D31" s="96" t="s">
        <v>151</v>
      </c>
      <c r="E31" s="96" t="s">
        <v>152</v>
      </c>
      <c r="F31" s="91" t="s">
        <v>173</v>
      </c>
      <c r="G31" s="103"/>
      <c r="H31" s="103">
        <v>0.18714087595685056</v>
      </c>
      <c r="I31" s="91" t="s">
        <v>174</v>
      </c>
      <c r="J31" s="91"/>
      <c r="K31" s="91">
        <v>0.52213843112372327</v>
      </c>
      <c r="L31" s="91"/>
      <c r="M31" s="91">
        <v>0.4603345341999493</v>
      </c>
    </row>
    <row r="32" spans="1:13" x14ac:dyDescent="0.3">
      <c r="A32" s="96" t="s">
        <v>149</v>
      </c>
      <c r="B32" s="96" t="s">
        <v>172</v>
      </c>
      <c r="C32" s="96" t="b">
        <v>0</v>
      </c>
      <c r="D32" s="96" t="s">
        <v>151</v>
      </c>
      <c r="E32" s="96" t="s">
        <v>155</v>
      </c>
      <c r="F32" s="91" t="s">
        <v>175</v>
      </c>
      <c r="G32" s="103"/>
      <c r="H32" s="103">
        <v>0.85713598629059606</v>
      </c>
      <c r="I32" s="91" t="s">
        <v>174</v>
      </c>
      <c r="J32" s="91"/>
      <c r="K32" s="91"/>
      <c r="L32" s="91"/>
      <c r="M32" s="91"/>
    </row>
    <row r="33" spans="1:14" x14ac:dyDescent="0.3">
      <c r="A33" s="96" t="s">
        <v>149</v>
      </c>
      <c r="B33" s="96" t="s">
        <v>172</v>
      </c>
      <c r="C33" s="96" t="b">
        <v>0</v>
      </c>
      <c r="D33" s="96" t="s">
        <v>157</v>
      </c>
      <c r="E33" s="96" t="s">
        <v>152</v>
      </c>
      <c r="F33" s="91" t="s">
        <v>176</v>
      </c>
      <c r="G33" s="103"/>
      <c r="H33" s="103">
        <v>0.28402055023308725</v>
      </c>
      <c r="I33" s="91" t="s">
        <v>177</v>
      </c>
      <c r="J33" s="91"/>
      <c r="K33" s="91">
        <v>0.85779038374461691</v>
      </c>
      <c r="L33" s="91"/>
      <c r="M33" s="91"/>
    </row>
    <row r="34" spans="1:14" x14ac:dyDescent="0.3">
      <c r="A34" s="96" t="s">
        <v>149</v>
      </c>
      <c r="B34" s="96" t="s">
        <v>172</v>
      </c>
      <c r="C34" s="96" t="b">
        <v>0</v>
      </c>
      <c r="D34" s="96" t="s">
        <v>160</v>
      </c>
      <c r="E34" s="96" t="s">
        <v>152</v>
      </c>
      <c r="F34" s="91" t="s">
        <v>178</v>
      </c>
      <c r="G34" s="103"/>
      <c r="H34" s="103">
        <v>0.5130407243192634</v>
      </c>
      <c r="I34" s="91" t="s">
        <v>179</v>
      </c>
      <c r="J34" s="91"/>
      <c r="K34" s="91">
        <v>0.52284595887251317</v>
      </c>
      <c r="L34" s="91"/>
      <c r="M34" s="91"/>
    </row>
    <row r="35" spans="1:14" x14ac:dyDescent="0.3">
      <c r="A35" s="96" t="s">
        <v>149</v>
      </c>
      <c r="B35" s="96" t="s">
        <v>180</v>
      </c>
      <c r="C35" s="96" t="b">
        <v>0</v>
      </c>
      <c r="D35" s="96" t="s">
        <v>157</v>
      </c>
      <c r="E35" s="96" t="s">
        <v>152</v>
      </c>
      <c r="F35" s="91" t="s">
        <v>181</v>
      </c>
      <c r="G35" s="103"/>
      <c r="H35" s="103">
        <v>0.3383681037858165</v>
      </c>
      <c r="I35" s="91" t="s">
        <v>182</v>
      </c>
      <c r="J35" s="91"/>
      <c r="K35" s="91">
        <v>0.35706930429970718</v>
      </c>
      <c r="L35" s="91"/>
      <c r="M35" s="91">
        <v>0.3383681037858165</v>
      </c>
    </row>
    <row r="36" spans="1:14" x14ac:dyDescent="0.3">
      <c r="A36" s="96" t="s">
        <v>149</v>
      </c>
      <c r="B36" s="96" t="s">
        <v>183</v>
      </c>
      <c r="C36" s="96" t="b">
        <v>0</v>
      </c>
      <c r="D36" s="96" t="s">
        <v>157</v>
      </c>
      <c r="E36" s="96" t="s">
        <v>152</v>
      </c>
      <c r="F36" s="91" t="s">
        <v>184</v>
      </c>
      <c r="G36" s="103"/>
      <c r="H36" s="103">
        <v>0.34689722906915599</v>
      </c>
      <c r="I36" s="91" t="s">
        <v>185</v>
      </c>
      <c r="J36" s="91"/>
      <c r="K36" s="91">
        <v>0.67558960936027868</v>
      </c>
      <c r="L36" s="91"/>
      <c r="M36" s="91">
        <v>0.46462885420662936</v>
      </c>
    </row>
    <row r="37" spans="1:14" x14ac:dyDescent="0.3">
      <c r="A37" s="96" t="s">
        <v>149</v>
      </c>
      <c r="B37" s="96" t="s">
        <v>183</v>
      </c>
      <c r="C37" s="96" t="b">
        <v>0</v>
      </c>
      <c r="D37" s="96" t="s">
        <v>160</v>
      </c>
      <c r="E37" s="96" t="s">
        <v>152</v>
      </c>
      <c r="F37" s="91" t="s">
        <v>186</v>
      </c>
      <c r="G37" s="103"/>
      <c r="H37" s="103">
        <v>0.58236047934410273</v>
      </c>
      <c r="I37" s="91" t="s">
        <v>187</v>
      </c>
      <c r="J37" s="91"/>
      <c r="K37" s="91">
        <v>0.57295573579860282</v>
      </c>
      <c r="L37" s="91"/>
      <c r="M37" s="91"/>
    </row>
    <row r="38" spans="1:14" x14ac:dyDescent="0.3">
      <c r="A38" s="96" t="s">
        <v>149</v>
      </c>
      <c r="B38" s="96" t="s">
        <v>188</v>
      </c>
      <c r="C38" s="96" t="b">
        <v>0</v>
      </c>
      <c r="D38" s="96" t="s">
        <v>151</v>
      </c>
      <c r="E38" s="96" t="s">
        <v>152</v>
      </c>
      <c r="F38" s="91" t="s">
        <v>189</v>
      </c>
      <c r="G38" s="103"/>
      <c r="H38" s="103">
        <v>0.26992088251761831</v>
      </c>
      <c r="I38" s="91" t="s">
        <v>190</v>
      </c>
      <c r="J38" s="91"/>
      <c r="K38" s="91">
        <v>0.40891475781580722</v>
      </c>
      <c r="L38" s="91"/>
      <c r="M38" s="91">
        <v>0.38942536717842063</v>
      </c>
    </row>
    <row r="39" spans="1:14" x14ac:dyDescent="0.3">
      <c r="A39" s="96" t="s">
        <v>149</v>
      </c>
      <c r="B39" s="96" t="s">
        <v>188</v>
      </c>
      <c r="C39" s="96" t="b">
        <v>0</v>
      </c>
      <c r="D39" s="96" t="s">
        <v>151</v>
      </c>
      <c r="E39" s="96" t="s">
        <v>155</v>
      </c>
      <c r="F39" s="91" t="s">
        <v>191</v>
      </c>
      <c r="G39" s="103"/>
      <c r="H39" s="103">
        <v>0.54790863311399618</v>
      </c>
      <c r="I39" s="91" t="s">
        <v>190</v>
      </c>
      <c r="J39" s="91"/>
      <c r="K39" s="91"/>
      <c r="L39" s="91"/>
      <c r="M39" s="91"/>
    </row>
    <row r="40" spans="1:14" x14ac:dyDescent="0.3">
      <c r="A40" s="96" t="s">
        <v>149</v>
      </c>
      <c r="B40" s="96" t="s">
        <v>188</v>
      </c>
      <c r="C40" s="96" t="b">
        <v>0</v>
      </c>
      <c r="D40" s="96" t="s">
        <v>157</v>
      </c>
      <c r="E40" s="96" t="s">
        <v>152</v>
      </c>
      <c r="F40" s="91" t="s">
        <v>192</v>
      </c>
      <c r="G40" s="103"/>
      <c r="H40" s="103">
        <v>0.35044658590364736</v>
      </c>
      <c r="I40" s="91" t="s">
        <v>193</v>
      </c>
      <c r="J40" s="91"/>
      <c r="K40" s="91">
        <v>1.2622759694102776</v>
      </c>
      <c r="L40" s="91"/>
      <c r="M40" s="91"/>
    </row>
    <row r="41" spans="1:14" x14ac:dyDescent="0.3">
      <c r="A41" s="96" t="s">
        <v>149</v>
      </c>
      <c r="B41" s="96" t="s">
        <v>194</v>
      </c>
      <c r="C41" s="96" t="b">
        <v>0</v>
      </c>
      <c r="D41" s="96" t="s">
        <v>151</v>
      </c>
      <c r="E41" s="96" t="s">
        <v>152</v>
      </c>
      <c r="F41" s="91" t="s">
        <v>195</v>
      </c>
      <c r="G41" s="103"/>
      <c r="H41" s="103">
        <v>0.13157422071153757</v>
      </c>
      <c r="I41" s="91" t="s">
        <v>196</v>
      </c>
      <c r="J41" s="91"/>
      <c r="K41" s="91">
        <v>0.4072393176286469</v>
      </c>
      <c r="L41" s="91"/>
      <c r="M41" s="91">
        <v>0.19885718043466599</v>
      </c>
    </row>
    <row r="42" spans="1:14" x14ac:dyDescent="0.3">
      <c r="A42" s="96" t="s">
        <v>149</v>
      </c>
      <c r="B42" s="96" t="s">
        <v>194</v>
      </c>
      <c r="C42" s="96" t="b">
        <v>0</v>
      </c>
      <c r="D42" s="96" t="s">
        <v>151</v>
      </c>
      <c r="E42" s="96" t="s">
        <v>155</v>
      </c>
      <c r="F42" s="91" t="s">
        <v>197</v>
      </c>
      <c r="G42" s="103"/>
      <c r="H42" s="103">
        <v>0.15152641664437672</v>
      </c>
      <c r="I42" s="91" t="s">
        <v>196</v>
      </c>
      <c r="J42" s="91"/>
      <c r="K42" s="91"/>
      <c r="L42" s="91"/>
      <c r="M42" s="91"/>
    </row>
    <row r="43" spans="1:14" x14ac:dyDescent="0.3">
      <c r="A43" s="96" t="s">
        <v>149</v>
      </c>
      <c r="B43" s="96" t="s">
        <v>194</v>
      </c>
      <c r="C43" s="96" t="b">
        <v>0</v>
      </c>
      <c r="D43" s="96" t="s">
        <v>157</v>
      </c>
      <c r="E43" s="96" t="s">
        <v>152</v>
      </c>
      <c r="F43" s="91" t="s">
        <v>198</v>
      </c>
      <c r="G43" s="103"/>
      <c r="H43" s="103">
        <v>0.18569948347402684</v>
      </c>
      <c r="I43" s="91" t="s">
        <v>199</v>
      </c>
      <c r="J43" s="91"/>
      <c r="K43" s="91">
        <v>0.60419664890869507</v>
      </c>
      <c r="L43" s="91"/>
      <c r="M43" s="91"/>
      <c r="N43" s="65"/>
    </row>
    <row r="44" spans="1:14" x14ac:dyDescent="0.3">
      <c r="A44" s="96" t="s">
        <v>149</v>
      </c>
      <c r="B44" s="96" t="s">
        <v>194</v>
      </c>
      <c r="C44" s="96" t="b">
        <v>0</v>
      </c>
      <c r="D44" s="96" t="s">
        <v>157</v>
      </c>
      <c r="E44" s="96" t="s">
        <v>155</v>
      </c>
      <c r="F44" s="91" t="s">
        <v>200</v>
      </c>
      <c r="G44" s="103"/>
      <c r="H44" s="103">
        <v>0.23753379696144195</v>
      </c>
      <c r="I44" s="91" t="s">
        <v>199</v>
      </c>
      <c r="J44" s="91"/>
      <c r="K44" s="91"/>
      <c r="L44" s="91"/>
      <c r="M44" s="91"/>
      <c r="N44" s="65"/>
    </row>
    <row r="45" spans="1:14" x14ac:dyDescent="0.3">
      <c r="A45" s="96" t="s">
        <v>149</v>
      </c>
      <c r="B45" s="96" t="s">
        <v>194</v>
      </c>
      <c r="C45" s="96" t="b">
        <v>0</v>
      </c>
      <c r="D45" s="96" t="s">
        <v>160</v>
      </c>
      <c r="E45" s="96" t="s">
        <v>152</v>
      </c>
      <c r="F45" s="91" t="s">
        <v>201</v>
      </c>
      <c r="G45" s="103"/>
      <c r="H45" s="103">
        <v>0.2879519843819468</v>
      </c>
      <c r="I45" s="91" t="s">
        <v>202</v>
      </c>
      <c r="J45" s="91"/>
      <c r="K45" s="91">
        <v>0.30865771267291875</v>
      </c>
      <c r="L45" s="91"/>
      <c r="M45" s="91"/>
      <c r="N45" s="65"/>
    </row>
    <row r="46" spans="1:14" x14ac:dyDescent="0.3">
      <c r="A46" s="96" t="s">
        <v>149</v>
      </c>
      <c r="B46" s="96" t="s">
        <v>203</v>
      </c>
      <c r="C46" s="96" t="b">
        <v>0</v>
      </c>
      <c r="D46" s="96" t="s">
        <v>151</v>
      </c>
      <c r="E46" s="96" t="s">
        <v>152</v>
      </c>
      <c r="F46" s="91" t="s">
        <v>204</v>
      </c>
      <c r="G46" s="103"/>
      <c r="H46" s="103">
        <v>0.16814283133104013</v>
      </c>
      <c r="I46" s="91" t="s">
        <v>205</v>
      </c>
      <c r="J46" s="91"/>
      <c r="K46" s="91">
        <v>0.57695716214575077</v>
      </c>
      <c r="L46" s="91"/>
      <c r="M46" s="91">
        <v>0.31121168835227103</v>
      </c>
      <c r="N46" s="65"/>
    </row>
    <row r="47" spans="1:14" x14ac:dyDescent="0.3">
      <c r="A47" s="96" t="s">
        <v>149</v>
      </c>
      <c r="B47" s="96" t="s">
        <v>203</v>
      </c>
      <c r="C47" s="96" t="b">
        <v>0</v>
      </c>
      <c r="D47" s="96" t="s">
        <v>151</v>
      </c>
      <c r="E47" s="96" t="s">
        <v>155</v>
      </c>
      <c r="F47" s="91" t="s">
        <v>206</v>
      </c>
      <c r="G47" s="103"/>
      <c r="H47" s="103">
        <v>0.30783078577548562</v>
      </c>
      <c r="I47" s="91" t="s">
        <v>205</v>
      </c>
      <c r="J47" s="91"/>
      <c r="K47" s="91"/>
      <c r="L47" s="91"/>
      <c r="M47" s="91"/>
      <c r="N47" s="65"/>
    </row>
    <row r="48" spans="1:14" x14ac:dyDescent="0.3">
      <c r="A48" s="96" t="s">
        <v>149</v>
      </c>
      <c r="B48" s="96" t="s">
        <v>203</v>
      </c>
      <c r="C48" s="96" t="b">
        <v>0</v>
      </c>
      <c r="D48" s="96" t="s">
        <v>157</v>
      </c>
      <c r="E48" s="96" t="s">
        <v>152</v>
      </c>
      <c r="F48" s="91" t="s">
        <v>207</v>
      </c>
      <c r="G48" s="103"/>
      <c r="H48" s="103">
        <v>0.23321843844624723</v>
      </c>
      <c r="I48" s="91" t="s">
        <v>208</v>
      </c>
      <c r="J48" s="91"/>
      <c r="K48" s="91">
        <v>0.84797876400328276</v>
      </c>
      <c r="L48" s="91"/>
      <c r="M48" s="91"/>
      <c r="N48" s="65"/>
    </row>
    <row r="49" spans="1:14" x14ac:dyDescent="0.3">
      <c r="A49" s="96" t="s">
        <v>149</v>
      </c>
      <c r="B49" s="96" t="s">
        <v>203</v>
      </c>
      <c r="C49" s="96" t="b">
        <v>0</v>
      </c>
      <c r="D49" s="96" t="s">
        <v>157</v>
      </c>
      <c r="E49" s="96" t="s">
        <v>155</v>
      </c>
      <c r="F49" s="91" t="s">
        <v>209</v>
      </c>
      <c r="G49" s="103"/>
      <c r="H49" s="103">
        <v>0.48234614724253844</v>
      </c>
      <c r="I49" s="91" t="s">
        <v>208</v>
      </c>
      <c r="J49" s="91"/>
      <c r="K49" s="91"/>
      <c r="L49" s="91"/>
      <c r="M49" s="91"/>
      <c r="N49" s="65"/>
    </row>
    <row r="50" spans="1:14" x14ac:dyDescent="0.3">
      <c r="A50" s="96" t="s">
        <v>149</v>
      </c>
      <c r="B50" s="96" t="s">
        <v>203</v>
      </c>
      <c r="C50" s="96" t="b">
        <v>0</v>
      </c>
      <c r="D50" s="96" t="s">
        <v>160</v>
      </c>
      <c r="E50" s="96" t="s">
        <v>152</v>
      </c>
      <c r="F50" s="91" t="s">
        <v>210</v>
      </c>
      <c r="G50" s="103"/>
      <c r="H50" s="103">
        <v>0.36452023896604369</v>
      </c>
      <c r="I50" s="91" t="s">
        <v>211</v>
      </c>
      <c r="J50" s="91"/>
      <c r="K50" s="91">
        <v>0.47532415308784554</v>
      </c>
      <c r="L50" s="91"/>
      <c r="M50" s="91"/>
      <c r="N50" s="65"/>
    </row>
    <row r="51" spans="1:14" x14ac:dyDescent="0.3">
      <c r="A51" s="96" t="s">
        <v>149</v>
      </c>
      <c r="B51" s="96" t="s">
        <v>212</v>
      </c>
      <c r="C51" s="96" t="b">
        <v>0</v>
      </c>
      <c r="D51" s="96" t="s">
        <v>151</v>
      </c>
      <c r="E51" s="96" t="s">
        <v>152</v>
      </c>
      <c r="F51" s="91" t="s">
        <v>213</v>
      </c>
      <c r="G51" s="103"/>
      <c r="H51" s="103">
        <v>0.21015917992383415</v>
      </c>
      <c r="I51" s="91" t="s">
        <v>214</v>
      </c>
      <c r="J51" s="91"/>
      <c r="K51" s="91">
        <v>0.8271843343157933</v>
      </c>
      <c r="L51" s="91"/>
      <c r="M51" s="91">
        <v>0.4345452568699254</v>
      </c>
      <c r="N51" s="65"/>
    </row>
    <row r="52" spans="1:14" x14ac:dyDescent="0.3">
      <c r="A52" s="96" t="s">
        <v>149</v>
      </c>
      <c r="B52" s="96" t="s">
        <v>212</v>
      </c>
      <c r="C52" s="96" t="b">
        <v>0</v>
      </c>
      <c r="D52" s="96" t="s">
        <v>151</v>
      </c>
      <c r="E52" s="96" t="s">
        <v>155</v>
      </c>
      <c r="F52" s="91" t="s">
        <v>215</v>
      </c>
      <c r="G52" s="103"/>
      <c r="H52" s="103">
        <v>0.7230894864759182</v>
      </c>
      <c r="I52" s="91" t="s">
        <v>214</v>
      </c>
      <c r="J52" s="91"/>
      <c r="K52" s="91"/>
      <c r="L52" s="91"/>
      <c r="M52" s="91"/>
      <c r="N52" s="65"/>
    </row>
    <row r="53" spans="1:14" x14ac:dyDescent="0.3">
      <c r="A53" s="96" t="s">
        <v>149</v>
      </c>
      <c r="B53" s="96" t="s">
        <v>212</v>
      </c>
      <c r="C53" s="96" t="b">
        <v>0</v>
      </c>
      <c r="D53" s="96" t="s">
        <v>157</v>
      </c>
      <c r="E53" s="96" t="s">
        <v>152</v>
      </c>
      <c r="F53" s="91" t="s">
        <v>216</v>
      </c>
      <c r="G53" s="103"/>
      <c r="H53" s="103">
        <v>0.29927843349330513</v>
      </c>
      <c r="I53" s="91" t="s">
        <v>217</v>
      </c>
      <c r="J53" s="91"/>
      <c r="K53" s="91">
        <v>0.75257215783271969</v>
      </c>
      <c r="L53" s="91"/>
      <c r="M53" s="91"/>
      <c r="N53" s="65"/>
    </row>
    <row r="54" spans="1:14" x14ac:dyDescent="0.3">
      <c r="A54" s="96" t="s">
        <v>149</v>
      </c>
      <c r="B54" s="96" t="s">
        <v>212</v>
      </c>
      <c r="C54" s="96" t="b">
        <v>0</v>
      </c>
      <c r="D54" s="96" t="s">
        <v>160</v>
      </c>
      <c r="E54" s="96" t="s">
        <v>152</v>
      </c>
      <c r="F54" s="91" t="s">
        <v>218</v>
      </c>
      <c r="G54" s="103"/>
      <c r="H54" s="103">
        <v>0.50565392758664407</v>
      </c>
      <c r="I54" s="91" t="s">
        <v>219</v>
      </c>
      <c r="J54" s="91"/>
      <c r="K54" s="91">
        <v>0.50565392758664407</v>
      </c>
      <c r="L54" s="91"/>
      <c r="M54" s="91"/>
      <c r="N54" s="65"/>
    </row>
    <row r="55" spans="1:14" x14ac:dyDescent="0.3">
      <c r="A55" s="96" t="s">
        <v>220</v>
      </c>
      <c r="B55" s="96" t="s">
        <v>150</v>
      </c>
      <c r="C55" s="96" t="b">
        <v>0</v>
      </c>
      <c r="D55" s="96" t="s">
        <v>151</v>
      </c>
      <c r="E55" s="96" t="s">
        <v>152</v>
      </c>
      <c r="F55" s="91" t="s">
        <v>221</v>
      </c>
      <c r="G55" s="103"/>
      <c r="H55" s="103">
        <v>0.23490287338438326</v>
      </c>
      <c r="I55" s="91"/>
      <c r="J55" s="91"/>
      <c r="K55" s="91"/>
      <c r="L55" s="91"/>
      <c r="M55" s="91"/>
      <c r="N55" s="65"/>
    </row>
    <row r="56" spans="1:14" x14ac:dyDescent="0.3">
      <c r="A56" s="96" t="s">
        <v>220</v>
      </c>
      <c r="B56" s="96" t="s">
        <v>150</v>
      </c>
      <c r="C56" s="96" t="b">
        <v>0</v>
      </c>
      <c r="D56" s="96" t="s">
        <v>151</v>
      </c>
      <c r="E56" s="96" t="s">
        <v>155</v>
      </c>
      <c r="F56" s="91" t="s">
        <v>222</v>
      </c>
      <c r="G56" s="103"/>
      <c r="H56" s="103">
        <v>1.1878274173255803</v>
      </c>
      <c r="I56" s="91"/>
      <c r="J56" s="91"/>
      <c r="K56" s="91"/>
      <c r="L56" s="91"/>
      <c r="M56" s="91"/>
      <c r="N56" s="65"/>
    </row>
    <row r="57" spans="1:14" x14ac:dyDescent="0.3">
      <c r="A57" s="96" t="s">
        <v>220</v>
      </c>
      <c r="B57" s="96" t="s">
        <v>150</v>
      </c>
      <c r="C57" s="96" t="b">
        <v>0</v>
      </c>
      <c r="D57" s="96" t="s">
        <v>151</v>
      </c>
      <c r="E57" s="96" t="s">
        <v>223</v>
      </c>
      <c r="F57" s="91" t="s">
        <v>224</v>
      </c>
      <c r="G57" s="103"/>
      <c r="H57" s="103">
        <v>1.5047366803804829</v>
      </c>
      <c r="I57" s="91"/>
      <c r="J57" s="91"/>
      <c r="K57" s="91"/>
      <c r="L57" s="91"/>
      <c r="M57" s="91"/>
      <c r="N57" s="65"/>
    </row>
    <row r="58" spans="1:14" x14ac:dyDescent="0.3">
      <c r="A58" s="96" t="s">
        <v>220</v>
      </c>
      <c r="B58" s="96" t="s">
        <v>150</v>
      </c>
      <c r="C58" s="96" t="b">
        <v>0</v>
      </c>
      <c r="D58" s="96" t="s">
        <v>157</v>
      </c>
      <c r="E58" s="96" t="s">
        <v>152</v>
      </c>
      <c r="F58" s="91" t="s">
        <v>225</v>
      </c>
      <c r="G58" s="103"/>
      <c r="H58" s="103">
        <v>0.35328669229046539</v>
      </c>
      <c r="I58" s="91"/>
      <c r="J58" s="91"/>
      <c r="K58" s="91"/>
      <c r="L58" s="91"/>
      <c r="M58" s="91"/>
      <c r="N58" s="65"/>
    </row>
    <row r="59" spans="1:14" x14ac:dyDescent="0.3">
      <c r="A59" s="96" t="s">
        <v>220</v>
      </c>
      <c r="B59" s="96" t="s">
        <v>150</v>
      </c>
      <c r="C59" s="96" t="b">
        <v>0</v>
      </c>
      <c r="D59" s="96" t="s">
        <v>160</v>
      </c>
      <c r="E59" s="96" t="s">
        <v>152</v>
      </c>
      <c r="F59" s="91" t="s">
        <v>226</v>
      </c>
      <c r="G59" s="103"/>
      <c r="H59" s="103">
        <v>0.64719401822248801</v>
      </c>
      <c r="I59" s="91"/>
      <c r="J59" s="91"/>
      <c r="K59" s="91"/>
      <c r="L59" s="91"/>
      <c r="M59" s="91"/>
      <c r="N59" s="65"/>
    </row>
    <row r="60" spans="1:14" x14ac:dyDescent="0.3">
      <c r="A60" s="96" t="s">
        <v>220</v>
      </c>
      <c r="B60" s="96" t="s">
        <v>163</v>
      </c>
      <c r="C60" s="96" t="b">
        <v>0</v>
      </c>
      <c r="D60" s="96" t="s">
        <v>227</v>
      </c>
      <c r="E60" s="96" t="s">
        <v>152</v>
      </c>
      <c r="F60" s="91" t="s">
        <v>228</v>
      </c>
      <c r="G60" s="103"/>
      <c r="H60" s="103">
        <v>9.9667132012879411E-2</v>
      </c>
      <c r="I60" s="91"/>
      <c r="J60" s="91"/>
      <c r="K60" s="91"/>
      <c r="L60" s="91"/>
      <c r="M60" s="91"/>
      <c r="N60" s="65"/>
    </row>
    <row r="61" spans="1:14" x14ac:dyDescent="0.3">
      <c r="A61" s="96" t="s">
        <v>220</v>
      </c>
      <c r="B61" s="96" t="s">
        <v>163</v>
      </c>
      <c r="C61" s="96" t="b">
        <v>0</v>
      </c>
      <c r="D61" s="96" t="s">
        <v>151</v>
      </c>
      <c r="E61" s="96" t="s">
        <v>152</v>
      </c>
      <c r="F61" s="91" t="s">
        <v>229</v>
      </c>
      <c r="G61" s="103"/>
      <c r="H61" s="103">
        <v>0.17966901376902461</v>
      </c>
      <c r="I61" s="91"/>
      <c r="J61" s="91"/>
      <c r="K61" s="91"/>
      <c r="L61" s="91"/>
      <c r="M61" s="91"/>
      <c r="N61" s="65"/>
    </row>
    <row r="62" spans="1:14" x14ac:dyDescent="0.3">
      <c r="A62" s="96" t="s">
        <v>220</v>
      </c>
      <c r="B62" s="96" t="s">
        <v>163</v>
      </c>
      <c r="C62" s="96" t="b">
        <v>0</v>
      </c>
      <c r="D62" s="96" t="s">
        <v>151</v>
      </c>
      <c r="E62" s="96" t="s">
        <v>155</v>
      </c>
      <c r="F62" s="91" t="s">
        <v>230</v>
      </c>
      <c r="G62" s="103"/>
      <c r="H62" s="103">
        <v>0.74014591724651024</v>
      </c>
      <c r="I62" s="91"/>
      <c r="J62" s="91"/>
      <c r="K62" s="91"/>
      <c r="L62" s="91"/>
      <c r="M62" s="91"/>
      <c r="N62" s="65"/>
    </row>
    <row r="63" spans="1:14" x14ac:dyDescent="0.3">
      <c r="A63" s="96" t="s">
        <v>220</v>
      </c>
      <c r="B63" s="96" t="s">
        <v>163</v>
      </c>
      <c r="C63" s="96" t="b">
        <v>0</v>
      </c>
      <c r="D63" s="96" t="s">
        <v>151</v>
      </c>
      <c r="E63" s="96" t="s">
        <v>223</v>
      </c>
      <c r="F63" s="91" t="s">
        <v>231</v>
      </c>
      <c r="G63" s="103"/>
      <c r="H63" s="103">
        <v>1.1328115826464347</v>
      </c>
      <c r="I63" s="91"/>
      <c r="J63" s="91"/>
      <c r="K63" s="91"/>
      <c r="L63" s="91"/>
      <c r="M63" s="91"/>
      <c r="N63" s="65"/>
    </row>
    <row r="64" spans="1:14" x14ac:dyDescent="0.3">
      <c r="A64" s="96" t="s">
        <v>220</v>
      </c>
      <c r="B64" s="96" t="s">
        <v>163</v>
      </c>
      <c r="C64" s="96" t="b">
        <v>0</v>
      </c>
      <c r="D64" s="96" t="s">
        <v>157</v>
      </c>
      <c r="E64" s="96" t="s">
        <v>152</v>
      </c>
      <c r="F64" s="91" t="s">
        <v>232</v>
      </c>
      <c r="G64" s="103"/>
      <c r="H64" s="103">
        <v>0.271725597223757</v>
      </c>
      <c r="I64" s="91"/>
      <c r="J64" s="91"/>
      <c r="K64" s="91"/>
      <c r="L64" s="91"/>
      <c r="M64" s="91"/>
      <c r="N64" s="65"/>
    </row>
    <row r="65" spans="1:14" x14ac:dyDescent="0.3">
      <c r="A65" s="96" t="s">
        <v>220</v>
      </c>
      <c r="B65" s="96" t="s">
        <v>163</v>
      </c>
      <c r="C65" s="96" t="b">
        <v>0</v>
      </c>
      <c r="D65" s="96" t="s">
        <v>157</v>
      </c>
      <c r="E65" s="96" t="s">
        <v>155</v>
      </c>
      <c r="F65" s="91" t="s">
        <v>233</v>
      </c>
      <c r="G65" s="103"/>
      <c r="H65" s="103">
        <v>1.2094002378935655</v>
      </c>
      <c r="I65" s="91"/>
      <c r="J65" s="91"/>
      <c r="K65" s="91"/>
      <c r="L65" s="91"/>
      <c r="M65" s="91"/>
      <c r="N65" s="65"/>
    </row>
    <row r="66" spans="1:14" x14ac:dyDescent="0.3">
      <c r="A66" s="96" t="s">
        <v>220</v>
      </c>
      <c r="B66" s="96" t="s">
        <v>163</v>
      </c>
      <c r="C66" s="96" t="b">
        <v>0</v>
      </c>
      <c r="D66" s="96" t="s">
        <v>160</v>
      </c>
      <c r="E66" s="96" t="s">
        <v>152</v>
      </c>
      <c r="F66" s="91" t="s">
        <v>234</v>
      </c>
      <c r="G66" s="103"/>
      <c r="H66" s="103">
        <v>0.48403359878593799</v>
      </c>
      <c r="I66" s="91"/>
      <c r="J66" s="91"/>
      <c r="K66" s="91"/>
      <c r="L66" s="91"/>
      <c r="M66" s="91"/>
      <c r="N66" s="65"/>
    </row>
    <row r="67" spans="1:14" x14ac:dyDescent="0.3">
      <c r="A67" s="96" t="s">
        <v>220</v>
      </c>
      <c r="B67" s="96" t="s">
        <v>163</v>
      </c>
      <c r="C67" s="96" t="b">
        <v>0</v>
      </c>
      <c r="D67" s="96" t="s">
        <v>160</v>
      </c>
      <c r="E67" s="96" t="s">
        <v>155</v>
      </c>
      <c r="F67" s="91" t="s">
        <v>235</v>
      </c>
      <c r="G67" s="103"/>
      <c r="H67" s="103">
        <v>1.5806392595301584</v>
      </c>
      <c r="I67" s="91"/>
      <c r="J67" s="91"/>
      <c r="K67" s="91"/>
      <c r="L67" s="91"/>
      <c r="M67" s="91"/>
      <c r="N67" s="65"/>
    </row>
    <row r="68" spans="1:14" x14ac:dyDescent="0.3">
      <c r="A68" s="96" t="s">
        <v>220</v>
      </c>
      <c r="B68" s="96" t="s">
        <v>172</v>
      </c>
      <c r="C68" s="96" t="b">
        <v>0</v>
      </c>
      <c r="D68" s="96" t="s">
        <v>151</v>
      </c>
      <c r="E68" s="96" t="s">
        <v>152</v>
      </c>
      <c r="F68" s="91" t="s">
        <v>236</v>
      </c>
      <c r="G68" s="103"/>
      <c r="H68" s="103">
        <v>0.19368909570759363</v>
      </c>
      <c r="I68" s="91"/>
      <c r="J68" s="91"/>
      <c r="K68" s="91"/>
      <c r="L68" s="91"/>
      <c r="M68" s="91"/>
      <c r="N68" s="65"/>
    </row>
    <row r="69" spans="1:14" x14ac:dyDescent="0.3">
      <c r="A69" s="96" t="s">
        <v>220</v>
      </c>
      <c r="B69" s="96" t="s">
        <v>172</v>
      </c>
      <c r="C69" s="96" t="b">
        <v>0</v>
      </c>
      <c r="D69" s="96" t="s">
        <v>151</v>
      </c>
      <c r="E69" s="96" t="s">
        <v>155</v>
      </c>
      <c r="F69" s="91" t="s">
        <v>237</v>
      </c>
      <c r="G69" s="103"/>
      <c r="H69" s="103">
        <v>0.87447661142384892</v>
      </c>
      <c r="I69" s="91"/>
      <c r="J69" s="91"/>
      <c r="K69" s="91"/>
      <c r="L69" s="91"/>
      <c r="M69" s="91"/>
      <c r="N69" s="65"/>
    </row>
    <row r="70" spans="1:14" x14ac:dyDescent="0.3">
      <c r="A70" s="96" t="s">
        <v>220</v>
      </c>
      <c r="B70" s="96" t="s">
        <v>172</v>
      </c>
      <c r="C70" s="96" t="b">
        <v>0</v>
      </c>
      <c r="D70" s="96" t="s">
        <v>151</v>
      </c>
      <c r="E70" s="96" t="s">
        <v>223</v>
      </c>
      <c r="F70" s="91" t="s">
        <v>238</v>
      </c>
      <c r="G70" s="103"/>
      <c r="H70" s="103">
        <v>1.2151952579607659</v>
      </c>
      <c r="I70" s="91"/>
      <c r="J70" s="91"/>
      <c r="K70" s="91"/>
      <c r="L70" s="91"/>
      <c r="M70" s="91"/>
      <c r="N70" s="65"/>
    </row>
    <row r="71" spans="1:14" x14ac:dyDescent="0.3">
      <c r="A71" s="96" t="s">
        <v>220</v>
      </c>
      <c r="B71" s="96" t="s">
        <v>172</v>
      </c>
      <c r="C71" s="96" t="b">
        <v>0</v>
      </c>
      <c r="D71" s="96" t="s">
        <v>157</v>
      </c>
      <c r="E71" s="96" t="s">
        <v>152</v>
      </c>
      <c r="F71" s="91" t="s">
        <v>239</v>
      </c>
      <c r="G71" s="103"/>
      <c r="H71" s="103">
        <v>0.29401105151602119</v>
      </c>
      <c r="I71" s="91"/>
      <c r="J71" s="91"/>
      <c r="K71" s="91"/>
      <c r="L71" s="91"/>
      <c r="M71" s="91"/>
      <c r="N71" s="65"/>
    </row>
    <row r="72" spans="1:14" x14ac:dyDescent="0.3">
      <c r="A72" s="96" t="s">
        <v>220</v>
      </c>
      <c r="B72" s="96" t="s">
        <v>172</v>
      </c>
      <c r="C72" s="96" t="b">
        <v>0</v>
      </c>
      <c r="D72" s="96" t="s">
        <v>157</v>
      </c>
      <c r="E72" s="96" t="s">
        <v>155</v>
      </c>
      <c r="F72" s="91" t="s">
        <v>240</v>
      </c>
      <c r="G72" s="103"/>
      <c r="H72" s="103">
        <v>1.4315602172561466</v>
      </c>
      <c r="I72" s="91"/>
      <c r="J72" s="91"/>
      <c r="K72" s="91"/>
      <c r="L72" s="91"/>
      <c r="M72" s="91"/>
      <c r="N72" s="65"/>
    </row>
    <row r="73" spans="1:14" x14ac:dyDescent="0.3">
      <c r="A73" s="96" t="s">
        <v>220</v>
      </c>
      <c r="B73" s="96" t="s">
        <v>172</v>
      </c>
      <c r="C73" s="96" t="b">
        <v>0</v>
      </c>
      <c r="D73" s="96" t="s">
        <v>160</v>
      </c>
      <c r="E73" s="96" t="s">
        <v>152</v>
      </c>
      <c r="F73" s="91" t="s">
        <v>241</v>
      </c>
      <c r="G73" s="103"/>
      <c r="H73" s="103">
        <v>0.53265119342576284</v>
      </c>
      <c r="I73" s="91"/>
      <c r="J73" s="91"/>
      <c r="K73" s="91"/>
      <c r="L73" s="91"/>
      <c r="M73" s="91"/>
      <c r="N73" s="65"/>
    </row>
    <row r="74" spans="1:14" x14ac:dyDescent="0.3">
      <c r="A74" s="96" t="s">
        <v>220</v>
      </c>
      <c r="B74" s="96" t="s">
        <v>180</v>
      </c>
      <c r="C74" s="96" t="b">
        <v>0</v>
      </c>
      <c r="D74" s="96" t="s">
        <v>151</v>
      </c>
      <c r="E74" s="96" t="s">
        <v>152</v>
      </c>
      <c r="F74" s="91" t="s">
        <v>242</v>
      </c>
      <c r="G74" s="103"/>
      <c r="H74" s="103">
        <v>0.27023357488845956</v>
      </c>
      <c r="I74" s="91"/>
      <c r="J74" s="91"/>
      <c r="K74" s="91"/>
      <c r="L74" s="91"/>
      <c r="M74" s="91"/>
      <c r="N74" s="65"/>
    </row>
    <row r="75" spans="1:14" x14ac:dyDescent="0.3">
      <c r="A75" s="96" t="s">
        <v>220</v>
      </c>
      <c r="B75" s="96" t="s">
        <v>180</v>
      </c>
      <c r="C75" s="96" t="b">
        <v>0</v>
      </c>
      <c r="D75" s="96" t="s">
        <v>157</v>
      </c>
      <c r="E75" s="96" t="s">
        <v>152</v>
      </c>
      <c r="F75" s="91" t="s">
        <v>243</v>
      </c>
      <c r="G75" s="103"/>
      <c r="H75" s="103">
        <v>0.37577050481359792</v>
      </c>
      <c r="I75" s="91"/>
      <c r="J75" s="91"/>
      <c r="K75" s="91"/>
      <c r="L75" s="91"/>
      <c r="M75" s="91"/>
      <c r="N75" s="65"/>
    </row>
    <row r="76" spans="1:14" x14ac:dyDescent="0.3">
      <c r="A76" s="96" t="s">
        <v>220</v>
      </c>
      <c r="B76" s="96" t="s">
        <v>180</v>
      </c>
      <c r="C76" s="96" t="b">
        <v>0</v>
      </c>
      <c r="D76" s="96" t="s">
        <v>160</v>
      </c>
      <c r="E76" s="96" t="s">
        <v>155</v>
      </c>
      <c r="F76" s="91" t="s">
        <v>244</v>
      </c>
      <c r="G76" s="103"/>
      <c r="H76" s="103">
        <v>2.1014649352642651</v>
      </c>
      <c r="I76" s="91"/>
      <c r="J76" s="91"/>
      <c r="K76" s="91"/>
      <c r="L76" s="91"/>
      <c r="M76" s="91"/>
      <c r="N76" s="65"/>
    </row>
    <row r="77" spans="1:14" x14ac:dyDescent="0.3">
      <c r="A77" s="96" t="s">
        <v>220</v>
      </c>
      <c r="B77" s="96" t="s">
        <v>183</v>
      </c>
      <c r="C77" s="96" t="b">
        <v>0</v>
      </c>
      <c r="D77" s="96" t="s">
        <v>151</v>
      </c>
      <c r="E77" s="96" t="s">
        <v>152</v>
      </c>
      <c r="F77" s="91" t="s">
        <v>245</v>
      </c>
      <c r="G77" s="103"/>
      <c r="H77" s="103">
        <v>0.25128274753335572</v>
      </c>
      <c r="I77" s="91"/>
      <c r="J77" s="91"/>
      <c r="K77" s="91"/>
      <c r="L77" s="91"/>
      <c r="M77" s="91"/>
      <c r="N77" s="65"/>
    </row>
    <row r="78" spans="1:14" x14ac:dyDescent="0.3">
      <c r="A78" s="96" t="s">
        <v>220</v>
      </c>
      <c r="B78" s="96" t="s">
        <v>183</v>
      </c>
      <c r="C78" s="96" t="b">
        <v>0</v>
      </c>
      <c r="D78" s="96" t="s">
        <v>151</v>
      </c>
      <c r="E78" s="96" t="s">
        <v>223</v>
      </c>
      <c r="F78" s="91" t="s">
        <v>246</v>
      </c>
      <c r="G78" s="103"/>
      <c r="H78" s="103">
        <v>1.5329407148986443</v>
      </c>
      <c r="I78" s="91"/>
      <c r="J78" s="91"/>
      <c r="K78" s="91"/>
      <c r="L78" s="91"/>
      <c r="M78" s="91"/>
      <c r="N78" s="65"/>
    </row>
    <row r="79" spans="1:14" x14ac:dyDescent="0.3">
      <c r="A79" s="96" t="s">
        <v>220</v>
      </c>
      <c r="B79" s="96" t="s">
        <v>183</v>
      </c>
      <c r="C79" s="96" t="b">
        <v>0</v>
      </c>
      <c r="D79" s="96" t="s">
        <v>157</v>
      </c>
      <c r="E79" s="96" t="s">
        <v>152</v>
      </c>
      <c r="F79" s="91" t="s">
        <v>247</v>
      </c>
      <c r="G79" s="103"/>
      <c r="H79" s="103">
        <v>0.33416931789252152</v>
      </c>
      <c r="I79" s="91"/>
      <c r="J79" s="91"/>
      <c r="K79" s="91"/>
      <c r="L79" s="91"/>
      <c r="M79" s="91"/>
      <c r="N79" s="65"/>
    </row>
    <row r="80" spans="1:14" x14ac:dyDescent="0.3">
      <c r="A80" s="96" t="s">
        <v>220</v>
      </c>
      <c r="B80" s="96" t="s">
        <v>183</v>
      </c>
      <c r="C80" s="96" t="b">
        <v>0</v>
      </c>
      <c r="D80" s="96" t="s">
        <v>157</v>
      </c>
      <c r="E80" s="96" t="s">
        <v>155</v>
      </c>
      <c r="F80" s="91" t="s">
        <v>248</v>
      </c>
      <c r="G80" s="103"/>
      <c r="H80" s="103">
        <v>1.0042819896514015</v>
      </c>
      <c r="I80" s="91"/>
      <c r="J80" s="91"/>
      <c r="K80" s="103"/>
      <c r="L80" s="91"/>
      <c r="M80" s="103"/>
    </row>
    <row r="81" spans="1:13" x14ac:dyDescent="0.3">
      <c r="A81" s="96" t="s">
        <v>220</v>
      </c>
      <c r="B81" s="96" t="s">
        <v>183</v>
      </c>
      <c r="C81" s="96" t="b">
        <v>0</v>
      </c>
      <c r="D81" s="96" t="s">
        <v>160</v>
      </c>
      <c r="E81" s="96" t="s">
        <v>152</v>
      </c>
      <c r="F81" s="91" t="s">
        <v>249</v>
      </c>
      <c r="G81" s="103"/>
      <c r="H81" s="103">
        <v>0.56355099225310279</v>
      </c>
      <c r="I81" s="91"/>
      <c r="J81" s="91"/>
      <c r="K81" s="103"/>
      <c r="L81" s="91"/>
      <c r="M81" s="103"/>
    </row>
    <row r="82" spans="1:13" x14ac:dyDescent="0.3">
      <c r="A82" s="96" t="s">
        <v>220</v>
      </c>
      <c r="B82" s="96" t="s">
        <v>188</v>
      </c>
      <c r="C82" s="96" t="b">
        <v>0</v>
      </c>
      <c r="D82" s="96" t="s">
        <v>227</v>
      </c>
      <c r="E82" s="96" t="s">
        <v>152</v>
      </c>
      <c r="F82" s="91" t="s">
        <v>250</v>
      </c>
      <c r="G82" s="103"/>
      <c r="H82" s="103">
        <v>0.17111117562897143</v>
      </c>
      <c r="I82" s="91"/>
      <c r="J82" s="91"/>
      <c r="K82" s="103"/>
      <c r="L82" s="91"/>
      <c r="M82" s="103"/>
    </row>
    <row r="83" spans="1:13" x14ac:dyDescent="0.3">
      <c r="A83" s="96" t="s">
        <v>220</v>
      </c>
      <c r="B83" s="96" t="s">
        <v>188</v>
      </c>
      <c r="C83" s="96" t="b">
        <v>0</v>
      </c>
      <c r="D83" s="96" t="s">
        <v>151</v>
      </c>
      <c r="E83" s="96" t="s">
        <v>152</v>
      </c>
      <c r="F83" s="91" t="s">
        <v>251</v>
      </c>
      <c r="G83" s="103"/>
      <c r="H83" s="103">
        <v>0.24350374953152004</v>
      </c>
      <c r="I83" s="91"/>
      <c r="J83" s="91"/>
      <c r="K83" s="103"/>
      <c r="L83" s="91"/>
      <c r="M83" s="103"/>
    </row>
    <row r="84" spans="1:13" x14ac:dyDescent="0.3">
      <c r="A84" s="96" t="s">
        <v>220</v>
      </c>
      <c r="B84" s="96" t="s">
        <v>188</v>
      </c>
      <c r="C84" s="96" t="b">
        <v>0</v>
      </c>
      <c r="D84" s="96" t="s">
        <v>151</v>
      </c>
      <c r="E84" s="96" t="s">
        <v>155</v>
      </c>
      <c r="F84" s="91" t="s">
        <v>252</v>
      </c>
      <c r="G84" s="103"/>
      <c r="H84" s="103">
        <v>0.48844003999261881</v>
      </c>
      <c r="I84" s="91"/>
      <c r="J84" s="91"/>
      <c r="K84" s="103"/>
      <c r="L84" s="91"/>
      <c r="M84" s="103"/>
    </row>
    <row r="85" spans="1:13" x14ac:dyDescent="0.3">
      <c r="A85" s="96" t="s">
        <v>220</v>
      </c>
      <c r="B85" s="96" t="s">
        <v>188</v>
      </c>
      <c r="C85" s="96" t="b">
        <v>0</v>
      </c>
      <c r="D85" s="96" t="s">
        <v>151</v>
      </c>
      <c r="E85" s="96" t="s">
        <v>223</v>
      </c>
      <c r="F85" s="91" t="s">
        <v>253</v>
      </c>
      <c r="G85" s="103"/>
      <c r="H85" s="103">
        <v>1.9249247585922504</v>
      </c>
      <c r="I85" s="91"/>
      <c r="J85" s="91"/>
      <c r="K85" s="103"/>
      <c r="L85" s="91"/>
      <c r="M85" s="103"/>
    </row>
    <row r="86" spans="1:13" x14ac:dyDescent="0.3">
      <c r="A86" s="96" t="s">
        <v>220</v>
      </c>
      <c r="B86" s="96" t="s">
        <v>188</v>
      </c>
      <c r="C86" s="96" t="b">
        <v>0</v>
      </c>
      <c r="D86" s="96" t="s">
        <v>157</v>
      </c>
      <c r="E86" s="96" t="s">
        <v>152</v>
      </c>
      <c r="F86" s="91" t="s">
        <v>254</v>
      </c>
      <c r="G86" s="103"/>
      <c r="H86" s="103">
        <v>0.32149380459785626</v>
      </c>
      <c r="I86" s="91"/>
      <c r="J86" s="91"/>
      <c r="K86" s="103"/>
      <c r="L86" s="91"/>
      <c r="M86" s="103"/>
    </row>
    <row r="87" spans="1:13" x14ac:dyDescent="0.3">
      <c r="A87" s="96" t="s">
        <v>220</v>
      </c>
      <c r="B87" s="96" t="s">
        <v>188</v>
      </c>
      <c r="C87" s="96" t="b">
        <v>0</v>
      </c>
      <c r="D87" s="96" t="s">
        <v>157</v>
      </c>
      <c r="E87" s="96" t="s">
        <v>155</v>
      </c>
      <c r="F87" s="91" t="s">
        <v>255</v>
      </c>
      <c r="G87" s="103"/>
      <c r="H87" s="103">
        <v>0.75323496217316543</v>
      </c>
      <c r="I87" s="91"/>
      <c r="J87" s="91"/>
      <c r="K87" s="103"/>
      <c r="L87" s="91"/>
      <c r="M87" s="103"/>
    </row>
    <row r="88" spans="1:13" x14ac:dyDescent="0.3">
      <c r="A88" s="96" t="s">
        <v>220</v>
      </c>
      <c r="B88" s="96" t="s">
        <v>188</v>
      </c>
      <c r="C88" s="96" t="b">
        <v>0</v>
      </c>
      <c r="D88" s="96" t="s">
        <v>157</v>
      </c>
      <c r="E88" s="96" t="s">
        <v>223</v>
      </c>
      <c r="F88" s="91" t="s">
        <v>256</v>
      </c>
      <c r="G88" s="103"/>
      <c r="H88" s="103">
        <v>2.6831463601540202</v>
      </c>
      <c r="I88" s="91"/>
      <c r="J88" s="91"/>
      <c r="K88" s="103"/>
      <c r="L88" s="91"/>
      <c r="M88" s="103"/>
    </row>
    <row r="89" spans="1:13" x14ac:dyDescent="0.3">
      <c r="A89" s="96" t="s">
        <v>220</v>
      </c>
      <c r="B89" s="96" t="s">
        <v>188</v>
      </c>
      <c r="C89" s="96" t="b">
        <v>0</v>
      </c>
      <c r="D89" s="96" t="s">
        <v>160</v>
      </c>
      <c r="E89" s="96" t="s">
        <v>152</v>
      </c>
      <c r="F89" s="91" t="s">
        <v>257</v>
      </c>
      <c r="G89" s="103"/>
      <c r="H89" s="103">
        <v>0.48647179221390252</v>
      </c>
      <c r="I89" s="91"/>
      <c r="J89" s="91"/>
      <c r="K89" s="103"/>
      <c r="L89" s="91"/>
      <c r="M89" s="103"/>
    </row>
    <row r="90" spans="1:13" x14ac:dyDescent="0.3">
      <c r="A90" s="96" t="s">
        <v>220</v>
      </c>
      <c r="B90" s="96" t="s">
        <v>194</v>
      </c>
      <c r="C90" s="96" t="b">
        <v>0</v>
      </c>
      <c r="D90" s="96" t="s">
        <v>151</v>
      </c>
      <c r="E90" s="96" t="s">
        <v>152</v>
      </c>
      <c r="F90" s="91" t="s">
        <v>258</v>
      </c>
      <c r="G90" s="103"/>
      <c r="H90" s="103">
        <v>0.13618145821253019</v>
      </c>
      <c r="I90" s="91"/>
      <c r="J90" s="91"/>
      <c r="K90" s="103"/>
      <c r="L90" s="91"/>
      <c r="M90" s="103"/>
    </row>
    <row r="91" spans="1:13" x14ac:dyDescent="0.3">
      <c r="A91" s="96" t="s">
        <v>220</v>
      </c>
      <c r="B91" s="96" t="s">
        <v>194</v>
      </c>
      <c r="C91" s="96" t="b">
        <v>0</v>
      </c>
      <c r="D91" s="96" t="s">
        <v>151</v>
      </c>
      <c r="E91" s="96" t="s">
        <v>155</v>
      </c>
      <c r="F91" s="91" t="s">
        <v>259</v>
      </c>
      <c r="G91" s="103"/>
      <c r="H91" s="103">
        <v>0.15714234694412485</v>
      </c>
      <c r="I91" s="91"/>
      <c r="J91" s="91"/>
      <c r="K91" s="103"/>
      <c r="L91" s="91"/>
      <c r="M91" s="103"/>
    </row>
    <row r="92" spans="1:13" x14ac:dyDescent="0.3">
      <c r="A92" s="96" t="s">
        <v>220</v>
      </c>
      <c r="B92" s="96" t="s">
        <v>194</v>
      </c>
      <c r="C92" s="96" t="b">
        <v>0</v>
      </c>
      <c r="D92" s="96" t="s">
        <v>151</v>
      </c>
      <c r="E92" s="96" t="s">
        <v>223</v>
      </c>
      <c r="F92" s="91" t="s">
        <v>260</v>
      </c>
      <c r="G92" s="103"/>
      <c r="H92" s="103">
        <v>0.93861731553002659</v>
      </c>
      <c r="I92" s="91"/>
      <c r="J92" s="91"/>
      <c r="K92" s="103"/>
      <c r="L92" s="91"/>
      <c r="M92" s="103"/>
    </row>
    <row r="93" spans="1:13" x14ac:dyDescent="0.3">
      <c r="A93" s="96" t="s">
        <v>220</v>
      </c>
      <c r="B93" s="96" t="s">
        <v>194</v>
      </c>
      <c r="C93" s="96" t="b">
        <v>0</v>
      </c>
      <c r="D93" s="96" t="s">
        <v>157</v>
      </c>
      <c r="E93" s="96" t="s">
        <v>152</v>
      </c>
      <c r="F93" s="91" t="s">
        <v>261</v>
      </c>
      <c r="G93" s="103"/>
      <c r="H93" s="103">
        <v>0.19186698217721845</v>
      </c>
      <c r="I93" s="91"/>
      <c r="J93" s="91"/>
      <c r="K93" s="103"/>
      <c r="L93" s="91"/>
      <c r="M93" s="103"/>
    </row>
    <row r="94" spans="1:13" x14ac:dyDescent="0.3">
      <c r="A94" s="96" t="s">
        <v>220</v>
      </c>
      <c r="B94" s="96" t="s">
        <v>194</v>
      </c>
      <c r="C94" s="96" t="b">
        <v>0</v>
      </c>
      <c r="D94" s="96" t="s">
        <v>157</v>
      </c>
      <c r="E94" s="96" t="s">
        <v>155</v>
      </c>
      <c r="F94" s="91" t="s">
        <v>262</v>
      </c>
      <c r="G94" s="103"/>
      <c r="H94" s="103">
        <v>0.24618653709927885</v>
      </c>
      <c r="I94" s="91"/>
      <c r="J94" s="91"/>
      <c r="K94" s="103"/>
      <c r="L94" s="91"/>
      <c r="M94" s="103"/>
    </row>
    <row r="95" spans="1:13" x14ac:dyDescent="0.3">
      <c r="A95" s="96" t="s">
        <v>220</v>
      </c>
      <c r="B95" s="96" t="s">
        <v>194</v>
      </c>
      <c r="C95" s="96" t="b">
        <v>0</v>
      </c>
      <c r="D95" s="96" t="s">
        <v>157</v>
      </c>
      <c r="E95" s="96" t="s">
        <v>223</v>
      </c>
      <c r="F95" s="91" t="s">
        <v>263</v>
      </c>
      <c r="G95" s="103"/>
      <c r="H95" s="103">
        <v>1.3893566662906163</v>
      </c>
      <c r="I95" s="91"/>
      <c r="J95" s="91"/>
      <c r="K95" s="103"/>
      <c r="L95" s="91"/>
      <c r="M95" s="103"/>
    </row>
    <row r="96" spans="1:13" x14ac:dyDescent="0.3">
      <c r="A96" s="96" t="s">
        <v>220</v>
      </c>
      <c r="B96" s="96" t="s">
        <v>194</v>
      </c>
      <c r="C96" s="96" t="b">
        <v>0</v>
      </c>
      <c r="D96" s="96" t="s">
        <v>160</v>
      </c>
      <c r="E96" s="96" t="s">
        <v>152</v>
      </c>
      <c r="F96" s="91" t="s">
        <v>264</v>
      </c>
      <c r="G96" s="103"/>
      <c r="H96" s="103">
        <v>0.29721385874634476</v>
      </c>
      <c r="I96" s="91"/>
      <c r="J96" s="91"/>
      <c r="K96" s="103"/>
      <c r="L96" s="91"/>
      <c r="M96" s="103"/>
    </row>
    <row r="97" spans="1:13" x14ac:dyDescent="0.3">
      <c r="A97" s="96" t="s">
        <v>220</v>
      </c>
      <c r="B97" s="96" t="s">
        <v>194</v>
      </c>
      <c r="C97" s="96" t="b">
        <v>0</v>
      </c>
      <c r="D97" s="96" t="s">
        <v>160</v>
      </c>
      <c r="E97" s="96" t="s">
        <v>155</v>
      </c>
      <c r="F97" s="91" t="s">
        <v>265</v>
      </c>
      <c r="G97" s="103"/>
      <c r="H97" s="103">
        <v>0.32936344096389064</v>
      </c>
      <c r="I97" s="91"/>
      <c r="J97" s="91"/>
      <c r="K97" s="103"/>
      <c r="L97" s="91"/>
      <c r="M97" s="103"/>
    </row>
    <row r="98" spans="1:13" x14ac:dyDescent="0.3">
      <c r="A98" s="96" t="s">
        <v>220</v>
      </c>
      <c r="B98" s="96" t="s">
        <v>203</v>
      </c>
      <c r="C98" s="96" t="b">
        <v>0</v>
      </c>
      <c r="D98" s="96" t="s">
        <v>227</v>
      </c>
      <c r="E98" s="96" t="s">
        <v>152</v>
      </c>
      <c r="F98" s="91" t="s">
        <v>266</v>
      </c>
      <c r="G98" s="103"/>
      <c r="H98" s="103">
        <v>0.10987165813711512</v>
      </c>
      <c r="I98" s="91"/>
      <c r="J98" s="91"/>
      <c r="K98" s="103"/>
      <c r="L98" s="91"/>
      <c r="M98" s="103"/>
    </row>
    <row r="99" spans="1:13" x14ac:dyDescent="0.3">
      <c r="A99" s="96" t="s">
        <v>220</v>
      </c>
      <c r="B99" s="96" t="s">
        <v>203</v>
      </c>
      <c r="C99" s="96" t="b">
        <v>0</v>
      </c>
      <c r="D99" s="96" t="s">
        <v>227</v>
      </c>
      <c r="E99" s="96" t="s">
        <v>155</v>
      </c>
      <c r="F99" s="91" t="s">
        <v>267</v>
      </c>
      <c r="G99" s="103"/>
      <c r="H99" s="103">
        <v>0.16788126164990416</v>
      </c>
      <c r="I99" s="91"/>
      <c r="J99" s="91"/>
      <c r="K99" s="103"/>
      <c r="L99" s="91"/>
      <c r="M99" s="103"/>
    </row>
    <row r="100" spans="1:13" x14ac:dyDescent="0.3">
      <c r="A100" s="96" t="s">
        <v>220</v>
      </c>
      <c r="B100" s="96" t="s">
        <v>203</v>
      </c>
      <c r="C100" s="96" t="b">
        <v>0</v>
      </c>
      <c r="D100" s="96" t="s">
        <v>151</v>
      </c>
      <c r="E100" s="96" t="s">
        <v>152</v>
      </c>
      <c r="F100" s="91" t="s">
        <v>268</v>
      </c>
      <c r="G100" s="103"/>
      <c r="H100" s="103">
        <v>0.16884775107756472</v>
      </c>
      <c r="I100" s="91"/>
      <c r="J100" s="91"/>
      <c r="K100" s="103"/>
      <c r="L100" s="91"/>
      <c r="M100" s="103"/>
    </row>
    <row r="101" spans="1:13" x14ac:dyDescent="0.3">
      <c r="A101" s="96" t="s">
        <v>220</v>
      </c>
      <c r="B101" s="96" t="s">
        <v>203</v>
      </c>
      <c r="C101" s="96" t="b">
        <v>0</v>
      </c>
      <c r="D101" s="96" t="s">
        <v>151</v>
      </c>
      <c r="E101" s="96" t="s">
        <v>155</v>
      </c>
      <c r="F101" s="91" t="s">
        <v>269</v>
      </c>
      <c r="G101" s="103"/>
      <c r="H101" s="103">
        <v>0.28443574141182154</v>
      </c>
      <c r="I101" s="91"/>
      <c r="J101" s="91"/>
      <c r="K101" s="103"/>
      <c r="L101" s="91"/>
      <c r="M101" s="103"/>
    </row>
    <row r="102" spans="1:13" x14ac:dyDescent="0.3">
      <c r="A102" s="96" t="s">
        <v>220</v>
      </c>
      <c r="B102" s="96" t="s">
        <v>203</v>
      </c>
      <c r="C102" s="96" t="b">
        <v>0</v>
      </c>
      <c r="D102" s="96" t="s">
        <v>151</v>
      </c>
      <c r="E102" s="96" t="s">
        <v>223</v>
      </c>
      <c r="F102" s="91" t="s">
        <v>270</v>
      </c>
      <c r="G102" s="103"/>
      <c r="H102" s="103">
        <v>1.2548978693307264</v>
      </c>
      <c r="I102" s="91"/>
      <c r="J102" s="91"/>
      <c r="K102" s="103"/>
      <c r="L102" s="91"/>
      <c r="M102" s="103"/>
    </row>
    <row r="103" spans="1:13" x14ac:dyDescent="0.3">
      <c r="A103" s="96" t="s">
        <v>220</v>
      </c>
      <c r="B103" s="96" t="s">
        <v>203</v>
      </c>
      <c r="C103" s="96" t="b">
        <v>0</v>
      </c>
      <c r="D103" s="96" t="s">
        <v>157</v>
      </c>
      <c r="E103" s="96" t="s">
        <v>152</v>
      </c>
      <c r="F103" s="91" t="s">
        <v>271</v>
      </c>
      <c r="G103" s="103"/>
      <c r="H103" s="103">
        <v>0.23376894433894241</v>
      </c>
      <c r="I103" s="91"/>
      <c r="J103" s="91"/>
      <c r="K103" s="103"/>
      <c r="L103" s="91"/>
      <c r="M103" s="103"/>
    </row>
    <row r="104" spans="1:13" x14ac:dyDescent="0.3">
      <c r="A104" s="96" t="s">
        <v>220</v>
      </c>
      <c r="B104" s="96" t="s">
        <v>203</v>
      </c>
      <c r="C104" s="96" t="b">
        <v>0</v>
      </c>
      <c r="D104" s="96" t="s">
        <v>157</v>
      </c>
      <c r="E104" s="96" t="s">
        <v>155</v>
      </c>
      <c r="F104" s="91" t="s">
        <v>272</v>
      </c>
      <c r="G104" s="103"/>
      <c r="H104" s="103">
        <v>0.44518640477949822</v>
      </c>
      <c r="I104" s="91"/>
      <c r="J104" s="91"/>
      <c r="K104" s="103"/>
      <c r="L104" s="91"/>
      <c r="M104" s="103"/>
    </row>
    <row r="105" spans="1:13" x14ac:dyDescent="0.3">
      <c r="A105" s="96" t="s">
        <v>220</v>
      </c>
      <c r="B105" s="96" t="s">
        <v>203</v>
      </c>
      <c r="C105" s="96" t="b">
        <v>0</v>
      </c>
      <c r="D105" s="96" t="s">
        <v>157</v>
      </c>
      <c r="E105" s="96" t="s">
        <v>223</v>
      </c>
      <c r="F105" s="91" t="s">
        <v>273</v>
      </c>
      <c r="G105" s="103"/>
      <c r="H105" s="103">
        <v>1.8283717063210627</v>
      </c>
      <c r="I105" s="91"/>
      <c r="J105" s="91"/>
      <c r="K105" s="103"/>
      <c r="L105" s="91"/>
      <c r="M105" s="103"/>
    </row>
    <row r="106" spans="1:13" x14ac:dyDescent="0.3">
      <c r="A106" s="96" t="s">
        <v>220</v>
      </c>
      <c r="B106" s="96" t="s">
        <v>203</v>
      </c>
      <c r="C106" s="96" t="b">
        <v>0</v>
      </c>
      <c r="D106" s="96" t="s">
        <v>160</v>
      </c>
      <c r="E106" s="96" t="s">
        <v>152</v>
      </c>
      <c r="F106" s="91" t="s">
        <v>274</v>
      </c>
      <c r="G106" s="103"/>
      <c r="H106" s="103">
        <v>0.36336482088913746</v>
      </c>
      <c r="I106" s="91"/>
      <c r="J106" s="91"/>
      <c r="K106" s="103"/>
      <c r="L106" s="91"/>
      <c r="M106" s="103"/>
    </row>
    <row r="107" spans="1:13" x14ac:dyDescent="0.3">
      <c r="A107" s="96" t="s">
        <v>220</v>
      </c>
      <c r="B107" s="96" t="s">
        <v>203</v>
      </c>
      <c r="C107" s="96" t="b">
        <v>0</v>
      </c>
      <c r="D107" s="96" t="s">
        <v>160</v>
      </c>
      <c r="E107" s="96" t="s">
        <v>155</v>
      </c>
      <c r="F107" s="91" t="s">
        <v>275</v>
      </c>
      <c r="G107" s="103"/>
      <c r="H107" s="103">
        <v>0.58612806720964739</v>
      </c>
      <c r="I107" s="91"/>
      <c r="J107" s="91"/>
      <c r="K107" s="103"/>
      <c r="L107" s="91"/>
      <c r="M107" s="103"/>
    </row>
    <row r="108" spans="1:13" x14ac:dyDescent="0.3">
      <c r="A108" s="96" t="s">
        <v>220</v>
      </c>
      <c r="B108" s="96" t="s">
        <v>212</v>
      </c>
      <c r="C108" s="96" t="b">
        <v>0</v>
      </c>
      <c r="D108" s="96" t="s">
        <v>227</v>
      </c>
      <c r="E108" s="96" t="s">
        <v>155</v>
      </c>
      <c r="F108" s="91" t="s">
        <v>276</v>
      </c>
      <c r="G108" s="103"/>
      <c r="H108" s="103">
        <v>0.4083932826932537</v>
      </c>
      <c r="I108" s="91"/>
      <c r="J108" s="91"/>
      <c r="K108" s="103"/>
      <c r="L108" s="91"/>
      <c r="M108" s="103"/>
    </row>
    <row r="109" spans="1:13" x14ac:dyDescent="0.3">
      <c r="A109" s="96" t="s">
        <v>220</v>
      </c>
      <c r="B109" s="96" t="s">
        <v>212</v>
      </c>
      <c r="C109" s="96" t="b">
        <v>0</v>
      </c>
      <c r="D109" s="96" t="s">
        <v>151</v>
      </c>
      <c r="E109" s="96" t="s">
        <v>152</v>
      </c>
      <c r="F109" s="91" t="s">
        <v>277</v>
      </c>
      <c r="G109" s="103"/>
      <c r="H109" s="103">
        <v>0.21583294146390553</v>
      </c>
      <c r="I109" s="91"/>
      <c r="J109" s="91"/>
      <c r="K109" s="103"/>
      <c r="L109" s="91"/>
      <c r="M109" s="103"/>
    </row>
    <row r="110" spans="1:13" x14ac:dyDescent="0.3">
      <c r="A110" s="96" t="s">
        <v>220</v>
      </c>
      <c r="B110" s="96" t="s">
        <v>212</v>
      </c>
      <c r="C110" s="96" t="b">
        <v>0</v>
      </c>
      <c r="D110" s="96" t="s">
        <v>151</v>
      </c>
      <c r="E110" s="96" t="s">
        <v>155</v>
      </c>
      <c r="F110" s="91" t="s">
        <v>278</v>
      </c>
      <c r="G110" s="103"/>
      <c r="H110" s="103">
        <v>0.752016214725854</v>
      </c>
      <c r="I110" s="91"/>
      <c r="J110" s="91"/>
      <c r="K110" s="103"/>
      <c r="L110" s="91"/>
      <c r="M110" s="103"/>
    </row>
    <row r="111" spans="1:13" x14ac:dyDescent="0.3">
      <c r="A111" s="96" t="s">
        <v>220</v>
      </c>
      <c r="B111" s="96" t="s">
        <v>212</v>
      </c>
      <c r="C111" s="96" t="b">
        <v>0</v>
      </c>
      <c r="D111" s="96" t="s">
        <v>151</v>
      </c>
      <c r="E111" s="96" t="s">
        <v>223</v>
      </c>
      <c r="F111" s="91" t="s">
        <v>279</v>
      </c>
      <c r="G111" s="103"/>
      <c r="H111" s="103">
        <v>1.5483043365476279</v>
      </c>
      <c r="I111" s="91"/>
      <c r="J111" s="91"/>
      <c r="K111" s="103"/>
      <c r="L111" s="91"/>
      <c r="M111" s="103"/>
    </row>
    <row r="112" spans="1:13" x14ac:dyDescent="0.3">
      <c r="A112" s="96" t="s">
        <v>220</v>
      </c>
      <c r="B112" s="96" t="s">
        <v>212</v>
      </c>
      <c r="C112" s="96" t="b">
        <v>0</v>
      </c>
      <c r="D112" s="96" t="s">
        <v>157</v>
      </c>
      <c r="E112" s="96" t="s">
        <v>152</v>
      </c>
      <c r="F112" s="91" t="s">
        <v>280</v>
      </c>
      <c r="G112" s="103"/>
      <c r="H112" s="103">
        <v>0.30909770550096627</v>
      </c>
      <c r="I112" s="91"/>
      <c r="J112" s="91"/>
      <c r="K112" s="103"/>
      <c r="L112" s="91"/>
      <c r="M112" s="103"/>
    </row>
    <row r="113" spans="1:13" x14ac:dyDescent="0.3">
      <c r="A113" s="96" t="s">
        <v>220</v>
      </c>
      <c r="B113" s="96" t="s">
        <v>212</v>
      </c>
      <c r="C113" s="96" t="b">
        <v>0</v>
      </c>
      <c r="D113" s="96" t="s">
        <v>157</v>
      </c>
      <c r="E113" s="96" t="s">
        <v>155</v>
      </c>
      <c r="F113" s="91" t="s">
        <v>281</v>
      </c>
      <c r="G113" s="103"/>
      <c r="H113" s="103">
        <v>1.2058658821721342</v>
      </c>
      <c r="I113" s="91"/>
      <c r="J113" s="103"/>
      <c r="K113" s="103"/>
      <c r="L113" s="103"/>
      <c r="M113" s="103"/>
    </row>
    <row r="114" spans="1:13" x14ac:dyDescent="0.3">
      <c r="A114" s="96" t="s">
        <v>220</v>
      </c>
      <c r="B114" s="96" t="s">
        <v>212</v>
      </c>
      <c r="C114" s="96" t="b">
        <v>0</v>
      </c>
      <c r="D114" s="96" t="s">
        <v>160</v>
      </c>
      <c r="E114" s="96" t="s">
        <v>152</v>
      </c>
      <c r="F114" s="91" t="s">
        <v>282</v>
      </c>
      <c r="G114" s="103"/>
      <c r="H114" s="103">
        <v>0.52695793644656097</v>
      </c>
      <c r="I114" s="91"/>
      <c r="J114" s="103"/>
      <c r="K114" s="103"/>
      <c r="L114" s="103"/>
      <c r="M114" s="103"/>
    </row>
    <row r="115" spans="1:13" x14ac:dyDescent="0.3">
      <c r="A115" s="96" t="s">
        <v>283</v>
      </c>
      <c r="B115" s="96" t="s">
        <v>283</v>
      </c>
      <c r="C115" s="96" t="s">
        <v>283</v>
      </c>
      <c r="D115" s="96" t="s">
        <v>283</v>
      </c>
      <c r="E115" s="98" t="s">
        <v>284</v>
      </c>
      <c r="F115" s="91" t="str">
        <f>"|"&amp;"|"&amp;"|"&amp;E115</f>
        <v>|||Greenspace</v>
      </c>
      <c r="G115" s="104"/>
      <c r="H115" s="103">
        <v>0.02</v>
      </c>
      <c r="I115" s="91"/>
      <c r="J115" s="91"/>
      <c r="K115" s="91"/>
      <c r="L115" s="91"/>
      <c r="M115" s="91"/>
    </row>
    <row r="116" spans="1:13" x14ac:dyDescent="0.3">
      <c r="A116" s="96" t="s">
        <v>283</v>
      </c>
      <c r="B116" s="96" t="s">
        <v>283</v>
      </c>
      <c r="C116" s="96" t="s">
        <v>283</v>
      </c>
      <c r="D116" s="96" t="s">
        <v>283</v>
      </c>
      <c r="E116" s="98" t="s">
        <v>285</v>
      </c>
      <c r="F116" s="91" t="str">
        <f>"|"&amp;"|"&amp;"|"&amp;E116</f>
        <v>|||Community food growing</v>
      </c>
      <c r="G116" s="103"/>
      <c r="H116" s="103">
        <f>IFERROR(VLOOKUP((VLOOKUP(Nutrients_from_current_land_use!$B$5,Value_look_up_tables!$A$152:$B$152,2,FALSE)&amp;"|"&amp;"General"&amp;"|"&amp;"FALSE"&amp;"|"&amp;VLOOKUP(Nutrients_from_current_land_use!$B$7,Value_look_up_tables!$A$126:$C$148,3,FALSE)&amp;"|"&amp;"FreeDrain"),$F$22:$H$114,3,FALSE), IFERROR(VLOOKUP("General"&amp;"|"&amp;VLOOKUP(Nutrients_from_current_land_use!$B$7,Value_look_up_tables!$A$126:$C$148,3,FALSE),$I$22:$M$114,3,FALSE),VLOOKUP("General",$B$22:$M$114,12,FALSE)))</f>
        <v>0.55359621588568753</v>
      </c>
      <c r="I116" s="91"/>
      <c r="J116" s="91"/>
      <c r="K116" s="91"/>
      <c r="L116" s="91"/>
      <c r="M116" s="91"/>
    </row>
    <row r="117" spans="1:13" x14ac:dyDescent="0.3">
      <c r="A117" s="96" t="s">
        <v>283</v>
      </c>
      <c r="B117" s="96" t="s">
        <v>283</v>
      </c>
      <c r="C117" s="96" t="s">
        <v>283</v>
      </c>
      <c r="D117" s="96" t="s">
        <v>283</v>
      </c>
      <c r="E117" s="98" t="s">
        <v>286</v>
      </c>
      <c r="F117" s="91" t="str">
        <f>"|"&amp;"|"&amp;"|"&amp;E117</f>
        <v>|||Woodland</v>
      </c>
      <c r="G117" s="104"/>
      <c r="H117" s="103">
        <v>0.02</v>
      </c>
      <c r="I117" s="91"/>
      <c r="J117" s="91"/>
      <c r="K117" s="91"/>
      <c r="L117" s="91"/>
      <c r="M117" s="91"/>
    </row>
    <row r="118" spans="1:13" x14ac:dyDescent="0.3">
      <c r="A118" s="96" t="s">
        <v>283</v>
      </c>
      <c r="B118" s="96" t="s">
        <v>283</v>
      </c>
      <c r="C118" s="96" t="s">
        <v>283</v>
      </c>
      <c r="D118" s="96" t="s">
        <v>283</v>
      </c>
      <c r="E118" s="98" t="s">
        <v>287</v>
      </c>
      <c r="F118" s="91" t="str">
        <f>"|"&amp;"|"&amp;"|"&amp;E118</f>
        <v>|||Shrub</v>
      </c>
      <c r="G118" s="104"/>
      <c r="H118" s="103">
        <v>0.02</v>
      </c>
      <c r="I118" s="91"/>
      <c r="J118" s="91"/>
      <c r="K118" s="91"/>
      <c r="L118" s="91"/>
      <c r="M118" s="91"/>
    </row>
    <row r="119" spans="1:13" x14ac:dyDescent="0.3">
      <c r="A119" s="96" t="s">
        <v>283</v>
      </c>
      <c r="B119" s="96" t="s">
        <v>283</v>
      </c>
      <c r="C119" s="96" t="s">
        <v>283</v>
      </c>
      <c r="D119" s="96" t="s">
        <v>283</v>
      </c>
      <c r="E119" s="98" t="s">
        <v>288</v>
      </c>
      <c r="F119" s="91" t="str">
        <f>"|"&amp;"|"&amp;"|"&amp;E119</f>
        <v>|||Water</v>
      </c>
      <c r="G119" s="104"/>
      <c r="H119" s="103">
        <v>0</v>
      </c>
      <c r="I119" s="91"/>
      <c r="J119" s="91"/>
      <c r="K119" s="91"/>
      <c r="L119" s="91"/>
      <c r="M119" s="91"/>
    </row>
    <row r="120" spans="1:13" x14ac:dyDescent="0.3">
      <c r="A120" s="96" t="s">
        <v>283</v>
      </c>
      <c r="B120" s="96" t="s">
        <v>283</v>
      </c>
      <c r="C120" s="96" t="s">
        <v>283</v>
      </c>
      <c r="D120" s="96" t="s">
        <v>283</v>
      </c>
      <c r="E120" s="91" t="s">
        <v>289</v>
      </c>
      <c r="F120" s="91" t="str">
        <f t="shared" ref="F120:F122" si="0">"|"&amp;"|"&amp;"|"&amp;E120</f>
        <v>|||Residential urban land</v>
      </c>
      <c r="G120" s="103"/>
      <c r="H120" s="103" t="e">
        <f>VLOOKUP(Nutrients_from_current_land_use!B7,Value_look_up_tables!A126:I148,9,FALSE)</f>
        <v>#N/A</v>
      </c>
      <c r="I120" s="91"/>
      <c r="J120" s="91"/>
      <c r="K120" s="91"/>
      <c r="L120" s="91"/>
      <c r="M120" s="91"/>
    </row>
    <row r="121" spans="1:13" ht="28" x14ac:dyDescent="0.3">
      <c r="A121" s="96" t="s">
        <v>283</v>
      </c>
      <c r="B121" s="96" t="s">
        <v>283</v>
      </c>
      <c r="C121" s="96" t="s">
        <v>283</v>
      </c>
      <c r="D121" s="96" t="s">
        <v>283</v>
      </c>
      <c r="E121" s="91" t="s">
        <v>290</v>
      </c>
      <c r="F121" s="91" t="str">
        <f t="shared" si="0"/>
        <v>|||Commercial/industrial urban land</v>
      </c>
      <c r="G121" s="103"/>
      <c r="H121" s="103" t="e">
        <f>VLOOKUP(Nutrients_from_current_land_use!B7,Value_look_up_tables!A126:K148,10,FALSE)</f>
        <v>#N/A</v>
      </c>
      <c r="I121" s="91"/>
      <c r="J121" s="91"/>
      <c r="K121" s="91"/>
      <c r="L121" s="91"/>
      <c r="M121" s="91"/>
    </row>
    <row r="122" spans="1:13" x14ac:dyDescent="0.3">
      <c r="A122" s="96" t="s">
        <v>283</v>
      </c>
      <c r="B122" s="96" t="s">
        <v>283</v>
      </c>
      <c r="C122" s="96" t="s">
        <v>283</v>
      </c>
      <c r="D122" s="96" t="s">
        <v>283</v>
      </c>
      <c r="E122" s="91" t="s">
        <v>291</v>
      </c>
      <c r="F122" s="91" t="str">
        <f t="shared" si="0"/>
        <v>|||Open urban land</v>
      </c>
      <c r="G122" s="103"/>
      <c r="H122" s="103" t="e">
        <f>VLOOKUP(Nutrients_from_current_land_use!B7,Value_look_up_tables!A126:N148,11,FALSE)</f>
        <v>#N/A</v>
      </c>
      <c r="I122" s="91"/>
      <c r="J122" s="91"/>
      <c r="K122" s="91"/>
      <c r="L122" s="91"/>
      <c r="M122" s="91"/>
    </row>
    <row r="123" spans="1:13" x14ac:dyDescent="0.3">
      <c r="A123" s="65"/>
      <c r="B123" s="65"/>
      <c r="C123" s="65"/>
      <c r="D123" s="65"/>
      <c r="E123" s="65"/>
      <c r="F123" s="65"/>
      <c r="G123" s="97"/>
      <c r="H123" s="97"/>
      <c r="I123" s="65"/>
      <c r="J123" s="65"/>
      <c r="K123" s="65"/>
      <c r="L123" s="65"/>
      <c r="M123" s="65"/>
    </row>
    <row r="124" spans="1:13" ht="37.5" customHeight="1" x14ac:dyDescent="0.3">
      <c r="A124" s="110" t="s">
        <v>292</v>
      </c>
      <c r="B124" s="118"/>
      <c r="C124" s="65"/>
      <c r="D124" s="65"/>
      <c r="E124" s="65"/>
      <c r="F124" s="65"/>
      <c r="G124" s="97"/>
      <c r="H124" s="97"/>
      <c r="I124" s="65"/>
      <c r="J124" s="65"/>
      <c r="K124" s="65"/>
      <c r="L124" s="65"/>
      <c r="M124" s="65"/>
    </row>
    <row r="125" spans="1:13" ht="70" x14ac:dyDescent="0.3">
      <c r="A125" s="120" t="s">
        <v>293</v>
      </c>
      <c r="B125" s="120" t="s">
        <v>294</v>
      </c>
      <c r="C125" s="120" t="s">
        <v>295</v>
      </c>
      <c r="D125" s="120" t="s">
        <v>296</v>
      </c>
      <c r="E125" s="120" t="s">
        <v>297</v>
      </c>
      <c r="F125" s="120" t="s">
        <v>298</v>
      </c>
      <c r="G125" s="120" t="s">
        <v>299</v>
      </c>
      <c r="H125" s="120" t="s">
        <v>300</v>
      </c>
      <c r="I125" s="120" t="s">
        <v>301</v>
      </c>
      <c r="J125" s="120" t="s">
        <v>302</v>
      </c>
      <c r="K125" s="120" t="s">
        <v>303</v>
      </c>
      <c r="L125" s="43"/>
      <c r="M125" s="43"/>
    </row>
    <row r="126" spans="1:13" x14ac:dyDescent="0.3">
      <c r="A126" s="99" t="s">
        <v>304</v>
      </c>
      <c r="B126" s="100">
        <v>516.5</v>
      </c>
      <c r="C126" s="99" t="s">
        <v>305</v>
      </c>
      <c r="D126" s="100">
        <v>47.366326420209788</v>
      </c>
      <c r="E126" s="100">
        <v>63.946326420209786</v>
      </c>
      <c r="F126" s="100">
        <v>1.0030530114375726</v>
      </c>
      <c r="G126" s="100">
        <v>0.73394122788115068</v>
      </c>
      <c r="H126" s="100">
        <v>0.5382235671128438</v>
      </c>
      <c r="I126" s="100">
        <v>1.0030530114375726</v>
      </c>
      <c r="J126" s="100">
        <v>0.73394122788115068</v>
      </c>
      <c r="K126" s="100">
        <v>0.5382235671128438</v>
      </c>
      <c r="L126" s="101"/>
      <c r="M126" s="101"/>
    </row>
    <row r="127" spans="1:13" x14ac:dyDescent="0.3">
      <c r="A127" s="99" t="s">
        <v>306</v>
      </c>
      <c r="B127" s="100">
        <v>537.54999999999995</v>
      </c>
      <c r="C127" s="99" t="s">
        <v>305</v>
      </c>
      <c r="D127" s="100">
        <v>47.605509573313697</v>
      </c>
      <c r="E127" s="100">
        <v>64.185509573313695</v>
      </c>
      <c r="F127" s="100">
        <v>1.049204008516526</v>
      </c>
      <c r="G127" s="100">
        <v>0.76771025013404326</v>
      </c>
      <c r="H127" s="100">
        <v>0.56298751676496517</v>
      </c>
      <c r="I127" s="100">
        <v>1.049204008516526</v>
      </c>
      <c r="J127" s="100">
        <v>0.76771025013404326</v>
      </c>
      <c r="K127" s="100">
        <v>0.56298751676496517</v>
      </c>
      <c r="L127" s="101"/>
      <c r="M127" s="101"/>
    </row>
    <row r="128" spans="1:13" x14ac:dyDescent="0.3">
      <c r="A128" s="99" t="s">
        <v>307</v>
      </c>
      <c r="B128" s="100">
        <v>562.54999999999995</v>
      </c>
      <c r="C128" s="99" t="s">
        <v>305</v>
      </c>
      <c r="D128" s="100">
        <v>47.8624816470968</v>
      </c>
      <c r="E128" s="100">
        <v>64.442481647096798</v>
      </c>
      <c r="F128" s="100">
        <v>1.1039266010735462</v>
      </c>
      <c r="G128" s="100">
        <v>0.80775117151722908</v>
      </c>
      <c r="H128" s="100">
        <v>0.59235085911263463</v>
      </c>
      <c r="I128" s="100">
        <v>1.1039266010735462</v>
      </c>
      <c r="J128" s="100">
        <v>0.80775117151722908</v>
      </c>
      <c r="K128" s="100">
        <v>0.59235085911263463</v>
      </c>
      <c r="L128" s="101"/>
      <c r="M128" s="101"/>
    </row>
    <row r="129" spans="1:13" x14ac:dyDescent="0.3">
      <c r="A129" s="99" t="s">
        <v>308</v>
      </c>
      <c r="B129" s="100">
        <v>587.54999999999995</v>
      </c>
      <c r="C129" s="99" t="s">
        <v>305</v>
      </c>
      <c r="D129" s="100">
        <v>48.089720428979902</v>
      </c>
      <c r="E129" s="100">
        <v>64.6697204289799</v>
      </c>
      <c r="F129" s="100">
        <v>1.1584597247599329</v>
      </c>
      <c r="G129" s="100">
        <v>0.84765345714141427</v>
      </c>
      <c r="H129" s="100">
        <v>0.62161253523703719</v>
      </c>
      <c r="I129" s="100">
        <v>1.1584597247599329</v>
      </c>
      <c r="J129" s="100">
        <v>0.84765345714141427</v>
      </c>
      <c r="K129" s="100">
        <v>0.62161253523703719</v>
      </c>
      <c r="L129" s="101"/>
      <c r="M129" s="101"/>
    </row>
    <row r="130" spans="1:13" x14ac:dyDescent="0.3">
      <c r="A130" s="99" t="s">
        <v>309</v>
      </c>
      <c r="B130" s="100">
        <v>612.54999999999995</v>
      </c>
      <c r="C130" s="99" t="s">
        <v>310</v>
      </c>
      <c r="D130" s="100">
        <v>48.286892468962989</v>
      </c>
      <c r="E130" s="100">
        <v>64.866892468962988</v>
      </c>
      <c r="F130" s="100">
        <v>1.2127035752563942</v>
      </c>
      <c r="G130" s="100">
        <v>0.88734407945589822</v>
      </c>
      <c r="H130" s="100">
        <v>0.650718991600992</v>
      </c>
      <c r="I130" s="100">
        <v>1.2127035752563942</v>
      </c>
      <c r="J130" s="100">
        <v>0.88734407945589822</v>
      </c>
      <c r="K130" s="100">
        <v>0.650718991600992</v>
      </c>
      <c r="L130" s="101"/>
      <c r="M130" s="101"/>
    </row>
    <row r="131" spans="1:13" x14ac:dyDescent="0.3">
      <c r="A131" s="99" t="s">
        <v>311</v>
      </c>
      <c r="B131" s="100">
        <v>637.54999999999995</v>
      </c>
      <c r="C131" s="99" t="s">
        <v>310</v>
      </c>
      <c r="D131" s="100">
        <v>48.453664317046091</v>
      </c>
      <c r="E131" s="100">
        <v>65.033664317046089</v>
      </c>
      <c r="F131" s="100">
        <v>1.2665569810986419</v>
      </c>
      <c r="G131" s="100">
        <v>0.92674901055998193</v>
      </c>
      <c r="H131" s="100">
        <v>0.67961594107732015</v>
      </c>
      <c r="I131" s="100">
        <v>1.2665569810986419</v>
      </c>
      <c r="J131" s="100">
        <v>0.92674901055998193</v>
      </c>
      <c r="K131" s="100">
        <v>0.67961594107732015</v>
      </c>
      <c r="L131" s="101"/>
      <c r="M131" s="101"/>
    </row>
    <row r="132" spans="1:13" x14ac:dyDescent="0.3">
      <c r="A132" s="99" t="s">
        <v>312</v>
      </c>
      <c r="B132" s="100">
        <v>662.55</v>
      </c>
      <c r="C132" s="99" t="s">
        <v>310</v>
      </c>
      <c r="D132" s="100">
        <v>48.589702523229192</v>
      </c>
      <c r="E132" s="100">
        <v>65.169702523229191</v>
      </c>
      <c r="F132" s="100">
        <v>1.3199174036773855</v>
      </c>
      <c r="G132" s="100">
        <v>0.96579322220296504</v>
      </c>
      <c r="H132" s="100">
        <v>0.70824836294884108</v>
      </c>
      <c r="I132" s="100">
        <v>1.3199174036773855</v>
      </c>
      <c r="J132" s="100">
        <v>0.96579322220296504</v>
      </c>
      <c r="K132" s="100">
        <v>0.70824836294884108</v>
      </c>
      <c r="L132" s="101"/>
      <c r="M132" s="101"/>
    </row>
    <row r="133" spans="1:13" x14ac:dyDescent="0.3">
      <c r="A133" s="99" t="s">
        <v>313</v>
      </c>
      <c r="B133" s="100">
        <v>687.55</v>
      </c>
      <c r="C133" s="99" t="s">
        <v>310</v>
      </c>
      <c r="D133" s="100">
        <v>48.694673637512295</v>
      </c>
      <c r="E133" s="100">
        <v>65.274673637512294</v>
      </c>
      <c r="F133" s="100">
        <v>1.3726809372383346</v>
      </c>
      <c r="G133" s="100">
        <v>1.0044006857841474</v>
      </c>
      <c r="H133" s="100">
        <v>0.73656050290837471</v>
      </c>
      <c r="I133" s="100">
        <v>1.3726809372383346</v>
      </c>
      <c r="J133" s="100">
        <v>1.0044006857841474</v>
      </c>
      <c r="K133" s="100">
        <v>0.73656050290837471</v>
      </c>
      <c r="L133" s="101"/>
      <c r="M133" s="101"/>
    </row>
    <row r="134" spans="1:13" x14ac:dyDescent="0.3">
      <c r="A134" s="99" t="s">
        <v>314</v>
      </c>
      <c r="B134" s="100">
        <v>725.05</v>
      </c>
      <c r="C134" s="99" t="s">
        <v>227</v>
      </c>
      <c r="D134" s="100">
        <v>48.793150089749446</v>
      </c>
      <c r="E134" s="100">
        <v>65.373150089749444</v>
      </c>
      <c r="F134" s="100">
        <v>1.4504764123754863</v>
      </c>
      <c r="G134" s="100">
        <v>1.0613242041771849</v>
      </c>
      <c r="H134" s="100">
        <v>0.77830441639660242</v>
      </c>
      <c r="I134" s="100">
        <v>1.4504764123754863</v>
      </c>
      <c r="J134" s="100">
        <v>1.0613242041771849</v>
      </c>
      <c r="K134" s="100">
        <v>0.77830441639660242</v>
      </c>
      <c r="L134" s="101"/>
      <c r="M134" s="101"/>
    </row>
    <row r="135" spans="1:13" x14ac:dyDescent="0.3">
      <c r="A135" s="99" t="s">
        <v>315</v>
      </c>
      <c r="B135" s="100">
        <v>775.05</v>
      </c>
      <c r="C135" s="99" t="s">
        <v>227</v>
      </c>
      <c r="D135" s="100">
        <v>48.817999999999984</v>
      </c>
      <c r="E135" s="100">
        <v>65.397999999999982</v>
      </c>
      <c r="F135" s="100">
        <v>1.5512920268999992</v>
      </c>
      <c r="G135" s="100">
        <v>1.1350917269999994</v>
      </c>
      <c r="H135" s="100">
        <v>0.83240059979999959</v>
      </c>
      <c r="I135" s="100">
        <v>1.5512920268999992</v>
      </c>
      <c r="J135" s="100">
        <v>1.1350917269999994</v>
      </c>
      <c r="K135" s="100">
        <v>0.83240059979999959</v>
      </c>
      <c r="L135" s="101"/>
      <c r="M135" s="101"/>
    </row>
    <row r="136" spans="1:13" x14ac:dyDescent="0.3">
      <c r="A136" s="99" t="s">
        <v>316</v>
      </c>
      <c r="B136" s="100">
        <v>825.05</v>
      </c>
      <c r="C136" s="99" t="s">
        <v>227</v>
      </c>
      <c r="D136" s="100">
        <v>48.817999999999984</v>
      </c>
      <c r="E136" s="100">
        <v>65.397999999999982</v>
      </c>
      <c r="F136" s="100">
        <v>1.6513689268999994</v>
      </c>
      <c r="G136" s="100">
        <v>1.2083187269999995</v>
      </c>
      <c r="H136" s="100">
        <v>0.88610039979999966</v>
      </c>
      <c r="I136" s="100">
        <v>1.6513689268999994</v>
      </c>
      <c r="J136" s="100">
        <v>1.2083187269999995</v>
      </c>
      <c r="K136" s="100">
        <v>0.88610039979999966</v>
      </c>
      <c r="L136" s="101"/>
      <c r="M136" s="101"/>
    </row>
    <row r="137" spans="1:13" x14ac:dyDescent="0.3">
      <c r="A137" s="99" t="s">
        <v>317</v>
      </c>
      <c r="B137" s="100">
        <v>875.05</v>
      </c>
      <c r="C137" s="99" t="s">
        <v>227</v>
      </c>
      <c r="D137" s="100">
        <v>48.817999999999984</v>
      </c>
      <c r="E137" s="100">
        <v>65.397999999999982</v>
      </c>
      <c r="F137" s="100">
        <v>1.7514458268999995</v>
      </c>
      <c r="G137" s="100">
        <v>1.2815457269999997</v>
      </c>
      <c r="H137" s="100">
        <v>0.93980019979999974</v>
      </c>
      <c r="I137" s="100">
        <v>1.7514458268999995</v>
      </c>
      <c r="J137" s="100">
        <v>1.2815457269999997</v>
      </c>
      <c r="K137" s="100">
        <v>0.93980019979999974</v>
      </c>
      <c r="L137" s="101"/>
      <c r="M137" s="101"/>
    </row>
    <row r="138" spans="1:13" x14ac:dyDescent="0.3">
      <c r="A138" s="99" t="s">
        <v>318</v>
      </c>
      <c r="B138" s="100">
        <v>925.05</v>
      </c>
      <c r="C138" s="99" t="s">
        <v>151</v>
      </c>
      <c r="D138" s="100">
        <v>48.817999999999984</v>
      </c>
      <c r="E138" s="100">
        <v>65.397999999999982</v>
      </c>
      <c r="F138" s="100">
        <v>1.851522726899999</v>
      </c>
      <c r="G138" s="100">
        <v>1.3547727269999992</v>
      </c>
      <c r="H138" s="100">
        <v>0.99349999979999948</v>
      </c>
      <c r="I138" s="100">
        <v>1.851522726899999</v>
      </c>
      <c r="J138" s="100">
        <v>1.3547727269999992</v>
      </c>
      <c r="K138" s="100">
        <v>0.99349999979999948</v>
      </c>
      <c r="L138" s="101"/>
      <c r="M138" s="101"/>
    </row>
    <row r="139" spans="1:13" x14ac:dyDescent="0.3">
      <c r="A139" s="99" t="s">
        <v>319</v>
      </c>
      <c r="B139" s="100">
        <v>975.05</v>
      </c>
      <c r="C139" s="99" t="s">
        <v>151</v>
      </c>
      <c r="D139" s="100">
        <v>48.817999999999984</v>
      </c>
      <c r="E139" s="100">
        <v>65.397999999999982</v>
      </c>
      <c r="F139" s="100">
        <v>1.9515996268999991</v>
      </c>
      <c r="G139" s="100">
        <v>1.4279997269999993</v>
      </c>
      <c r="H139" s="100">
        <v>1.0471997997999996</v>
      </c>
      <c r="I139" s="100">
        <v>1.9515996268999991</v>
      </c>
      <c r="J139" s="100">
        <v>1.4279997269999993</v>
      </c>
      <c r="K139" s="100">
        <v>1.0471997997999996</v>
      </c>
      <c r="L139" s="101"/>
      <c r="M139" s="101"/>
    </row>
    <row r="140" spans="1:13" x14ac:dyDescent="0.3">
      <c r="A140" s="99" t="s">
        <v>320</v>
      </c>
      <c r="B140" s="100">
        <v>1050.05</v>
      </c>
      <c r="C140" s="99" t="s">
        <v>151</v>
      </c>
      <c r="D140" s="100">
        <v>48.817999999999984</v>
      </c>
      <c r="E140" s="100">
        <v>65.397999999999982</v>
      </c>
      <c r="F140" s="100">
        <v>2.101714976899999</v>
      </c>
      <c r="G140" s="100">
        <v>1.5378402269999993</v>
      </c>
      <c r="H140" s="100">
        <v>1.1277494997999997</v>
      </c>
      <c r="I140" s="100">
        <v>2.101714976899999</v>
      </c>
      <c r="J140" s="100">
        <v>1.5378402269999993</v>
      </c>
      <c r="K140" s="100">
        <v>1.1277494997999997</v>
      </c>
      <c r="L140" s="101"/>
      <c r="M140" s="101"/>
    </row>
    <row r="141" spans="1:13" x14ac:dyDescent="0.3">
      <c r="A141" s="99" t="s">
        <v>321</v>
      </c>
      <c r="B141" s="100">
        <v>1150.05</v>
      </c>
      <c r="C141" s="99" t="s">
        <v>151</v>
      </c>
      <c r="D141" s="100">
        <v>48.817999999999984</v>
      </c>
      <c r="E141" s="100">
        <v>65.397999999999982</v>
      </c>
      <c r="F141" s="100">
        <v>2.3018687768999988</v>
      </c>
      <c r="G141" s="100">
        <v>1.6842942269999992</v>
      </c>
      <c r="H141" s="100">
        <v>1.2351490997999994</v>
      </c>
      <c r="I141" s="100">
        <v>2.3018687768999988</v>
      </c>
      <c r="J141" s="100">
        <v>1.6842942269999992</v>
      </c>
      <c r="K141" s="100">
        <v>1.2351490997999994</v>
      </c>
      <c r="L141" s="101"/>
      <c r="M141" s="101"/>
    </row>
    <row r="142" spans="1:13" x14ac:dyDescent="0.3">
      <c r="A142" s="99" t="s">
        <v>322</v>
      </c>
      <c r="B142" s="100">
        <v>1300.05</v>
      </c>
      <c r="C142" s="99" t="s">
        <v>157</v>
      </c>
      <c r="D142" s="100">
        <v>48.817999999999984</v>
      </c>
      <c r="E142" s="100">
        <v>65.397999999999982</v>
      </c>
      <c r="F142" s="100">
        <v>2.602099476899999</v>
      </c>
      <c r="G142" s="100">
        <v>1.9039752269999992</v>
      </c>
      <c r="H142" s="100">
        <v>1.3962484997999995</v>
      </c>
      <c r="I142" s="100">
        <v>2.602099476899999</v>
      </c>
      <c r="J142" s="100">
        <v>1.9039752269999992</v>
      </c>
      <c r="K142" s="100">
        <v>1.3962484997999995</v>
      </c>
      <c r="L142" s="101"/>
      <c r="M142" s="101"/>
    </row>
    <row r="143" spans="1:13" x14ac:dyDescent="0.3">
      <c r="A143" s="99" t="s">
        <v>323</v>
      </c>
      <c r="B143" s="100">
        <v>1500.05</v>
      </c>
      <c r="C143" s="99" t="s">
        <v>157</v>
      </c>
      <c r="D143" s="100">
        <v>48.817999999999984</v>
      </c>
      <c r="E143" s="100">
        <v>65.397999999999982</v>
      </c>
      <c r="F143" s="100">
        <v>3.0024070768999986</v>
      </c>
      <c r="G143" s="100">
        <v>2.1968832269999989</v>
      </c>
      <c r="H143" s="100">
        <v>1.6110476997999994</v>
      </c>
      <c r="I143" s="100">
        <v>3.0024070768999986</v>
      </c>
      <c r="J143" s="100">
        <v>2.1968832269999989</v>
      </c>
      <c r="K143" s="100">
        <v>1.6110476997999994</v>
      </c>
      <c r="L143" s="101"/>
      <c r="M143" s="101"/>
    </row>
    <row r="144" spans="1:13" x14ac:dyDescent="0.3">
      <c r="A144" s="99" t="s">
        <v>324</v>
      </c>
      <c r="B144" s="100">
        <v>1800.05</v>
      </c>
      <c r="C144" s="99" t="s">
        <v>160</v>
      </c>
      <c r="D144" s="100">
        <v>48.817999999999984</v>
      </c>
      <c r="E144" s="100">
        <v>65.397999999999982</v>
      </c>
      <c r="F144" s="100">
        <v>3.6028684768999981</v>
      </c>
      <c r="G144" s="100">
        <v>2.6362452269999985</v>
      </c>
      <c r="H144" s="100">
        <v>1.9332464997999992</v>
      </c>
      <c r="I144" s="100">
        <v>3.6028684768999981</v>
      </c>
      <c r="J144" s="100">
        <v>2.6362452269999985</v>
      </c>
      <c r="K144" s="100">
        <v>1.9332464997999992</v>
      </c>
      <c r="L144" s="101"/>
      <c r="M144" s="101"/>
    </row>
    <row r="145" spans="1:13" x14ac:dyDescent="0.3">
      <c r="A145" s="99" t="s">
        <v>325</v>
      </c>
      <c r="B145" s="100">
        <v>2200.0500000000002</v>
      </c>
      <c r="C145" s="99" t="s">
        <v>160</v>
      </c>
      <c r="D145" s="100">
        <v>48.817999999999984</v>
      </c>
      <c r="E145" s="100">
        <v>65.397999999999982</v>
      </c>
      <c r="F145" s="100">
        <v>4.4034836768999988</v>
      </c>
      <c r="G145" s="100">
        <v>3.2220612269999993</v>
      </c>
      <c r="H145" s="100">
        <v>2.3628448997999998</v>
      </c>
      <c r="I145" s="100">
        <v>4.4034836768999988</v>
      </c>
      <c r="J145" s="100">
        <v>3.2220612269999993</v>
      </c>
      <c r="K145" s="100">
        <v>2.3628448997999998</v>
      </c>
      <c r="L145" s="101"/>
      <c r="M145" s="101"/>
    </row>
    <row r="146" spans="1:13" x14ac:dyDescent="0.3">
      <c r="A146" s="99" t="s">
        <v>326</v>
      </c>
      <c r="B146" s="100">
        <v>2700.05</v>
      </c>
      <c r="C146" s="99" t="s">
        <v>160</v>
      </c>
      <c r="D146" s="100">
        <v>48.817999999999984</v>
      </c>
      <c r="E146" s="100">
        <v>65.397999999999982</v>
      </c>
      <c r="F146" s="100">
        <v>5.4042526768999988</v>
      </c>
      <c r="G146" s="100">
        <v>3.9543312269999986</v>
      </c>
      <c r="H146" s="100">
        <v>2.8998428997999994</v>
      </c>
      <c r="I146" s="100">
        <v>5.4042526768999988</v>
      </c>
      <c r="J146" s="100">
        <v>3.9543312269999986</v>
      </c>
      <c r="K146" s="100">
        <v>2.8998428997999994</v>
      </c>
      <c r="L146" s="101"/>
      <c r="M146" s="101"/>
    </row>
    <row r="147" spans="1:13" x14ac:dyDescent="0.3">
      <c r="A147" s="99" t="s">
        <v>327</v>
      </c>
      <c r="B147" s="100">
        <v>3500.05</v>
      </c>
      <c r="C147" s="99" t="s">
        <v>160</v>
      </c>
      <c r="D147" s="100">
        <v>48.817999999999984</v>
      </c>
      <c r="E147" s="100">
        <v>65.397999999999982</v>
      </c>
      <c r="F147" s="100">
        <v>7.0054830768999983</v>
      </c>
      <c r="G147" s="100">
        <v>5.1259632269999988</v>
      </c>
      <c r="H147" s="100">
        <v>3.7590396997999993</v>
      </c>
      <c r="I147" s="100">
        <v>7.0054830768999983</v>
      </c>
      <c r="J147" s="100">
        <v>5.1259632269999988</v>
      </c>
      <c r="K147" s="100">
        <v>3.7590396997999993</v>
      </c>
      <c r="L147" s="101"/>
      <c r="M147" s="101"/>
    </row>
    <row r="148" spans="1:13" x14ac:dyDescent="0.3">
      <c r="A148" s="99" t="s">
        <v>328</v>
      </c>
      <c r="B148" s="100">
        <v>4750.05</v>
      </c>
      <c r="C148" s="99" t="s">
        <v>160</v>
      </c>
      <c r="D148" s="100">
        <v>48.817999999999984</v>
      </c>
      <c r="E148" s="100">
        <v>65.397999999999982</v>
      </c>
      <c r="F148" s="100">
        <v>9.5074055768999965</v>
      </c>
      <c r="G148" s="100">
        <v>6.9566382269999973</v>
      </c>
      <c r="H148" s="100">
        <v>5.1015346997999984</v>
      </c>
      <c r="I148" s="100">
        <v>9.5074055768999965</v>
      </c>
      <c r="J148" s="100">
        <v>6.9566382269999973</v>
      </c>
      <c r="K148" s="100">
        <v>5.1015346997999984</v>
      </c>
      <c r="L148" s="101"/>
      <c r="M148" s="101"/>
    </row>
    <row r="149" spans="1:13" x14ac:dyDescent="0.3">
      <c r="A149" s="65"/>
      <c r="B149" s="65"/>
      <c r="C149" s="65"/>
      <c r="D149" s="65"/>
      <c r="E149" s="65"/>
      <c r="F149" s="65"/>
      <c r="G149" s="97"/>
      <c r="H149" s="97"/>
      <c r="I149" s="65"/>
      <c r="J149" s="65"/>
      <c r="K149" s="65"/>
      <c r="L149" s="65"/>
      <c r="M149" s="65"/>
    </row>
    <row r="150" spans="1:13" ht="37.5" customHeight="1" x14ac:dyDescent="0.3">
      <c r="A150" s="106" t="s">
        <v>329</v>
      </c>
      <c r="B150" s="108"/>
      <c r="C150" s="65"/>
      <c r="D150" s="65"/>
      <c r="F150" s="65"/>
      <c r="H150" s="97"/>
      <c r="J150" s="65"/>
      <c r="K150" s="65"/>
      <c r="L150" s="65"/>
      <c r="M150" s="65"/>
    </row>
    <row r="151" spans="1:13" ht="28" x14ac:dyDescent="0.3">
      <c r="A151" s="120" t="s">
        <v>330</v>
      </c>
      <c r="B151" s="120" t="s">
        <v>331</v>
      </c>
      <c r="C151" s="65"/>
      <c r="D151" s="65"/>
      <c r="F151" s="65"/>
      <c r="H151" s="97"/>
      <c r="J151" s="65"/>
      <c r="K151" s="65"/>
      <c r="L151" s="65"/>
      <c r="M151" s="65"/>
    </row>
    <row r="152" spans="1:13" x14ac:dyDescent="0.3">
      <c r="A152" s="91" t="s">
        <v>149</v>
      </c>
      <c r="B152" s="91" t="s">
        <v>149</v>
      </c>
      <c r="C152" s="65"/>
      <c r="D152" s="65"/>
      <c r="F152" s="65"/>
      <c r="H152" s="97"/>
      <c r="J152" s="65"/>
      <c r="K152" s="65"/>
      <c r="L152" s="65"/>
      <c r="M152" s="65"/>
    </row>
    <row r="153" spans="1:13" x14ac:dyDescent="0.3">
      <c r="A153" s="65"/>
      <c r="B153" s="65"/>
      <c r="C153" s="65"/>
      <c r="D153" s="65"/>
      <c r="F153" s="65"/>
      <c r="H153" s="97"/>
      <c r="I153" s="65"/>
      <c r="J153" s="65"/>
      <c r="K153" s="65"/>
      <c r="L153" s="65"/>
      <c r="M153" s="65"/>
    </row>
    <row r="154" spans="1:13" ht="37.5" customHeight="1" x14ac:dyDescent="0.3">
      <c r="A154" s="106" t="s">
        <v>332</v>
      </c>
      <c r="B154" s="109"/>
      <c r="D154" s="65"/>
      <c r="F154" s="37"/>
      <c r="H154" s="65"/>
      <c r="I154" s="65"/>
      <c r="J154" s="65"/>
      <c r="K154" s="65"/>
      <c r="L154" s="65"/>
      <c r="M154" s="65"/>
    </row>
    <row r="155" spans="1:13" ht="28" x14ac:dyDescent="0.3">
      <c r="A155" s="120" t="s">
        <v>333</v>
      </c>
      <c r="B155" s="120" t="s">
        <v>334</v>
      </c>
      <c r="C155" s="120" t="s">
        <v>335</v>
      </c>
      <c r="D155" s="65"/>
      <c r="F155" s="65"/>
      <c r="H155" s="65"/>
      <c r="I155" s="65"/>
      <c r="J155" s="65"/>
      <c r="K155" s="65"/>
      <c r="L155" s="65"/>
      <c r="M155" s="65"/>
    </row>
    <row r="156" spans="1:13" x14ac:dyDescent="0.3">
      <c r="A156" s="105" t="s">
        <v>336</v>
      </c>
      <c r="B156" s="91" t="s">
        <v>152</v>
      </c>
      <c r="C156" s="91" t="s">
        <v>337</v>
      </c>
      <c r="D156" s="65"/>
      <c r="F156" s="65"/>
      <c r="H156" s="65"/>
      <c r="I156" s="65"/>
      <c r="J156" s="65"/>
      <c r="K156" s="65"/>
      <c r="L156" s="65"/>
      <c r="M156" s="65"/>
    </row>
    <row r="157" spans="1:13" ht="28" x14ac:dyDescent="0.3">
      <c r="A157" s="105" t="s">
        <v>338</v>
      </c>
      <c r="B157" s="91" t="s">
        <v>155</v>
      </c>
      <c r="C157" s="91" t="s">
        <v>339</v>
      </c>
      <c r="D157" s="65"/>
      <c r="F157" s="65"/>
      <c r="H157" s="65"/>
      <c r="I157" s="65"/>
      <c r="J157" s="65"/>
      <c r="K157" s="65"/>
      <c r="L157" s="65"/>
      <c r="M157" s="65"/>
    </row>
    <row r="158" spans="1:13" ht="42" x14ac:dyDescent="0.3">
      <c r="A158" s="105" t="s">
        <v>340</v>
      </c>
      <c r="B158" s="91" t="s">
        <v>223</v>
      </c>
      <c r="C158" s="91" t="s">
        <v>341</v>
      </c>
      <c r="D158" s="65"/>
      <c r="F158" s="65"/>
      <c r="H158" s="65"/>
      <c r="I158" s="65"/>
      <c r="J158" s="65"/>
      <c r="K158" s="65"/>
      <c r="L158" s="65"/>
      <c r="M158" s="65"/>
    </row>
    <row r="159" spans="1:13" ht="28" x14ac:dyDescent="0.3">
      <c r="A159" s="91" t="s">
        <v>342</v>
      </c>
      <c r="B159" s="91" t="s">
        <v>155</v>
      </c>
      <c r="C159" s="91" t="s">
        <v>339</v>
      </c>
      <c r="D159" s="65"/>
      <c r="F159" s="65"/>
      <c r="H159" s="65"/>
      <c r="I159" s="65"/>
      <c r="J159" s="65"/>
      <c r="K159" s="65"/>
      <c r="L159" s="65"/>
      <c r="M159" s="65"/>
    </row>
    <row r="160" spans="1:13" ht="28" x14ac:dyDescent="0.3">
      <c r="A160" s="91" t="s">
        <v>343</v>
      </c>
      <c r="B160" s="91" t="s">
        <v>155</v>
      </c>
      <c r="C160" s="91" t="s">
        <v>339</v>
      </c>
      <c r="D160" s="65"/>
      <c r="F160" s="65"/>
      <c r="H160" s="65"/>
      <c r="I160" s="102"/>
      <c r="J160" s="65"/>
      <c r="K160" s="65"/>
      <c r="L160" s="65"/>
      <c r="M160" s="65"/>
    </row>
    <row r="161" spans="1:13" ht="28" x14ac:dyDescent="0.3">
      <c r="A161" s="105" t="s">
        <v>344</v>
      </c>
      <c r="B161" s="91" t="s">
        <v>155</v>
      </c>
      <c r="C161" s="91" t="s">
        <v>339</v>
      </c>
      <c r="D161" s="65"/>
      <c r="F161" s="65"/>
      <c r="H161" s="65"/>
      <c r="I161" s="102"/>
      <c r="J161" s="65"/>
      <c r="K161" s="65"/>
      <c r="L161" s="65"/>
      <c r="M161" s="65"/>
    </row>
    <row r="162" spans="1:13" ht="15" customHeight="1" x14ac:dyDescent="0.3">
      <c r="A162" s="65"/>
      <c r="B162" s="97"/>
      <c r="C162" s="65"/>
      <c r="D162" s="65"/>
      <c r="F162" s="65"/>
      <c r="H162" s="65"/>
      <c r="I162" s="102"/>
      <c r="J162" s="65"/>
      <c r="K162" s="65"/>
      <c r="L162" s="65"/>
      <c r="M162" s="65"/>
    </row>
    <row r="163" spans="1:13" ht="37.5" customHeight="1" x14ac:dyDescent="0.3">
      <c r="A163" s="106" t="s">
        <v>345</v>
      </c>
      <c r="B163" s="107"/>
      <c r="C163" s="65"/>
      <c r="D163" s="65"/>
      <c r="F163" s="65"/>
      <c r="H163" s="65"/>
      <c r="I163" s="102"/>
      <c r="J163" s="65"/>
      <c r="K163" s="65"/>
      <c r="L163" s="65"/>
      <c r="M163" s="65"/>
    </row>
    <row r="164" spans="1:13" ht="28" x14ac:dyDescent="0.3">
      <c r="A164" s="119" t="s">
        <v>138</v>
      </c>
      <c r="B164" s="119" t="s">
        <v>331</v>
      </c>
      <c r="C164" s="65"/>
      <c r="D164" s="65"/>
      <c r="F164" s="65"/>
      <c r="H164" s="65"/>
      <c r="I164" s="65"/>
      <c r="J164" s="65"/>
      <c r="K164" s="65"/>
      <c r="L164" s="65"/>
      <c r="M164" s="65"/>
    </row>
    <row r="165" spans="1:13" x14ac:dyDescent="0.3">
      <c r="A165" s="91" t="s">
        <v>346</v>
      </c>
      <c r="B165" s="103" t="b">
        <v>1</v>
      </c>
      <c r="C165" s="65"/>
      <c r="D165" s="65"/>
      <c r="F165" s="65"/>
      <c r="H165" s="65"/>
      <c r="I165" s="65"/>
      <c r="J165" s="65"/>
      <c r="K165" s="65"/>
      <c r="L165" s="65"/>
      <c r="M165" s="65"/>
    </row>
    <row r="166" spans="1:13" x14ac:dyDescent="0.3">
      <c r="A166" s="91" t="s">
        <v>347</v>
      </c>
      <c r="B166" s="103" t="b">
        <v>0</v>
      </c>
      <c r="C166" s="65"/>
      <c r="D166" s="65"/>
      <c r="F166" s="65"/>
      <c r="H166" s="65"/>
      <c r="I166" s="65"/>
      <c r="J166" s="65"/>
      <c r="K166" s="65"/>
      <c r="L166" s="65"/>
      <c r="M166" s="65"/>
    </row>
    <row r="167" spans="1:13" x14ac:dyDescent="0.3">
      <c r="A167" s="65"/>
      <c r="B167" s="97"/>
      <c r="C167" s="97"/>
      <c r="D167" s="65"/>
      <c r="F167" s="65"/>
    </row>
    <row r="168" spans="1:13" ht="37.5" customHeight="1" x14ac:dyDescent="0.3">
      <c r="A168" s="106" t="s">
        <v>348</v>
      </c>
      <c r="B168" s="126"/>
      <c r="C168" s="97"/>
      <c r="D168" s="65"/>
    </row>
    <row r="169" spans="1:13" x14ac:dyDescent="0.3">
      <c r="A169" s="127" t="s">
        <v>349</v>
      </c>
      <c r="D169" s="65"/>
    </row>
    <row r="170" spans="1:13" x14ac:dyDescent="0.3">
      <c r="A170" s="128" t="s">
        <v>150</v>
      </c>
      <c r="D170" s="65"/>
      <c r="E170" s="65"/>
      <c r="F170" s="65"/>
      <c r="G170" s="97"/>
      <c r="H170" s="97"/>
    </row>
    <row r="171" spans="1:13" x14ac:dyDescent="0.3">
      <c r="A171" s="128" t="s">
        <v>163</v>
      </c>
      <c r="D171" s="65"/>
      <c r="E171" s="65"/>
      <c r="F171" s="65"/>
      <c r="G171" s="97"/>
      <c r="H171" s="97"/>
    </row>
    <row r="172" spans="1:13" x14ac:dyDescent="0.3">
      <c r="A172" s="128" t="s">
        <v>172</v>
      </c>
      <c r="D172" s="65"/>
      <c r="E172" s="65"/>
      <c r="F172" s="65"/>
      <c r="G172" s="97"/>
      <c r="H172" s="97"/>
    </row>
    <row r="173" spans="1:13" x14ac:dyDescent="0.3">
      <c r="A173" s="128" t="s">
        <v>180</v>
      </c>
      <c r="D173" s="65"/>
      <c r="E173" s="65"/>
      <c r="F173" s="65"/>
      <c r="G173" s="97"/>
      <c r="H173" s="97"/>
    </row>
    <row r="174" spans="1:13" x14ac:dyDescent="0.3">
      <c r="A174" s="128" t="s">
        <v>183</v>
      </c>
      <c r="D174" s="65"/>
      <c r="E174" s="65"/>
      <c r="F174" s="65"/>
      <c r="G174" s="97"/>
      <c r="H174" s="97"/>
    </row>
    <row r="175" spans="1:13" x14ac:dyDescent="0.3">
      <c r="A175" s="128" t="s">
        <v>188</v>
      </c>
      <c r="D175" s="65"/>
      <c r="E175" s="65"/>
      <c r="F175" s="65"/>
      <c r="G175" s="97"/>
      <c r="H175" s="97"/>
    </row>
    <row r="176" spans="1:13" x14ac:dyDescent="0.3">
      <c r="A176" s="128" t="s">
        <v>194</v>
      </c>
      <c r="D176" s="65"/>
      <c r="E176" s="65"/>
      <c r="F176" s="65"/>
      <c r="G176" s="97"/>
      <c r="H176" s="97"/>
    </row>
    <row r="177" spans="1:8" x14ac:dyDescent="0.3">
      <c r="A177" s="128" t="s">
        <v>203</v>
      </c>
      <c r="D177" s="65"/>
      <c r="E177" s="65"/>
      <c r="F177" s="65"/>
      <c r="G177" s="97"/>
      <c r="H177" s="97"/>
    </row>
    <row r="178" spans="1:8" x14ac:dyDescent="0.3">
      <c r="A178" s="128" t="s">
        <v>212</v>
      </c>
      <c r="D178" s="65"/>
      <c r="E178" s="65"/>
      <c r="F178" s="65"/>
      <c r="G178" s="97"/>
      <c r="H178" s="97"/>
    </row>
    <row r="179" spans="1:8" x14ac:dyDescent="0.3">
      <c r="A179" s="129" t="s">
        <v>284</v>
      </c>
      <c r="D179" s="65"/>
      <c r="E179" s="65"/>
      <c r="F179" s="65"/>
      <c r="G179" s="97"/>
      <c r="H179" s="97"/>
    </row>
    <row r="180" spans="1:8" x14ac:dyDescent="0.3">
      <c r="A180" s="129" t="s">
        <v>286</v>
      </c>
      <c r="D180" s="65"/>
      <c r="E180" s="65"/>
      <c r="F180" s="65"/>
      <c r="G180" s="97"/>
      <c r="H180" s="97"/>
    </row>
    <row r="181" spans="1:8" x14ac:dyDescent="0.3">
      <c r="A181" s="129" t="s">
        <v>287</v>
      </c>
      <c r="D181" s="65"/>
      <c r="E181" s="65"/>
      <c r="F181" s="65"/>
      <c r="G181" s="97"/>
      <c r="H181" s="97"/>
    </row>
    <row r="182" spans="1:8" x14ac:dyDescent="0.3">
      <c r="A182" s="129" t="s">
        <v>288</v>
      </c>
      <c r="D182" s="65"/>
      <c r="E182" s="65"/>
      <c r="F182" s="65"/>
      <c r="G182" s="97"/>
      <c r="H182" s="97"/>
    </row>
    <row r="183" spans="1:8" x14ac:dyDescent="0.3">
      <c r="A183" s="128" t="s">
        <v>289</v>
      </c>
      <c r="D183" s="65"/>
      <c r="E183" s="65"/>
      <c r="F183" s="65"/>
      <c r="G183" s="97"/>
      <c r="H183" s="97"/>
    </row>
    <row r="184" spans="1:8" x14ac:dyDescent="0.3">
      <c r="A184" s="128" t="s">
        <v>290</v>
      </c>
      <c r="D184" s="65"/>
      <c r="E184" s="65"/>
      <c r="F184" s="65"/>
      <c r="G184" s="97"/>
      <c r="H184" s="97"/>
    </row>
    <row r="185" spans="1:8" x14ac:dyDescent="0.3">
      <c r="A185" s="128" t="s">
        <v>291</v>
      </c>
      <c r="D185" s="65"/>
      <c r="E185" s="65"/>
      <c r="F185" s="65"/>
      <c r="G185" s="97"/>
      <c r="H185" s="97"/>
    </row>
    <row r="186" spans="1:8" x14ac:dyDescent="0.3">
      <c r="A186" s="130" t="s">
        <v>285</v>
      </c>
      <c r="D186" s="65"/>
      <c r="E186" s="65"/>
      <c r="F186" s="65"/>
      <c r="G186" s="97"/>
      <c r="H186" s="97"/>
    </row>
    <row r="188" spans="1:8" ht="37.5" customHeight="1" x14ac:dyDescent="0.3">
      <c r="A188" s="106" t="s">
        <v>350</v>
      </c>
      <c r="B188" s="125"/>
    </row>
    <row r="189" spans="1:8" x14ac:dyDescent="0.3">
      <c r="A189" s="119" t="s">
        <v>351</v>
      </c>
    </row>
    <row r="190" spans="1:8" x14ac:dyDescent="0.3">
      <c r="A190" s="91" t="s">
        <v>150</v>
      </c>
    </row>
    <row r="191" spans="1:8" x14ac:dyDescent="0.3">
      <c r="A191" s="91" t="s">
        <v>163</v>
      </c>
    </row>
    <row r="192" spans="1:8" x14ac:dyDescent="0.3">
      <c r="A192" s="91" t="s">
        <v>172</v>
      </c>
    </row>
    <row r="193" spans="1:1" x14ac:dyDescent="0.3">
      <c r="A193" s="91" t="s">
        <v>180</v>
      </c>
    </row>
    <row r="194" spans="1:1" x14ac:dyDescent="0.3">
      <c r="A194" s="91" t="s">
        <v>183</v>
      </c>
    </row>
    <row r="195" spans="1:1" x14ac:dyDescent="0.3">
      <c r="A195" s="91" t="s">
        <v>188</v>
      </c>
    </row>
    <row r="196" spans="1:1" x14ac:dyDescent="0.3">
      <c r="A196" s="91" t="s">
        <v>194</v>
      </c>
    </row>
    <row r="197" spans="1:1" x14ac:dyDescent="0.3">
      <c r="A197" s="91" t="s">
        <v>203</v>
      </c>
    </row>
    <row r="198" spans="1:1" x14ac:dyDescent="0.3">
      <c r="A198" s="91" t="s">
        <v>212</v>
      </c>
    </row>
    <row r="199" spans="1:1" x14ac:dyDescent="0.3">
      <c r="A199" s="91" t="s">
        <v>284</v>
      </c>
    </row>
    <row r="200" spans="1:1" x14ac:dyDescent="0.3">
      <c r="A200" s="98" t="s">
        <v>286</v>
      </c>
    </row>
    <row r="201" spans="1:1" x14ac:dyDescent="0.3">
      <c r="A201" s="98" t="s">
        <v>287</v>
      </c>
    </row>
    <row r="202" spans="1:1" x14ac:dyDescent="0.3">
      <c r="A202" s="98" t="s">
        <v>288</v>
      </c>
    </row>
    <row r="203" spans="1:1" x14ac:dyDescent="0.3">
      <c r="A203" s="91" t="s">
        <v>289</v>
      </c>
    </row>
    <row r="204" spans="1:1" x14ac:dyDescent="0.3">
      <c r="A204" s="91" t="s">
        <v>290</v>
      </c>
    </row>
    <row r="205" spans="1:1" x14ac:dyDescent="0.3">
      <c r="A205" s="91" t="s">
        <v>291</v>
      </c>
    </row>
    <row r="206" spans="1:1" x14ac:dyDescent="0.3">
      <c r="A206" s="91" t="s">
        <v>285</v>
      </c>
    </row>
    <row r="208" spans="1:1" ht="37.5" customHeight="1" x14ac:dyDescent="0.3">
      <c r="A208" s="8" t="s">
        <v>352</v>
      </c>
    </row>
    <row r="209" spans="1:1" x14ac:dyDescent="0.3">
      <c r="A209" s="119" t="s">
        <v>353</v>
      </c>
    </row>
    <row r="210" spans="1:1" x14ac:dyDescent="0.3">
      <c r="A210" s="91" t="e" cm="1" vm="1">
        <f t="array" ref="A210">_xlfn._xlws.SORT(_xlfn.UNIQUE(_xlfn._xlws.FILTER(Nutrients_from_future_land_use!$A$5:$A$21,Nutrients_from_future_land_use!$A$5:$A$21&lt;&gt;"")))</f>
        <v>#VALUE!</v>
      </c>
    </row>
  </sheetData>
  <sheetProtection algorithmName="SHA-512" hashValue="MQeUCB+ENiIFef3irsBjvziJ6gmnf47GtCggrtYWiRKeoYORA6VXN3WVJjLwzbhb2KM74YQlLs6BmK6KVfUQQw==" saltValue="cW1hROSYhITGhHqfJZrPng==" spinCount="100000" sheet="1" objects="1" scenarios="1"/>
  <phoneticPr fontId="9" type="noConversion"/>
  <dataValidations count="1">
    <dataValidation allowBlank="1" showInputMessage="1" showErrorMessage="1" prompt="This value is dependent on the rainfall volume." sqref="G120:H122 H116" xr:uid="{531D2639-E1CD-4714-9D53-CBF5CF1C1961}"/>
  </dataValidations>
  <pageMargins left="0.7" right="0.7" top="0.75" bottom="0.75" header="0.3" footer="0.3"/>
  <pageSetup paperSize="9" orientation="portrait"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4D51005713F9C3479C36BC4CEB9B3066" ma:contentTypeVersion="37" ma:contentTypeDescription="Create a new document." ma:contentTypeScope="" ma:versionID="b99b165d0d505f88bb04ad64b5682c6a">
  <xsd:schema xmlns:xsd="http://www.w3.org/2001/XMLSchema" xmlns:xs="http://www.w3.org/2001/XMLSchema" xmlns:p="http://schemas.microsoft.com/office/2006/metadata/properties" xmlns:ns2="662745e8-e224-48e8-a2e3-254862b8c2f5" xmlns:ns3="4154bb13-d25f-46c8-b825-e27ab0800e07" targetNamespace="http://schemas.microsoft.com/office/2006/metadata/properties" ma:root="true" ma:fieldsID="56c8271e5dd5aa4455ea09ecc8fc3d28" ns2:_="" ns3:_="">
    <xsd:import namespace="662745e8-e224-48e8-a2e3-254862b8c2f5"/>
    <xsd:import namespace="4154bb13-d25f-46c8-b825-e27ab0800e07"/>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3;#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3972251-f71b-458d-92d6-267c48a3c390}" ma:internalName="TaxCatchAll" ma:showField="CatchAllData" ma:web="d197c6b5-b2fa-4c64-890d-12973034420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3972251-f71b-458d-92d6-267c48a3c390}" ma:internalName="TaxCatchAllLabel" ma:readOnly="true" ma:showField="CatchAllDataLabel" ma:web="d197c6b5-b2fa-4c64-890d-12973034420c">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5;#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Nutrient Neutrality and Mitigation" ma:internalName="Team" ma:readOnly="false">
      <xsd:simpleType>
        <xsd:restriction base="dms:Text"/>
      </xsd:simpleType>
    </xsd:element>
    <xsd:element name="Topic" ma:index="20" nillable="true" ma:displayName="Topic" ma:default="NN Calculator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4;#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2;#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54bb13-d25f-46c8-b825-e27ab0800e07"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d1117845-93f6-4da3-abaa-fcb4fa669c78" ContentTypeId="0x010100A5BF1C78D9F64B679A5EBDE1C6598EBC01" PreviousValue="false" LastSyncTimeStamp="2024-12-09T17:56:34.99Z"/>
</file>

<file path=customXml/item4.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5.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4</Value>
      <Value>3</Value>
      <Value>9</Value>
      <Value>1</Value>
      <Value>2</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Props1.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2.xml><?xml version="1.0" encoding="utf-8"?>
<ds:datastoreItem xmlns:ds="http://schemas.openxmlformats.org/officeDocument/2006/customXml" ds:itemID="{5F874586-32C6-4CDB-A414-7515595099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4154bb13-d25f-46c8-b825-e27ab0800e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1967D6-67CD-4226-A27C-8F1F44A3A2D2}">
  <ds:schemaRefs>
    <ds:schemaRef ds:uri="Microsoft.SharePoint.Taxonomy.ContentTypeSync"/>
  </ds:schemaRefs>
</ds:datastoreItem>
</file>

<file path=customXml/itemProps4.xml><?xml version="1.0" encoding="utf-8"?>
<ds:datastoreItem xmlns:ds="http://schemas.openxmlformats.org/officeDocument/2006/customXml" ds:itemID="{A6870AF0-BC99-4EE0-9479-825860D2F995}">
  <ds:schemaRefs>
    <ds:schemaRef ds:uri="http://schemas.microsoft.com/DataMashup"/>
  </ds:schemaRefs>
</ds:datastoreItem>
</file>

<file path=customXml/itemProps5.xml><?xml version="1.0" encoding="utf-8"?>
<ds:datastoreItem xmlns:ds="http://schemas.openxmlformats.org/officeDocument/2006/customXml" ds:itemID="{4E6A12FC-BB1B-4E54-B358-BBABDD5105C6}">
  <ds:schemaRefs>
    <ds:schemaRef ds:uri="http://schemas.microsoft.com/office/2006/metadata/properties"/>
    <ds:schemaRef ds:uri="http://schemas.microsoft.com/office/infopath/2007/PartnerControls"/>
    <ds:schemaRef ds:uri="662745e8-e224-48e8-a2e3-254862b8c2f5"/>
    <ds:schemaRef ds:uri="eadf615d-60bf-4100-8f9d-b3b6b1afcaac"/>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2021-10-14T13:24:34Z</dcterms:created>
  <dcterms:modified xsi:type="dcterms:W3CDTF">2025-04-29T13:32:15Z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0x010100A5BF1C78D9F64B679A5EBDE1C6598EBC01004D51005713F9C3479C36BC4CEB9B3066</vt:lpwstr>
  </property>
  <property fmtid="{D5CDD505-2E9C-101B-9397-08002B2CF9AE}" pid="3" name="HOGovernmentSecurityClassification">
    <vt:lpwstr>3;#Official|14c80daa-741b-422c-9722-f71693c9ede4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4;#Internal Defra Group|0867f7b3-e76e-40ca-bb1f-5ba341a49230</vt:lpwstr>
  </property>
  <property fmtid="{D5CDD505-2E9C-101B-9397-08002B2CF9AE}" pid="7" name="OrganisationalUnit">
    <vt:lpwstr>2;#NE|275df9ce-cd92-4318-adfe-db572e51c7ff</vt:lpwstr>
  </property>
  <property fmtid="{D5CDD505-2E9C-101B-9397-08002B2CF9AE}" pid="8" name="HOCopyrightLevel">
    <vt:lpwstr>1;#Crown|69589897-2828-4761-976e-717fd8e631c9</vt:lpwstr>
  </property>
  <property fmtid="{D5CDD505-2E9C-101B-9397-08002B2CF9AE}" pid="9" name="MediaServiceImageTags">
    <vt:lpwstr/>
  </property>
</Properties>
</file>