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8" documentId="8_{DB9A8328-E707-473F-97DF-10BBAA083FF5}" xr6:coauthVersionLast="47" xr6:coauthVersionMax="47" xr10:uidLastSave="{C1BF865B-BCBC-4035-AC87-56FF8A7E8112}"/>
  <workbookProtection workbookAlgorithmName="SHA-512" workbookHashValue="uGI5UrJ7rEN+lVXAsELnzXKI0xdbOgbl58joD8PpxHGLxG3hsW6YLdzHxmSNt9LgdD696BtJmWl1c6mdSWfjXw==" workbookSaltValue="C34AJtuHW0S0W8DhQwIy0g=="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B22" i="21"/>
  <c r="A22" i="21"/>
  <c r="A21" i="21"/>
  <c r="B14" i="10" s="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20" i="21"/>
  <c r="B12" i="21"/>
  <c r="A12" i="21"/>
  <c r="A11" i="21"/>
  <c r="B11" i="21"/>
  <c r="H109" i="3"/>
  <c r="H114" i="3"/>
  <c r="C22" i="9" l="1"/>
  <c r="A13" i="10"/>
  <c r="A14" i="10" s="1"/>
  <c r="A12" i="10"/>
  <c r="B18" i="21"/>
  <c r="H113" i="3"/>
  <c r="A202" i="3" l="1" a="1"/>
  <c r="A202" i="3" s="1"/>
  <c r="B30" i="22" l="1"/>
  <c r="H115" i="3" l="1"/>
  <c r="F115" i="3" l="1"/>
  <c r="F114" i="3"/>
  <c r="F113" i="3"/>
  <c r="F112" i="3"/>
  <c r="F111" i="3"/>
  <c r="F110" i="3"/>
  <c r="F109" i="3"/>
  <c r="F108"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<sst xmlns="http://schemas.openxmlformats.org/spreadsheetml/2006/main" count="891" uniqueCount="352">
  <si>
    <t>Wastewater treatment works:</t>
  </si>
  <si>
    <t>Septic Tank default</t>
  </si>
  <si>
    <t>Soil drainage type:</t>
  </si>
  <si>
    <t>Table 1: Stage 1 WwTW lookup</t>
  </si>
  <si>
    <t>Discharge Site Name</t>
  </si>
  <si>
    <t>Phosphorus, Total as P (mg/l)</t>
  </si>
  <si>
    <t>Phosphorus, Total as P (mg/l), permit post 2025</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</si>
  <si>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</si>
  <si>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</si>
  <si>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</si>
  <si>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</si>
  <si>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</si>
  <si>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</si>
  <si>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</si>
  <si>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</si>
  <si>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</si>
  <si>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</si>
  <si>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</si>
  <si>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Farm Lookup</t>
  </si>
  <si>
    <t>Mean P export of farm type and climate combination</t>
  </si>
  <si>
    <t>Mean P export of farm type</t>
  </si>
  <si>
    <t>Cereals</t>
  </si>
  <si>
    <t>700to900</t>
  </si>
  <si>
    <t>FreeDrain</t>
  </si>
  <si>
    <t>DrainedAr</t>
  </si>
  <si>
    <t>DrainedArGr</t>
  </si>
  <si>
    <t>900to1200</t>
  </si>
  <si>
    <t>General</t>
  </si>
  <si>
    <t>Horticulture</t>
  </si>
  <si>
    <t>Poultry</t>
  </si>
  <si>
    <t>Dairy</t>
  </si>
  <si>
    <t>Lowland</t>
  </si>
  <si>
    <t>Mixed</t>
  </si>
  <si>
    <t>Pig</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</si>
  <si>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</si>
  <si>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</si>
  <si>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</si>
  <si>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</si>
  <si>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</si>
  <si>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</si>
  <si>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</si>
  <si>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</si>
  <si>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</si>
  <si>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</si>
  <si>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</si>
  <si>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</si>
  <si>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</si>
  <si>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</si>
  <si>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</si>
  <si>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</si>
  <si>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</si>
  <si>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</si>
  <si>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</si>
  <si>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</si>
  <si>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</si>
  <si>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</si>
  <si>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</si>
  <si>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</si>
  <si>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</si>
  <si>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</si>
  <si>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</si>
  <si>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</si>
  <si>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</si>
  <si>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</si>
  <si>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</si>
  <si>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</si>
  <si>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</si>
  <si>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</si>
  <si>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</si>
  <si>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</si>
  <si>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</si>
  <si>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</si>
  <si>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</si>
  <si>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</si>
  <si>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</si>
  <si>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</si>
  <si>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</si>
  <si>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</si>
  <si>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</si>
  <si>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</si>
  <si>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</si>
  <si>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</si>
  <si>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</si>
  <si>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</si>
  <si>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</si>
  <si>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</si>
  <si>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</si>
  <si>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</si>
  <si>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</si>
  <si>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</si>
  <si>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</si>
  <si>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</si>
  <si>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</si>
  <si>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</si>
  <si>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</si>
  <si>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</si>
  <si>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</si>
  <si>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</si>
  <si>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</si>
  <si>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</si>
  <si>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</si>
  <si>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</si>
  <si>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Table of contents</t>
  </si>
  <si>
    <t>Topic of each table</t>
  </si>
  <si>
    <t>Link to each worksheet</t>
  </si>
  <si>
    <t>Nutrients from wastewater</t>
  </si>
  <si>
    <t>Nutrients from current land use</t>
  </si>
  <si>
    <t>Nutrients from future land use</t>
  </si>
  <si>
    <t>Water usage (litres/person/day):</t>
  </si>
  <si>
    <t>Annual average rainfall (mm):</t>
  </si>
  <si>
    <t>Date of first occupancy (dd/mm/yyyy):</t>
  </si>
  <si>
    <t>Water infrastructure information</t>
  </si>
  <si>
    <t>Final calculation of nutrient load from wastewater</t>
  </si>
  <si>
    <t>Current land use information</t>
  </si>
  <si>
    <t>Total nutrient budget calculations</t>
  </si>
  <si>
    <t>Final nutrient budgets</t>
  </si>
  <si>
    <t>Notes about the final nutrient budgets</t>
  </si>
  <si>
    <t>Phosphorus, Total as P (mg/l), permit post 2030</t>
  </si>
  <si>
    <t>SuDS</t>
  </si>
  <si>
    <t>Final_nutrient_budgets</t>
  </si>
  <si>
    <t>General information about the calculator</t>
  </si>
  <si>
    <t>Additional population (people):</t>
  </si>
  <si>
    <t>Wastewater by development (litres/day):</t>
  </si>
  <si>
    <t>Annual wastewater TP load (kg TP/yr):</t>
  </si>
  <si>
    <t>Sources of information required for nutrients from current land use worksheet</t>
  </si>
  <si>
    <t>Description of values generated</t>
  </si>
  <si>
    <t>Values generated</t>
  </si>
  <si>
    <t>Description of the information:</t>
  </si>
  <si>
    <t>Description of required information</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</si>
  <si>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</si>
  <si>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Notes on data</t>
  </si>
  <si>
    <t>Net land use TP change (kg TP/year):</t>
  </si>
  <si>
    <t>Wastewater TP load (kg TP/year):</t>
  </si>
  <si>
    <t>The total annual phosphorus load to mitigate is (kg TP/yr):</t>
  </si>
  <si>
    <t>You can move between worksheets using the tabs at the bottom of the page.</t>
  </si>
  <si>
    <t>Current land uses</t>
  </si>
  <si>
    <t>Future land uses</t>
  </si>
  <si>
    <t>Future Landcovers</t>
  </si>
  <si>
    <t>Totals:</t>
  </si>
  <si>
    <t>Annual phosphorus load removed by SuDS
(kg TP/yr)</t>
  </si>
  <si>
    <t>Notes about the nutrients from future land use worksheet</t>
  </si>
  <si>
    <t>Notes about the nutrients from current land use worksheet</t>
  </si>
  <si>
    <t>Notes about the nutrients from wastewater worksheet</t>
  </si>
  <si>
    <t xml:space="preserve">This worksheet contains one table in which the user can enter key information about the use of SuDS to treat the runoff from the site and reduce the nutrient loading from future land uses. </t>
  </si>
  <si>
    <t>Table 9: New landcovers</t>
  </si>
  <si>
    <t>This sheet contains nine tables. A blank row seperates the end of each table from the header for the next table.</t>
  </si>
  <si>
    <t>Current wastewater treatment works P permit (mg TP/litre):</t>
  </si>
  <si>
    <t>Column1</t>
  </si>
  <si>
    <t>Column2</t>
  </si>
  <si>
    <t>Column3</t>
  </si>
  <si>
    <t>Residential P export coefficient (kg/ha/yr)2</t>
  </si>
  <si>
    <t>Commercial / industrial P export coefficient (kg/ha/yr)3</t>
  </si>
  <si>
    <t>Open urban P export coefficient (kg/ha/yr)4</t>
  </si>
  <si>
    <t/>
  </si>
  <si>
    <t>General|900to1200</t>
  </si>
  <si>
    <t>Poultry|900to1200</t>
  </si>
  <si>
    <t>Dairy|900to1200</t>
  </si>
  <si>
    <t>Lowland|900to1200</t>
  </si>
  <si>
    <t>Mixed|900to1200</t>
  </si>
  <si>
    <t>Cereals|FALSE|900to1200|FreeDrain</t>
  </si>
  <si>
    <t>General|FALSE|900to1200|FreeDrain</t>
  </si>
  <si>
    <t>Dairy|FALSE|900to1200|FreeDrain</t>
  </si>
  <si>
    <t>Lowland|FALSE|900to1200|FreeDrain</t>
  </si>
  <si>
    <t>Lowland|FALSE|900to1200|DrainedAr</t>
  </si>
  <si>
    <t>Annual phosphorus export  
(kg TP/yr)</t>
  </si>
  <si>
    <t>Annual phosphorus inputs to SuDS feature(s)
(kg T/yr)</t>
  </si>
  <si>
    <t>TP budget:</t>
  </si>
  <si>
    <t>TP budget + 20% buffer:</t>
  </si>
  <si>
    <t>Annual phosphorus export
(kg TP/yr)</t>
  </si>
  <si>
    <t>General|1200to1500</t>
  </si>
  <si>
    <t>General|Over1500</t>
  </si>
  <si>
    <t>Dairy|1200to1500</t>
  </si>
  <si>
    <t>Dairy|Over1500</t>
  </si>
  <si>
    <t>LFA|1200to1500</t>
  </si>
  <si>
    <t>LFA|Over1500</t>
  </si>
  <si>
    <t>Lowland|1200to1500</t>
  </si>
  <si>
    <t>Lowland|Over1500</t>
  </si>
  <si>
    <t>Poultry|Over1500</t>
  </si>
  <si>
    <t>LFA|900to1200</t>
  </si>
  <si>
    <t>Mixed|1200to1500</t>
  </si>
  <si>
    <t>General|FALSE|900to1200|DrainedAr</t>
  </si>
  <si>
    <t>Dairy|FALSE|900to1200|DrainedAr</t>
  </si>
  <si>
    <t>LFA|FALSE|900to1200|FreeDrain</t>
  </si>
  <si>
    <t>LFA|FALSE|900to1200|DrainedAr</t>
  </si>
  <si>
    <t>LFA|FALSE|1200to1500|FreeDrain</t>
  </si>
  <si>
    <t>LFA|FALSE|1200to1500|DrainedArGr</t>
  </si>
  <si>
    <t>LFA|FALSE|Over1500|FreeDrain</t>
  </si>
  <si>
    <t>Mixed|FALSE|900to1200|FreeDrain</t>
  </si>
  <si>
    <t>If you use screen reading software, you can use 'Ctrl' + 'Page Down' keys to move between the tabs.</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</si>
  <si>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</si>
  <si>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The drainage associated with the predominant soil type within the development site can be found using the Soilscapes Map</t>
  </si>
  <si>
    <t>Notes about the SuDS worksheet</t>
  </si>
  <si>
    <t>The value(s) shown represent the nutrient mitigation required in kilograms per year to achieve nutrient neutrality.</t>
  </si>
  <si>
    <t>Each worksheet is connected through a set of formulas which calculate the nutrient budget. As such, all sheets which represent the four key stages require data inputs in order to calculate the nutrient budget.</t>
  </si>
  <si>
    <t>Average occupancy rate (people/dwelling or people/unit):</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</si>
  <si>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</si>
  <si>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</si>
  <si>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</si>
  <si>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</si>
  <si>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</si>
  <si>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</si>
  <si>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</si>
  <si>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</si>
  <si>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</si>
  <si>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</si>
  <si>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</si>
  <si>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</si>
  <si>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</si>
  <si>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</si>
  <si>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</si>
  <si>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</si>
  <si>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</si>
  <si>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</si>
  <si>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</si>
  <si>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</si>
  <si>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</si>
  <si>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</si>
  <si>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</si>
  <si>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</si>
  <si>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</si>
  <si>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</si>
  <si>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</si>
  <si>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</si>
  <si>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</si>
  <si>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</si>
  <si>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</si>
  <si>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This final stage automatically calculates the results from worksheets 1-5.</t>
  </si>
  <si>
    <t>If there are 2 or 3 values due to changing permits, the calculator will show the total amount of nutrient mitigation that is needed before and after the changing permit date.</t>
  </si>
  <si>
    <t>The calculator guidance gives further information about the landcover types used in this calculator.</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</si>
  <si>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</si>
  <si>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</si>
  <si>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</si>
  <si>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</si>
  <si>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</si>
  <si>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</si>
  <si>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</si>
  <si>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</si>
  <si>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Name of SuDS feature(s) - user inputs required</t>
  </si>
  <si>
    <t>TP removal rate for features - user specified (%) - user inputs required</t>
  </si>
  <si>
    <t>SuDS information</t>
  </si>
  <si>
    <t>Development proposal (dwellings/units):</t>
  </si>
  <si>
    <t>Nutrients from future land use after sustainable urban drainage system (SuDS) treatment</t>
  </si>
  <si>
    <t>Within nitrate vulnerable zone (NVZ):</t>
  </si>
  <si>
    <t>Operational catchment: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</si>
  <si>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</si>
  <si>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</si>
  <si>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</si>
  <si>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Mixed|Over1500</t>
  </si>
  <si>
    <t>Cereals|900to1200</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</si>
  <si>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</si>
  <si>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</si>
  <si>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</si>
  <si>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</si>
  <si>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</si>
  <si>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Natural England Nutrient Neutrality budget calculator for the Esthwaite Water Ramsar</t>
  </si>
  <si>
    <t>The annual average rainfall that the development will receive can be found using the National River Flow Archive for the '73006 - Cunsey Beck at Eel House Bridge'</t>
  </si>
  <si>
    <t>Hawkshead STW</t>
  </si>
  <si>
    <t>Leven</t>
  </si>
  <si>
    <t>Leven|Cereals|FALSE|900to1200|FreeDrain</t>
  </si>
  <si>
    <t>Leven|Cereals|FALSE|900to1200|DrainedAr</t>
  </si>
  <si>
    <t>Leven|Cereals|FALSE|1200to1500|FreeDrain</t>
  </si>
  <si>
    <t>Cereals|1200to1500</t>
  </si>
  <si>
    <t>Leven|Cereals|FALSE|1200to1500|DrainedAr</t>
  </si>
  <si>
    <t>Leven|Cereals|FALSE|Over1500|FreeDrain</t>
  </si>
  <si>
    <t>Cereals|Over1500</t>
  </si>
  <si>
    <t>Leven|Cereals|FALSE|Over1500|DrainedAr</t>
  </si>
  <si>
    <t>Leven|General|FALSE|900to1200|FreeDrain</t>
  </si>
  <si>
    <t>Leven|General|FALSE|900to1200|DrainedAr</t>
  </si>
  <si>
    <t>Leven|General|FALSE|1200to1500|FreeDrain</t>
  </si>
  <si>
    <t>Leven|General|FALSE|1200to1500|DrainedAr</t>
  </si>
  <si>
    <t>Leven|General|FALSE|Over1500|FreeDrain</t>
  </si>
  <si>
    <t>Leven|General|FALSE|Over1500|DrainedAr</t>
  </si>
  <si>
    <t>Leven|Pig|FALSE|1200to1500|DrainedAr</t>
  </si>
  <si>
    <t>Pig|1200to1500</t>
  </si>
  <si>
    <t>Leven|Pig|FALSE|Over1500|FreeDrain</t>
  </si>
  <si>
    <t>Pig|Over1500</t>
  </si>
  <si>
    <t>Leven|Poultry|FALSE|900to1200|FreeDrain</t>
  </si>
  <si>
    <t>Leven|Poultry|FALSE|900to1200|DrainedAr</t>
  </si>
  <si>
    <t>Leven|Poultry|FALSE|1200to1500|FreeDrain</t>
  </si>
  <si>
    <t>Poultry|1200to1500</t>
  </si>
  <si>
    <t>Leven|Poultry|FALSE|Over1500|FreeDrain</t>
  </si>
  <si>
    <t>Leven|Dairy|FALSE|900to1200|FreeDrain</t>
  </si>
  <si>
    <t>Leven|Dairy|FALSE|900to1200|DrainedAr</t>
  </si>
  <si>
    <t>Leven|Dairy|FALSE|1200to1500|FreeDrain</t>
  </si>
  <si>
    <t>Leven|Dairy|FALSE|1200to1500|DrainedAr</t>
  </si>
  <si>
    <t>Leven|Dairy|FALSE|Over1500|FreeDrain</t>
  </si>
  <si>
    <t>Leven|Dairy|FALSE|Over1500|DrainedAr</t>
  </si>
  <si>
    <t>Leven|LFA|FALSE|900to1200|FreeDrain</t>
  </si>
  <si>
    <t>Leven|LFA|FALSE|900to1200|DrainedAr</t>
  </si>
  <si>
    <t>Leven|LFA|FALSE|1200to1500|FreeDrain</t>
  </si>
  <si>
    <t>Leven|LFA|FALSE|1200to1500|DrainedAr</t>
  </si>
  <si>
    <t>Leven|LFA|FALSE|Over1500|FreeDrain</t>
  </si>
  <si>
    <t>Leven|LFA|FALSE|Over1500|DrainedAr</t>
  </si>
  <si>
    <t>Leven|Lowland|FALSE|900to1200|FreeDrain</t>
  </si>
  <si>
    <t>Leven|Lowland|FALSE|900to1200|DrainedAr</t>
  </si>
  <si>
    <t>Leven|Lowland|FALSE|1200to1500|FreeDrain</t>
  </si>
  <si>
    <t>Leven|Lowland|FALSE|1200to1500|DrainedAr</t>
  </si>
  <si>
    <t>Leven|Lowland|FALSE|Over1500|FreeDrain</t>
  </si>
  <si>
    <t>Leven|Lowland|FALSE|Over1500|DrainedAr</t>
  </si>
  <si>
    <t>Leven|Mixed|FALSE|900to1200|FreeDrain</t>
  </si>
  <si>
    <t>Leven|Mixed|FALSE|900to1200|DrainedAr</t>
  </si>
  <si>
    <t>Leven|Mixed|FALSE|1200to1500|FreeDrain</t>
  </si>
  <si>
    <t>Leven|Mixed|FALSE|Over1500|FreeDrain</t>
  </si>
  <si>
    <t>3045_Kent_Leven</t>
  </si>
  <si>
    <t>Cereals|FALSE|900to1200|DrainedAr</t>
  </si>
  <si>
    <t>Cereals|FALSE|1200to1500|FreeDrain</t>
  </si>
  <si>
    <t>Cereals|FALSE|Over1500|FreeDrain</t>
  </si>
  <si>
    <t>Cereals|FALSE|Over1500|DrainedAr</t>
  </si>
  <si>
    <t>General|FALSE|1200to1500|FreeDrain</t>
  </si>
  <si>
    <t>General|FALSE|1200to1500|DrainedAr</t>
  </si>
  <si>
    <t>General|FALSE|1200to1500|DrainedArGr</t>
  </si>
  <si>
    <t>General|FALSE|Over1500|FreeDrain</t>
  </si>
  <si>
    <t>General|FALSE|Over1500|DrainedAr</t>
  </si>
  <si>
    <t>Hortic</t>
  </si>
  <si>
    <t>Hortic|FALSE|900to1200|FreeDrain</t>
  </si>
  <si>
    <t>Hortic|900to1200</t>
  </si>
  <si>
    <t>Hortic|FALSE|900to1200|DrainedAr</t>
  </si>
  <si>
    <t>Hortic|FALSE|1200to1500|FreeDrain</t>
  </si>
  <si>
    <t>Hortic|1200to1500</t>
  </si>
  <si>
    <t>Hortic|FALSE|1200to1500|DrainedAr</t>
  </si>
  <si>
    <t>Hortic|FALSE|Over1500|FreeDrain</t>
  </si>
  <si>
    <t>Hortic|Over1500</t>
  </si>
  <si>
    <t>Hortic|FALSE|Over1500|DrainedAr</t>
  </si>
  <si>
    <t>Pig|FALSE|900to1200|FreeDrain</t>
  </si>
  <si>
    <t>Pig|900to1200</t>
  </si>
  <si>
    <t>Pig|FALSE|1200to1500|DrainedAr</t>
  </si>
  <si>
    <t>Pig|FALSE|1200to1500|DrainedArGr</t>
  </si>
  <si>
    <t>Pig|FALSE|Over1500|FreeDrain</t>
  </si>
  <si>
    <t>Poultry|FALSE|900to1200|FreeDrain</t>
  </si>
  <si>
    <t>Poultry|FALSE|900to1200|DrainedAr</t>
  </si>
  <si>
    <t>Poultry|FALSE|1200to1500|FreeDrain</t>
  </si>
  <si>
    <t>Poultry|FALSE|Over1500|FreeDrain</t>
  </si>
  <si>
    <t>Poultry|FALSE|Over1500|DrainedAr</t>
  </si>
  <si>
    <t>Dairy|FALSE|1200to1500|FreeDrain</t>
  </si>
  <si>
    <t>Dairy|FALSE|1200to1500|DrainedAr</t>
  </si>
  <si>
    <t>Dairy|FALSE|1200to1500|DrainedArGr</t>
  </si>
  <si>
    <t>Dairy|FALSE|Over1500|FreeDrain</t>
  </si>
  <si>
    <t>Dairy|FALSE|Over1500|DrainedAr</t>
  </si>
  <si>
    <t>LFA|FALSE|1200to1500|DrainedAr</t>
  </si>
  <si>
    <t>LFA|FALSE|Over1500|DrainedAr</t>
  </si>
  <si>
    <t>LFA|FALSE|Over1500|DrainedArGr</t>
  </si>
  <si>
    <t>Lowland|FALSE|1200to1500|FreeDrain</t>
  </si>
  <si>
    <t>Lowland|FALSE|1200to1500|DrainedAr</t>
  </si>
  <si>
    <t>Lowland|FALSE|1200to1500|DrainedArGr</t>
  </si>
  <si>
    <t>Lowland|FALSE|Over1500|FreeDrain</t>
  </si>
  <si>
    <t>Lowland|FALSE|Over1500|DrainedAr</t>
  </si>
  <si>
    <t>Mixed|FALSE|900to1200|DrainedAr</t>
  </si>
  <si>
    <t>Mixed|FALSE|1200to1500|FreeDrain</t>
  </si>
  <si>
    <t>Mixed|FALSE|1200to1500|DrainedAr</t>
  </si>
  <si>
    <t>Mixed|FALSE|1200to1500|DrainedArGr</t>
  </si>
  <si>
    <t>Mixed|FALSE|Over1500|FreeDrain</t>
  </si>
  <si>
    <t>Esthwaite Specific Landcover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</si>
</sst>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62:A179" totalsRowShown="0" headerRowDxfId="58" dataDxfId="56" headerRowBorderDxfId="57" tableBorderDxfId="55" totalsRowBorderDxfId="54">
  <autoFilter ref="A162:A179"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57:B159" totalsRowShown="0" headerRowDxfId="52" dataDxfId="51">
  <autoFilter ref="A157:B159"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48:C154" totalsRowShown="0" headerRowDxfId="48" dataDxfId="47">
  <autoFilter ref="A148:C154"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144:B145" totalsRowShown="0" headerRowDxfId="43" dataDxfId="42">
  <autoFilter ref="A144:B145"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18:K141" totalsRowShown="0" headerRowDxfId="39" dataDxfId="37" headerRowBorderDxfId="38">
  <autoFilter ref="A118:K141"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2:M115" totalsRowShown="0" headerRowDxfId="25" dataDxfId="24">
  <autoFilter ref="A12:M115"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"|"&amp;"|"&amp;"|"&amp;E13</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9" totalsRowShown="0" headerRowDxfId="10" dataDxfId="8" headerRowBorderDxfId="9" tableBorderDxfId="7" totalsRowBorderDxfId="6">
  <autoFilter ref="A4:D9"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73006"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254</v>
      </c>
    </row>
    <row r="2" spans="1:2" ht="23.5" customHeight="1" x14ac:dyDescent="0.35">
      <c r="A2" s="112" t="s">
        <v>195</v>
      </c>
    </row>
    <row r="3" spans="1:2" ht="24" customHeight="1" x14ac:dyDescent="0.35">
      <c r="A3" s="7" t="s">
        <v>196</v>
      </c>
    </row>
    <row r="4" spans="1:2" ht="23.15" customHeight="1" x14ac:dyDescent="0.35">
      <c r="A4" s="7" t="s">
        <v>197</v>
      </c>
    </row>
    <row r="5" spans="1:2" ht="26.25" customHeight="1" x14ac:dyDescent="0.35">
      <c r="A5" s="7" t="s">
        <v>134</v>
      </c>
    </row>
    <row r="6" spans="1:2" ht="26.25" customHeight="1" x14ac:dyDescent="0.35">
      <c r="A6" s="7" t="s">
        <v>188</v>
      </c>
    </row>
    <row r="7" spans="1:2" ht="39.65" customHeight="1" x14ac:dyDescent="0.35">
      <c r="A7" s="7" t="s">
        <v>198</v>
      </c>
    </row>
    <row r="8" spans="1:2" ht="40.5" customHeight="1" x14ac:dyDescent="0.35">
      <c r="A8" s="7" t="s">
        <v>199</v>
      </c>
    </row>
    <row r="9" spans="1:2" ht="37.5" customHeight="1" x14ac:dyDescent="0.35">
      <c r="A9" s="8" t="s">
        <v>102</v>
      </c>
    </row>
    <row r="10" spans="1:2" ht="37.5" customHeight="1" x14ac:dyDescent="0.35">
      <c r="A10" s="9" t="s">
        <v>103</v>
      </c>
      <c r="B10" s="10" t="s">
        <v>104</v>
      </c>
    </row>
    <row r="11" spans="1:2" ht="20.149999999999999" customHeight="1" x14ac:dyDescent="0.35">
      <c r="A11" s="7" t="s">
        <v>200</v>
      </c>
      <c r="B11" s="11" t="s">
        <v>105</v>
      </c>
    </row>
    <row r="12" spans="1:2" ht="20.149999999999999" customHeight="1" x14ac:dyDescent="0.35">
      <c r="A12" s="7" t="s">
        <v>201</v>
      </c>
      <c r="B12" s="11" t="s">
        <v>106</v>
      </c>
    </row>
    <row r="13" spans="1:2" ht="20.149999999999999" customHeight="1" x14ac:dyDescent="0.35">
      <c r="A13" s="7" t="s">
        <v>202</v>
      </c>
      <c r="B13" s="11" t="s">
        <v>107</v>
      </c>
    </row>
    <row r="14" spans="1:2" ht="20.149999999999999" customHeight="1" x14ac:dyDescent="0.35">
      <c r="A14" s="7" t="s">
        <v>203</v>
      </c>
      <c r="B14" s="11" t="s">
        <v>118</v>
      </c>
    </row>
    <row r="15" spans="1:2" ht="20.149999999999999" customHeight="1" x14ac:dyDescent="0.35">
      <c r="A15" s="7" t="s">
        <v>204</v>
      </c>
      <c r="B15" s="11" t="s">
        <v>119</v>
      </c>
    </row>
    <row r="16" spans="1:2" ht="37.5" customHeight="1" x14ac:dyDescent="0.35">
      <c r="A16" s="8" t="s">
        <v>120</v>
      </c>
      <c r="B16" s="12"/>
    </row>
    <row r="17" spans="1:2" ht="20.25" customHeight="1" x14ac:dyDescent="0.35">
      <c r="A17" s="7" t="s">
        <v>205</v>
      </c>
      <c r="B17" s="12"/>
    </row>
    <row r="18" spans="1:2" ht="36.75" customHeight="1" x14ac:dyDescent="0.35">
      <c r="A18" s="7" t="s">
        <v>206</v>
      </c>
      <c r="B18" s="12"/>
    </row>
    <row r="19" spans="1:2" ht="36.75" customHeight="1" x14ac:dyDescent="0.35">
      <c r="A19" s="7" t="s">
        <v>193</v>
      </c>
      <c r="B19" s="12"/>
    </row>
    <row r="20" spans="1:2" ht="67.5" customHeight="1" x14ac:dyDescent="0.35">
      <c r="A20" s="7" t="s">
        <v>189</v>
      </c>
    </row>
    <row r="21" spans="1:2" ht="33" customHeight="1" x14ac:dyDescent="0.35">
      <c r="A21" s="7" t="s">
        <v>207</v>
      </c>
    </row>
    <row r="22" spans="1:2" ht="25.5" customHeight="1" x14ac:dyDescent="0.35">
      <c r="A22" s="11" t="s">
        <v>208</v>
      </c>
    </row>
    <row r="23" spans="1:2" ht="22.5" customHeight="1" x14ac:dyDescent="0.35">
      <c r="A23" s="7" t="s">
        <v>209</v>
      </c>
    </row>
    <row r="24" spans="1:2" ht="31" x14ac:dyDescent="0.35">
      <c r="A24" s="7" t="s">
        <v>244</v>
      </c>
    </row>
    <row r="25" spans="1:2" ht="37.5" customHeight="1" x14ac:dyDescent="0.35">
      <c r="A25" s="7" t="s">
        <v>246</v>
      </c>
    </row>
    <row r="26" spans="1:2" ht="54" customHeight="1" x14ac:dyDescent="0.35">
      <c r="A26" s="113" t="s">
        <v>210</v>
      </c>
    </row>
    <row r="27" spans="1:2" ht="38.5" customHeight="1" x14ac:dyDescent="0.35">
      <c r="A27" s="7" t="s">
        <v>245</v>
      </c>
    </row>
    <row r="28" spans="1:2" ht="37.5" customHeight="1" x14ac:dyDescent="0.35">
      <c r="A28" s="8" t="s">
        <v>142</v>
      </c>
    </row>
    <row r="29" spans="1:2" ht="22.5" customHeight="1" x14ac:dyDescent="0.35">
      <c r="A29" s="7" t="s">
        <v>211</v>
      </c>
    </row>
    <row r="30" spans="1:2" ht="50.25" customHeight="1" x14ac:dyDescent="0.35">
      <c r="A30" s="7" t="s">
        <v>212</v>
      </c>
    </row>
    <row r="31" spans="1:2" ht="51.75" customHeight="1" x14ac:dyDescent="0.35">
      <c r="A31" s="7" t="s">
        <v>213</v>
      </c>
    </row>
    <row r="32" spans="1:2" ht="161.5" customHeight="1" x14ac:dyDescent="0.35">
      <c r="A32" s="7" t="s">
        <v>214</v>
      </c>
    </row>
    <row r="33" spans="1:2" ht="53.15" customHeight="1" x14ac:dyDescent="0.35">
      <c r="A33" s="7" t="s">
        <v>215</v>
      </c>
    </row>
    <row r="34" spans="1:2" ht="43.5" customHeight="1" x14ac:dyDescent="0.35">
      <c r="A34" s="7" t="s">
        <v>216</v>
      </c>
    </row>
    <row r="35" spans="1:2" ht="40" customHeight="1" x14ac:dyDescent="0.35">
      <c r="A35" s="7" t="s">
        <v>217</v>
      </c>
    </row>
    <row r="36" spans="1:2" ht="156.65" customHeight="1" x14ac:dyDescent="0.35">
      <c r="A36" s="7" t="s">
        <v>218</v>
      </c>
    </row>
    <row r="37" spans="1:2" ht="37.5" customHeight="1" x14ac:dyDescent="0.35">
      <c r="A37" s="8" t="s">
        <v>141</v>
      </c>
    </row>
    <row r="38" spans="1:2" ht="79.5" customHeight="1" x14ac:dyDescent="0.35">
      <c r="A38" s="7" t="s">
        <v>129</v>
      </c>
    </row>
    <row r="39" spans="1:2" ht="72" customHeight="1" x14ac:dyDescent="0.35">
      <c r="A39" s="11" t="s">
        <v>219</v>
      </c>
    </row>
    <row r="40" spans="1:2" ht="29.15" customHeight="1" x14ac:dyDescent="0.35">
      <c r="A40" s="11" t="s">
        <v>220</v>
      </c>
    </row>
    <row r="41" spans="1:2" ht="37" customHeight="1" x14ac:dyDescent="0.35">
      <c r="A41" s="8" t="s">
        <v>124</v>
      </c>
    </row>
    <row r="42" spans="1:2" ht="37.5" customHeight="1" x14ac:dyDescent="0.35">
      <c r="A42" s="9" t="s">
        <v>127</v>
      </c>
      <c r="B42" s="13"/>
    </row>
    <row r="43" spans="1:2" ht="41.5" customHeight="1" x14ac:dyDescent="0.35">
      <c r="A43" s="113" t="s">
        <v>221</v>
      </c>
      <c r="B43" s="14"/>
    </row>
    <row r="44" spans="1:2" ht="27" customHeight="1" x14ac:dyDescent="0.35">
      <c r="A44" s="113" t="s">
        <v>190</v>
      </c>
      <c r="B44" s="14"/>
    </row>
    <row r="45" spans="1:2" ht="42.65" customHeight="1" x14ac:dyDescent="0.35">
      <c r="A45" s="11" t="s">
        <v>255</v>
      </c>
      <c r="B45" s="14"/>
    </row>
    <row r="46" spans="1:2" ht="41.5" customHeight="1" x14ac:dyDescent="0.35">
      <c r="A46" s="114" t="s">
        <v>222</v>
      </c>
      <c r="B46" s="14"/>
    </row>
    <row r="47" spans="1:2" ht="37" customHeight="1" x14ac:dyDescent="0.35">
      <c r="A47" s="8" t="s">
        <v>140</v>
      </c>
    </row>
    <row r="48" spans="1:2" ht="56.5" customHeight="1" x14ac:dyDescent="0.35">
      <c r="A48" s="7" t="s">
        <v>223</v>
      </c>
    </row>
    <row r="49" spans="1:1" ht="208" customHeight="1" x14ac:dyDescent="0.35">
      <c r="A49" s="7" t="s">
        <v>224</v>
      </c>
    </row>
    <row r="50" spans="1:1" ht="29.15" customHeight="1" x14ac:dyDescent="0.35">
      <c r="A50" s="16" t="s">
        <v>228</v>
      </c>
    </row>
    <row r="51" spans="1:1" ht="35.5" customHeight="1" x14ac:dyDescent="0.35">
      <c r="A51" s="8" t="s">
        <v>191</v>
      </c>
    </row>
    <row r="52" spans="1:1" ht="36.75" customHeight="1" x14ac:dyDescent="0.35">
      <c r="A52" s="7" t="s">
        <v>143</v>
      </c>
    </row>
    <row r="53" spans="1:1" ht="195.65" customHeight="1" x14ac:dyDescent="0.35">
      <c r="A53" s="7" t="s">
        <v>225</v>
      </c>
    </row>
    <row r="54" spans="1:1" ht="37.5" customHeight="1" x14ac:dyDescent="0.35">
      <c r="A54" s="8" t="s">
        <v>116</v>
      </c>
    </row>
    <row r="55" spans="1:1" ht="25.5" customHeight="1" x14ac:dyDescent="0.35">
      <c r="A55" s="7" t="s">
        <v>226</v>
      </c>
    </row>
    <row r="56" spans="1:1" ht="23.25" customHeight="1" x14ac:dyDescent="0.35">
      <c r="A56" s="7" t="s">
        <v>192</v>
      </c>
    </row>
    <row r="57" spans="1:1" ht="39" customHeight="1" x14ac:dyDescent="0.35">
      <c r="A57" s="7" t="s">
        <v>227</v>
      </c>
    </row>
    <row r="68" spans="1:1" x14ac:dyDescent="0.35">
      <c r="A68" s="15"/>
    </row>
  </sheetData>
  <sheetProtection algorithmName="SHA-512" hashValue="M+xZdbyVnOwm4jtUaxbiyb/ucbmp9cdBIK07YoNfgWCkHUV7ntPviK3eBRcT6NziYo639D3VZG5nKDJEMD794w==" saltValue="GonKar3TyvReZBArvPLI5w=="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D84F640A-6AB3-4481-86BF-843F3A2018A1}"/>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105</v>
      </c>
    </row>
    <row r="2" spans="1:5" ht="409.5" customHeight="1" x14ac:dyDescent="0.35">
      <c r="A2" s="124" t="s">
        <v>251</v>
      </c>
    </row>
    <row r="3" spans="1:5" ht="51.65" customHeight="1" x14ac:dyDescent="0.35">
      <c r="A3" s="8" t="s">
        <v>111</v>
      </c>
      <c r="B3" s="15"/>
      <c r="C3" s="6"/>
    </row>
    <row r="4" spans="1:5" ht="46.5" x14ac:dyDescent="0.35">
      <c r="A4" s="1" t="s">
        <v>128</v>
      </c>
      <c r="B4" s="2" t="s">
        <v>229</v>
      </c>
      <c r="C4" s="2" t="s">
        <v>230</v>
      </c>
    </row>
    <row r="5" spans="1:5" ht="24.65" customHeight="1" x14ac:dyDescent="0.35">
      <c r="A5" s="18" t="s">
        <v>110</v>
      </c>
      <c r="B5" s="29"/>
      <c r="C5" s="19"/>
    </row>
    <row r="6" spans="1:5" ht="24.65" customHeight="1" x14ac:dyDescent="0.35">
      <c r="A6" s="18" t="s">
        <v>194</v>
      </c>
      <c r="B6" s="30">
        <v>2.4</v>
      </c>
      <c r="C6" s="19"/>
    </row>
    <row r="7" spans="1:5" ht="24.65" customHeight="1" x14ac:dyDescent="0.35">
      <c r="A7" s="18" t="s">
        <v>108</v>
      </c>
      <c r="B7" s="31">
        <v>120</v>
      </c>
      <c r="C7" s="19"/>
    </row>
    <row r="8" spans="1:5" ht="24.65" customHeight="1" x14ac:dyDescent="0.35">
      <c r="A8" s="18" t="s">
        <v>240</v>
      </c>
      <c r="B8" s="31"/>
      <c r="C8" s="19"/>
    </row>
    <row r="9" spans="1:5" ht="39.65" customHeight="1" x14ac:dyDescent="0.35">
      <c r="A9" s="18" t="s">
        <v>0</v>
      </c>
      <c r="B9" s="31"/>
      <c r="C9" s="19"/>
    </row>
    <row r="10" spans="1:5" ht="24.65" customHeight="1" x14ac:dyDescent="0.35">
      <c r="A10" s="18" t="s">
        <v>146</v>
      </c>
      <c r="B10" s="117">
        <f>IFERROR(IF(OR(B9="Package Treatment Plant user defined",B9="Septic Tank user defined"),"Enter value in cell C10",IF(AND(B5&lt;DATE(2025,1,1)),VLOOKUP(B9,Value_look_up_tables!$A$5:$J$9,2,FALSE),IF(AND(B5&lt;DATE(2025,1,1)),VLOOKUP(B9,Value_look_up_tables!$A$5:$J$9,2,FALSE),IF(AND(B5&lt;DATE(2030,4,1),B5&gt;=DATE(2025,1,1)),VLOOKUP(B9,Value_look_up_tables!$A$5:$J$9,3,FALSE),IF(AND(B5&lt;DATE(2030,4,1),B5&gt;=DATE(2025,1,1)),IF(AND(B5&lt;DATE(2030,4,1)),VLOOKUP(B9,Value_look_up_tables!$A$5:$J$9,2,FALSE),IF(AND(B5&lt;DATE(2030,4,1)),VLOOKUP(B9,Value_look_up_tables!$A$5:$J$9,3,FALSE),IF(AND(B5&gt;=DATE(2030,4,1)),VLOOKUP(B9,Value_look_up_tables!$A$5:$J$9,4,FALSE),IF(AND(B5&gt;=DATE(2030,4,1)),VLOOKUP(B9,Value_look_up_tables!$A$5:$J$9,4,FALSE),0)))),VLOOKUP(B9,Value_look_up_tables!$A$5:$J$9,4,FALSE)))))),0)</f>
        <v>0</v>
      </c>
      <c r="C10" s="131"/>
    </row>
    <row r="11" spans="1:5" ht="24.65" customHeight="1" x14ac:dyDescent="0.35">
      <c r="A11" s="18" t="str">
        <f>IFERROR(IF(AND($B$5&lt;DATE(2025,1,1),(VLOOKUP($B$9,Value_look_up_tables!$A$5:$E$7,2,FALSE))&gt;(VLOOKUP($B$9,Value_look_up_tables!$A$5:$E$7,3,FALSE))), "Post 2025 WwTW P permit (mg TP/litre):","Not applicable"),"Not applicable")</f>
        <v>Not applicable</v>
      </c>
      <c r="B11" s="20" t="str">
        <f>IFERROR(IF(AND($B$5&lt;DATE(2025,1,1),(VLOOKUP($B$9,Value_look_up_tables!$A$5:$J$7,2,FALSE))&gt;(VLOOKUP($B$9,Value_look_up_tables!$A$5:$J$7,3,FALSE))),VLOOKUP(B9,Value_look_up_tables!$A$5:$J$10,3,FALSE),"Not applicable"),"Not applicable")</f>
        <v>Not applicable</v>
      </c>
      <c r="C11" s="19"/>
    </row>
    <row r="12" spans="1:5" ht="24.65" customHeight="1" x14ac:dyDescent="0.35">
      <c r="A12" s="21" t="str">
        <f>IFERROR(IF(AND($B$5&lt;DATE(2030,4,1),(VLOOKUP($B$9,Value_look_up_tables!$A$5:$J$7,3,FALSE))&gt;(VLOOKUP($B$9,Value_look_up_tables!$A$5:$J$7,4,FALSE))), "Post 2030 WwTW P permit (mg TP/litre):","Not applicable"),"Not applicable")</f>
        <v>Not applicable</v>
      </c>
      <c r="B12" s="22" t="str">
        <f>IFERROR(IF(AND($B$5&lt;DATE(2030,4,1),(VLOOKUP($B$9,Value_look_up_tables!$A$5:$J$7,3,FALSE))&gt;(VLOOKUP($B$9,Value_look_up_tables!$A$5:$J$7,4,FALSE))), VLOOKUP(B9,Value_look_up_tables!$A$5:$J$10,4,FALSE),"Not applicable"),"Not applicable")</f>
        <v>Not applicable</v>
      </c>
      <c r="C12" s="23"/>
      <c r="E12" s="17" t="s">
        <v>153</v>
      </c>
    </row>
    <row r="13" spans="1:5" ht="37.5" customHeight="1" x14ac:dyDescent="0.35">
      <c r="A13" s="8" t="s">
        <v>112</v>
      </c>
      <c r="B13" s="6"/>
    </row>
    <row r="14" spans="1:5" ht="21" customHeight="1" x14ac:dyDescent="0.35">
      <c r="A14" s="32" t="s">
        <v>125</v>
      </c>
      <c r="B14" s="2" t="s">
        <v>126</v>
      </c>
      <c r="C14" s="24"/>
    </row>
    <row r="15" spans="1:5" ht="28.5" customHeight="1" x14ac:dyDescent="0.35">
      <c r="A15" s="33" t="str">
        <f>IFERROR(IF(AND($B$5&lt;DATE(2030,4,1),OR((VLOOKUP($B$9,Value_look_up_tables!$A$5:$J$7,3,FALSE))&gt;(VLOOKUP($B$9,Value_look_up_tables!$A$5:$J$7,4,FALSE)))),"Post-2030 wastewater nutrient Loading",IF(AND($B$5&lt;DATE(2025,1,1),OR((VLOOKUP($B$9,Value_look_up_tables!$A$5:$E$7,2,FALSE))&gt;(VLOOKUP($B$9,Value_look_up_tables!$A$5:$E$7,3,FALSE)))),"Post-2025 wastewater nutrient Loading","Wastewater nutrient loading")),IF(B10="Enter value in cell C10","Wastewater nutrient loading","Wastewater nutrient loading"))</f>
        <v>Wastewater nutrient loading</v>
      </c>
      <c r="B15" s="116"/>
    </row>
    <row r="16" spans="1:5" ht="23.25" customHeight="1" x14ac:dyDescent="0.35">
      <c r="A16" s="25" t="s">
        <v>121</v>
      </c>
      <c r="B16" s="115">
        <f>IF(ISBLANK(B8),0,B6*B8)</f>
        <v>0</v>
      </c>
    </row>
    <row r="17" spans="1:2" ht="23.25" customHeight="1" x14ac:dyDescent="0.35">
      <c r="A17" s="26" t="s">
        <v>122</v>
      </c>
      <c r="B17" s="42">
        <f>IFERROR(B16*B7,0)</f>
        <v>0</v>
      </c>
    </row>
    <row r="18" spans="1:2" ht="23.25" customHeight="1" x14ac:dyDescent="0.35">
      <c r="A18" s="26" t="s">
        <v>123</v>
      </c>
      <c r="B18" s="42">
        <f>IFERROR(ROUND(IF(ISNUMBER(B12),B12*B17*0.9/1000000*365.25,IF(ISNUMBER(B11),B11*B17*0.9/1000000*365.25,IF(B10="Enter value in cell C10",IF(AND(B10="Enter value in cell C10",ISNUMBER(C10)),B17*(IF(C10&lt;0,0,C10))/1000000*365.25, VLOOKUP((LEFT(B9,(LEN(B9)-13))&amp;" default"),Value_look_up_tables!$A$6:$C$7,3,FALSE)*B17/1000000*365.25),IF(OR(B9="Package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IFERROR(IF(AND($B$5&lt;DATE(2030,4,1),OR((VLOOKUP($B$9,Value_look_up_tables!$A$5:$J$7,3,FALSE))&gt;(VLOOKUP($B$9,Value_look_up_tables!$A$5:$J$7,4,FALSE)))),"Pre-2030 wastewater nutrient loading",IF(AND($B$5&lt;DATE(2025,1,1),OR((VLOOKUP($B$9,Value_look_up_tables!$A$5:$E$7,2,FALSE))&gt;(VLOOKUP($B$9,Value_look_up_tables!$A$5:$E$7,3,FALSE)))),IF(B18=B20,A15,"Pre-2025 wastewater nutrient loading"),"Not applicable")),"Not applicable")</f>
        <v>Not applicable</v>
      </c>
      <c r="B19" s="35"/>
    </row>
    <row r="20" spans="1:2" ht="23.25" customHeight="1" x14ac:dyDescent="0.35">
      <c r="A20" s="25" t="str">
        <f>IFERROR(IF(AND($B$5&lt;DATE(2030,4,1),OR((VLOOKUP($B$9,Value_look_up_tables!$A$5:$J$7,3,FALSE))&gt;(VLOOKUP($B$9,Value_look_up_tables!$A$5:$J$7,4,FALSE)),(VLOOKUP($B$9,Value_look_up_tables!$A$5:$J$7,2,FALSE))&gt;(VLOOKUP($B$9,Value_look_up_tables!$A$5:$J$7,4,FALSE)))),"Annual wastewater TP load (kg TP/yr):","Not applicable"),"Not applicable")</f>
        <v>Not applicable</v>
      </c>
      <c r="B20" s="28" t="str">
        <f>IFERROR(ROUND(IF(AND($B$5&lt;DATE(2030,4,1),OR((VLOOKUP($B$9,Value_look_up_tables!$A$5:$J$7,3,FALSE))&gt;(VLOOKUP($B$9,Value_look_up_tables!$A$5:$J$7,4,FALSE)),(VLOOKUP($B$9,Value_look_up_tables!$A$5:$J$7,2,FALSE))&gt;(VLOOKUP($B$9,Value_look_up_tables!$A$5:$J$7,4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IFERROR(IF(AND($B$5&lt;DATE(2025,1,1),$B$5&lt;DATE(2030,4,1),OR((VLOOKUP($B$9,Value_look_up_tables!$A$5:$J$7,3,FALSE))&gt;(VLOOKUP($B$9,Value_look_up_tables!$A$5:$J$7,4,FALSE)))),IF(AND(B22="Not applicable"),"Not applicable","Pre-2025 wastewater nutrient loading"),IF(AND($B$5&lt;DATE(2025,1,1),OR((VLOOKUP($B$9,Value_look_up_tables!$A$5:$E$7,2,FALSE))&gt;(VLOOKUP($B$9,Value_look_up_tables!$A$5:$E$7,3,FALSE)))),IF(LEFT(A19,9)="Post-2025","Pre-2025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IFERROR(IF(AND($B$5&lt;DATE(2025,1,1),OR((VLOOKUP($B$9,Value_look_up_tables!$A$5:$E$7,2,FALSE))&gt;(VLOOKUP($B$9,Value_look_up_tables!$A$5:$E$7,3,FALSE)),(VLOOKUP($B$9,Value_look_up_tables!$A$5:$E$7,2,FALSE))&gt;(VLOOKUP($B$9,Value_look_up_tables!$A$5:$E$7,3,FALSE)))),"Annual wastewater TP load (kg TP/yr):","Not applicable"),"Not applicable")</f>
        <v>Not applicable</v>
      </c>
      <c r="B22" s="27" t="str">
        <f>IFERROR(ROUND(IF(AND($B$5&lt;DATE(2025,1,1),$B$5&lt;DATE(2030,4,1),OR((VLOOKUP($B$9,Value_look_up_tables!$A$5:$J$7,3,FALSE))&gt;(VLOOKUP($B$9,Value_look_up_tables!$A$5:$J$7,4,FALSE)),(VLOOKUP($B$9,Value_look_up_tables!$A$5:$J$7,2,FALSE))&gt;(VLOOKUP($B$9,Value_look_up_tables!$A$5:$J$7,3,FALSE)))),IF(ISNUMBER(B11),IF(B10=8,(B10*B$17)/1000000*365.25,(B10*B$17*0.9)/1000000*365.25),IF(B11=8,(B11*B$17)/1000000*365.25,(B11*B$17*0.9)/1000000*365.25)),"Not applicable"),2),"Not applicable")</f>
        <v>Not applicable</v>
      </c>
    </row>
  </sheetData>
  <sheetProtection algorithmName="SHA-512" hashValue="7h9zfXgAUH1loS9qkkiIJTurZ/AZICAXpYZBTscIF+9B1E9F/zXsK8NrAbTODyLtnUyFB9z9Tv27KXR3KMQWNQ==" saltValue="Y1Pw9+yoN3/ISiVx2jLI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106</v>
      </c>
      <c r="B1" s="36"/>
      <c r="C1" s="36"/>
      <c r="D1" s="36"/>
    </row>
    <row r="2" spans="1:6" ht="409.5" customHeight="1" x14ac:dyDescent="0.35">
      <c r="A2" s="7" t="s">
        <v>249</v>
      </c>
      <c r="B2" s="36"/>
      <c r="C2" s="36"/>
      <c r="D2" s="36"/>
      <c r="E2" s="15"/>
      <c r="F2" s="6"/>
    </row>
    <row r="3" spans="1:6" ht="37.5" customHeight="1" x14ac:dyDescent="0.35">
      <c r="A3" s="8" t="s">
        <v>113</v>
      </c>
      <c r="B3" s="38"/>
      <c r="C3" s="38"/>
      <c r="E3" s="6"/>
      <c r="F3" s="6"/>
    </row>
    <row r="4" spans="1:6" ht="38.65" customHeight="1" x14ac:dyDescent="0.35">
      <c r="A4" s="4" t="s">
        <v>128</v>
      </c>
      <c r="B4" s="85" t="s">
        <v>229</v>
      </c>
      <c r="C4" s="38"/>
      <c r="E4" s="6"/>
      <c r="F4" s="6"/>
    </row>
    <row r="5" spans="1:6" ht="29.65" customHeight="1" x14ac:dyDescent="0.35">
      <c r="A5" s="18" t="s">
        <v>243</v>
      </c>
      <c r="B5" s="44"/>
      <c r="C5" s="6"/>
      <c r="D5" s="6"/>
      <c r="E5" s="6"/>
      <c r="F5" s="39"/>
    </row>
    <row r="6" spans="1:6" ht="29.65" customHeight="1" x14ac:dyDescent="0.35">
      <c r="A6" s="18" t="s">
        <v>2</v>
      </c>
      <c r="B6" s="45"/>
      <c r="C6" s="6"/>
      <c r="D6" s="6"/>
      <c r="E6" s="6"/>
      <c r="F6" s="6"/>
    </row>
    <row r="7" spans="1:6" ht="29.65" customHeight="1" x14ac:dyDescent="0.35">
      <c r="A7" s="18" t="s">
        <v>109</v>
      </c>
      <c r="B7" s="46"/>
      <c r="C7" s="6"/>
      <c r="D7" s="6"/>
      <c r="E7" s="6"/>
      <c r="F7" s="6"/>
    </row>
    <row r="8" spans="1:6" ht="29.65" customHeight="1" x14ac:dyDescent="0.35">
      <c r="A8" s="21" t="s">
        <v>242</v>
      </c>
      <c r="B8" s="47"/>
      <c r="C8" s="6"/>
      <c r="D8" s="6"/>
      <c r="E8" s="6"/>
      <c r="F8" s="6"/>
    </row>
    <row r="9" spans="1:6" ht="48" customHeight="1" x14ac:dyDescent="0.35">
      <c r="A9" s="8" t="s">
        <v>135</v>
      </c>
      <c r="B9" s="40"/>
      <c r="C9" s="6"/>
      <c r="D9" s="6"/>
      <c r="E9" s="6"/>
      <c r="F9" s="6"/>
    </row>
    <row r="10" spans="1:6" ht="66" customHeight="1" x14ac:dyDescent="0.35">
      <c r="A10" s="1" t="s">
        <v>231</v>
      </c>
      <c r="B10" s="2" t="s">
        <v>232</v>
      </c>
      <c r="C10" s="2" t="s">
        <v>164</v>
      </c>
      <c r="D10" s="2" t="s">
        <v>130</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$145:$B$145,2,FALSE)&amp;"|"&amp;$A11&amp;"|"&amp;VLOOKUP(Nutrients_from_current_land_use!$B$8,Value_look_up_tables!$A$158:$B$159,2,FALSE)&amp;"|"&amp;VLOOKUP(Nutrients_from_current_land_use!$B$7,Value_look_up_tables!$A$119:$C$141,3,FALSE)&amp;"|"&amp;VLOOKUP($B$6,Value_look_up_tables!$A$149:$B$154,2,FALSE)))),Value_look_up_tables!$F$13:$H$115,3,FALSE),
IFERROR(IFERROR($B11*VLOOKUP($A11&amp;"|"&amp;VLOOKUP(Nutrients_from_current_land_use!$B$8,Value_look_up_tables!$A$158:$B$159,2,FALSE)&amp;"|"&amp;VLOOKUP(Nutrients_from_current_land_use!$B$7,Value_look_up_tables!$A$119:$C$141,3,FALSE)&amp;"|"&amp;VLOOKUP($B$6,Value_look_up_tables!$A$149:$B$154,2,FALSE),Value_look_up_tables!$F$13:$H$115,3,FALSE),IFERROR($B11*VLOOKUP($A11&amp;"|"&amp;"TRUE"&amp;"|"&amp;VLOOKUP(Nutrients_from_current_land_use!$B$7,Value_look_up_tables!$A$119:$C$141,3,FALSE)&amp;"|"&amp;VLOOKUP($B$6,Value_look_up_tables!$A$149:$B$154,2,FALSE),Value_look_up_tables!$F$13:$H$115,3,FALSE),$B11*VLOOKUP($A11&amp;"|"&amp;VLOOKUP(Nutrients_from_current_land_use!$B$8,Value_look_up_tables!$A$158:$B$159,2,FALSE)&amp;"|"&amp;VLOOKUP(Nutrients_from_current_land_use!$B$7,Value_look_up_tables!$A$119:$C$141,3,FALSE)&amp;"|"&amp;"DrainedArGr",Value_look_up_tables!$F$13:$H$115,3,FALSE))),IFERROR($B11*VLOOKUP($A11&amp;"|"&amp;VLOOKUP(Nutrients_from_current_land_use!$B$7,Value_look_up_tables!$A$119:$C$141,3,FALSE),Value_look_up_tables!$I$13:$K$107,3,FALSE),$B11*VLOOKUP($A11,Value_look_up_tables!$B$13:$M$107,12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$145:$B$145,2,FALSE)&amp;"|"&amp;$A11&amp;"|"&amp;VLOOKUP(Nutrients_from_current_land_use!$B$8,Value_look_up_tables!$A$158:$B$159,2,FALSE)&amp;"|"&amp;VLOOKUP(Nutrients_from_current_land_use!$B$7,Value_look_up_tables!$A$119:$C$141,3,FALSE)&amp;"|"&amp;VLOOKUP($B$6,Value_look_up_tables!$A$149:$B$154,2,FALSE)))),Value_look_up_tables!$F$13:$H$115,3,FALSE),
IFERROR($B11*VLOOKUP($A11&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$145:$B$145,2,FALSE)&amp;"|"&amp;$A12&amp;"|"&amp;VLOOKUP(Nutrients_from_current_land_use!$B$8,Value_look_up_tables!$A$158:$B$159,2,FALSE)&amp;"|"&amp;VLOOKUP(Nutrients_from_current_land_use!$B$7,Value_look_up_tables!$A$119:$C$141,3,FALSE)&amp;"|"&amp;VLOOKUP($B$6,Value_look_up_tables!$A$149:$B$154,2,FALSE)))),Value_look_up_tables!$F$13:$H$115,3,FALSE),
IFERROR(IFERROR($B12*VLOOKUP($A12&amp;"|"&amp;VLOOKUP(Nutrients_from_current_land_use!$B$8,Value_look_up_tables!$A$158:$B$159,2,FALSE)&amp;"|"&amp;VLOOKUP(Nutrients_from_current_land_use!$B$7,Value_look_up_tables!$A$119:$C$141,3,FALSE)&amp;"|"&amp;VLOOKUP($B$6,Value_look_up_tables!$A$149:$B$154,2,FALSE),Value_look_up_tables!$F$13:$H$115,3,FALSE),IFERROR($B12*VLOOKUP($A12&amp;"|"&amp;"TRUE"&amp;"|"&amp;VLOOKUP(Nutrients_from_current_land_use!$B$7,Value_look_up_tables!$A$119:$C$141,3,FALSE)&amp;"|"&amp;VLOOKUP($B$6,Value_look_up_tables!$A$149:$B$154,2,FALSE),Value_look_up_tables!$F$13:$H$115,3,FALSE),$B12*VLOOKUP($A12&amp;"|"&amp;VLOOKUP(Nutrients_from_current_land_use!$B$8,Value_look_up_tables!$A$158:$B$159,2,FALSE)&amp;"|"&amp;VLOOKUP(Nutrients_from_current_land_use!$B$7,Value_look_up_tables!$A$119:$C$141,3,FALSE)&amp;"|"&amp;"DrainedArGr",Value_look_up_tables!$F$13:$H$115,3,FALSE))),IFERROR($B12*VLOOKUP($A12&amp;"|"&amp;VLOOKUP(Nutrients_from_current_land_use!$B$7,Value_look_up_tables!$A$119:$C$141,3,FALSE),Value_look_up_tables!$I$13:$K$107,3,FALSE),$B12*VLOOKUP($A12,Value_look_up_tables!$B$13:$M$107,12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$145:$B$145,2,FALSE)&amp;"|"&amp;$A12&amp;"|"&amp;VLOOKUP(Nutrients_from_current_land_use!$B$8,Value_look_up_tables!$A$158:$B$159,2,FALSE)&amp;"|"&amp;VLOOKUP(Nutrients_from_current_land_use!$B$7,Value_look_up_tables!$A$119:$C$141,3,FALSE)&amp;"|"&amp;VLOOKUP($B$6,Value_look_up_tables!$A$149:$B$154,2,FALSE)))),Value_look_up_tables!$F$13:$H$115,3,FALSE),
IFERROR($B12*VLOOKUP($A12&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$145:$B$145,2,FALSE)&amp;"|"&amp;$A13&amp;"|"&amp;VLOOKUP(Nutrients_from_current_land_use!$B$8,Value_look_up_tables!$A$158:$B$159,2,FALSE)&amp;"|"&amp;VLOOKUP(Nutrients_from_current_land_use!$B$7,Value_look_up_tables!$A$119:$C$141,3,FALSE)&amp;"|"&amp;VLOOKUP($B$6,Value_look_up_tables!$A$149:$B$154,2,FALSE)))),Value_look_up_tables!$F$13:$H$115,3,FALSE),
IFERROR(IFERROR($B13*VLOOKUP($A13&amp;"|"&amp;VLOOKUP(Nutrients_from_current_land_use!$B$8,Value_look_up_tables!$A$158:$B$159,2,FALSE)&amp;"|"&amp;VLOOKUP(Nutrients_from_current_land_use!$B$7,Value_look_up_tables!$A$119:$C$141,3,FALSE)&amp;"|"&amp;VLOOKUP($B$6,Value_look_up_tables!$A$149:$B$154,2,FALSE),Value_look_up_tables!$F$13:$H$115,3,FALSE),IFERROR($B13*VLOOKUP($A13&amp;"|"&amp;"TRUE"&amp;"|"&amp;VLOOKUP(Nutrients_from_current_land_use!$B$7,Value_look_up_tables!$A$119:$C$141,3,FALSE)&amp;"|"&amp;VLOOKUP($B$6,Value_look_up_tables!$A$149:$B$154,2,FALSE),Value_look_up_tables!$F$13:$H$115,3,FALSE),$B13*VLOOKUP($A13&amp;"|"&amp;VLOOKUP(Nutrients_from_current_land_use!$B$8,Value_look_up_tables!$A$158:$B$159,2,FALSE)&amp;"|"&amp;VLOOKUP(Nutrients_from_current_land_use!$B$7,Value_look_up_tables!$A$119:$C$141,3,FALSE)&amp;"|"&amp;"DrainedArGr",Value_look_up_tables!$F$13:$H$115,3,FALSE))),IFERROR($B13*VLOOKUP($A13&amp;"|"&amp;VLOOKUP(Nutrients_from_current_land_use!$B$7,Value_look_up_tables!$A$119:$C$141,3,FALSE),Value_look_up_tables!$I$13:$K$107,3,FALSE),$B13*VLOOKUP($A13,Value_look_up_tables!$B$13:$M$107,12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$145:$B$145,2,FALSE)&amp;"|"&amp;$A13&amp;"|"&amp;VLOOKUP(Nutrients_from_current_land_use!$B$8,Value_look_up_tables!$A$158:$B$159,2,FALSE)&amp;"|"&amp;VLOOKUP(Nutrients_from_current_land_use!$B$7,Value_look_up_tables!$A$119:$C$141,3,FALSE)&amp;"|"&amp;VLOOKUP($B$6,Value_look_up_tables!$A$149:$B$154,2,FALSE)))),Value_look_up_tables!$F$13:$H$115,3,FALSE),
IFERROR($B13*VLOOKUP($A13&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$145:$B$145,2,FALSE)&amp;"|"&amp;$A14&amp;"|"&amp;VLOOKUP(Nutrients_from_current_land_use!$B$8,Value_look_up_tables!$A$158:$B$159,2,FALSE)&amp;"|"&amp;VLOOKUP(Nutrients_from_current_land_use!$B$7,Value_look_up_tables!$A$119:$C$141,3,FALSE)&amp;"|"&amp;VLOOKUP($B$6,Value_look_up_tables!$A$149:$B$154,2,FALSE)))),Value_look_up_tables!$F$13:$H$115,3,FALSE),
IFERROR(IFERROR($B14*VLOOKUP($A14&amp;"|"&amp;VLOOKUP(Nutrients_from_current_land_use!$B$8,Value_look_up_tables!$A$158:$B$159,2,FALSE)&amp;"|"&amp;VLOOKUP(Nutrients_from_current_land_use!$B$7,Value_look_up_tables!$A$119:$C$141,3,FALSE)&amp;"|"&amp;VLOOKUP($B$6,Value_look_up_tables!$A$149:$B$154,2,FALSE),Value_look_up_tables!$F$13:$H$115,3,FALSE),IFERROR($B14*VLOOKUP($A14&amp;"|"&amp;"TRUE"&amp;"|"&amp;VLOOKUP(Nutrients_from_current_land_use!$B$7,Value_look_up_tables!$A$119:$C$141,3,FALSE)&amp;"|"&amp;VLOOKUP($B$6,Value_look_up_tables!$A$149:$B$154,2,FALSE),Value_look_up_tables!$F$13:$H$115,3,FALSE),$B14*VLOOKUP($A14&amp;"|"&amp;VLOOKUP(Nutrients_from_current_land_use!$B$8,Value_look_up_tables!$A$158:$B$159,2,FALSE)&amp;"|"&amp;VLOOKUP(Nutrients_from_current_land_use!$B$7,Value_look_up_tables!$A$119:$C$141,3,FALSE)&amp;"|"&amp;"DrainedArGr",Value_look_up_tables!$F$13:$H$115,3,FALSE))),IFERROR($B14*VLOOKUP($A14&amp;"|"&amp;VLOOKUP(Nutrients_from_current_land_use!$B$7,Value_look_up_tables!$A$119:$C$141,3,FALSE),Value_look_up_tables!$I$13:$K$107,3,FALSE),$B14*VLOOKUP($A14,Value_look_up_tables!$B$13:$M$107,12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$145:$B$145,2,FALSE)&amp;"|"&amp;$A14&amp;"|"&amp;VLOOKUP(Nutrients_from_current_land_use!$B$8,Value_look_up_tables!$A$158:$B$159,2,FALSE)&amp;"|"&amp;VLOOKUP(Nutrients_from_current_land_use!$B$7,Value_look_up_tables!$A$119:$C$141,3,FALSE)&amp;"|"&amp;VLOOKUP($B$6,Value_look_up_tables!$A$149:$B$154,2,FALSE)))),Value_look_up_tables!$F$13:$H$115,3,FALSE),
IFERROR($B14*VLOOKUP($A14&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$145:$B$145,2,FALSE)&amp;"|"&amp;$A15&amp;"|"&amp;VLOOKUP(Nutrients_from_current_land_use!$B$8,Value_look_up_tables!$A$158:$B$159,2,FALSE)&amp;"|"&amp;VLOOKUP(Nutrients_from_current_land_use!$B$7,Value_look_up_tables!$A$119:$C$141,3,FALSE)&amp;"|"&amp;VLOOKUP($B$6,Value_look_up_tables!$A$149:$B$154,2,FALSE)))),Value_look_up_tables!$F$13:$H$115,3,FALSE),
IFERROR(IFERROR($B15*VLOOKUP($A15&amp;"|"&amp;VLOOKUP(Nutrients_from_current_land_use!$B$8,Value_look_up_tables!$A$158:$B$159,2,FALSE)&amp;"|"&amp;VLOOKUP(Nutrients_from_current_land_use!$B$7,Value_look_up_tables!$A$119:$C$141,3,FALSE)&amp;"|"&amp;VLOOKUP($B$6,Value_look_up_tables!$A$149:$B$154,2,FALSE),Value_look_up_tables!$F$13:$H$115,3,FALSE),IFERROR($B15*VLOOKUP($A15&amp;"|"&amp;"TRUE"&amp;"|"&amp;VLOOKUP(Nutrients_from_current_land_use!$B$7,Value_look_up_tables!$A$119:$C$141,3,FALSE)&amp;"|"&amp;VLOOKUP($B$6,Value_look_up_tables!$A$149:$B$154,2,FALSE),Value_look_up_tables!$F$13:$H$115,3,FALSE),$B15*VLOOKUP($A15&amp;"|"&amp;VLOOKUP(Nutrients_from_current_land_use!$B$8,Value_look_up_tables!$A$158:$B$159,2,FALSE)&amp;"|"&amp;VLOOKUP(Nutrients_from_current_land_use!$B$7,Value_look_up_tables!$A$119:$C$141,3,FALSE)&amp;"|"&amp;"DrainedArGr",Value_look_up_tables!$F$13:$H$115,3,FALSE))),IFERROR($B15*VLOOKUP($A15&amp;"|"&amp;VLOOKUP(Nutrients_from_current_land_use!$B$7,Value_look_up_tables!$A$119:$C$141,3,FALSE),Value_look_up_tables!$I$13:$K$107,3,FALSE),$B15*VLOOKUP($A15,Value_look_up_tables!$B$13:$M$107,12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$145:$B$145,2,FALSE)&amp;"|"&amp;$A15&amp;"|"&amp;VLOOKUP(Nutrients_from_current_land_use!$B$8,Value_look_up_tables!$A$158:$B$159,2,FALSE)&amp;"|"&amp;VLOOKUP(Nutrients_from_current_land_use!$B$7,Value_look_up_tables!$A$119:$C$141,3,FALSE)&amp;"|"&amp;VLOOKUP($B$6,Value_look_up_tables!$A$149:$B$154,2,FALSE)))),Value_look_up_tables!$F$13:$H$115,3,FALSE),
IFERROR($B15*VLOOKUP($A15&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$145:$B$145,2,FALSE)&amp;"|"&amp;$A16&amp;"|"&amp;VLOOKUP(Nutrients_from_current_land_use!$B$8,Value_look_up_tables!$A$158:$B$159,2,FALSE)&amp;"|"&amp;VLOOKUP(Nutrients_from_current_land_use!$B$7,Value_look_up_tables!$A$119:$C$141,3,FALSE)&amp;"|"&amp;VLOOKUP($B$6,Value_look_up_tables!$A$149:$B$154,2,FALSE)))),Value_look_up_tables!$F$13:$H$115,3,FALSE),
IFERROR(IFERROR($B16*VLOOKUP($A16&amp;"|"&amp;VLOOKUP(Nutrients_from_current_land_use!$B$8,Value_look_up_tables!$A$158:$B$159,2,FALSE)&amp;"|"&amp;VLOOKUP(Nutrients_from_current_land_use!$B$7,Value_look_up_tables!$A$119:$C$141,3,FALSE)&amp;"|"&amp;VLOOKUP($B$6,Value_look_up_tables!$A$149:$B$154,2,FALSE),Value_look_up_tables!$F$13:$H$115,3,FALSE),IFERROR($B16*VLOOKUP($A16&amp;"|"&amp;"TRUE"&amp;"|"&amp;VLOOKUP(Nutrients_from_current_land_use!$B$7,Value_look_up_tables!$A$119:$C$141,3,FALSE)&amp;"|"&amp;VLOOKUP($B$6,Value_look_up_tables!$A$149:$B$154,2,FALSE),Value_look_up_tables!$F$13:$H$115,3,FALSE),$B16*VLOOKUP($A16&amp;"|"&amp;VLOOKUP(Nutrients_from_current_land_use!$B$8,Value_look_up_tables!$A$158:$B$159,2,FALSE)&amp;"|"&amp;VLOOKUP(Nutrients_from_current_land_use!$B$7,Value_look_up_tables!$A$119:$C$141,3,FALSE)&amp;"|"&amp;"DrainedArGr",Value_look_up_tables!$F$13:$H$115,3,FALSE))),IFERROR($B16*VLOOKUP($A16&amp;"|"&amp;VLOOKUP(Nutrients_from_current_land_use!$B$7,Value_look_up_tables!$A$119:$C$141,3,FALSE),Value_look_up_tables!$I$13:$K$107,3,FALSE),$B16*VLOOKUP($A16,Value_look_up_tables!$B$13:$M$107,12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$145:$B$145,2,FALSE)&amp;"|"&amp;$A16&amp;"|"&amp;VLOOKUP(Nutrients_from_current_land_use!$B$8,Value_look_up_tables!$A$158:$B$159,2,FALSE)&amp;"|"&amp;VLOOKUP(Nutrients_from_current_land_use!$B$7,Value_look_up_tables!$A$119:$C$141,3,FALSE)&amp;"|"&amp;VLOOKUP($B$6,Value_look_up_tables!$A$149:$B$154,2,FALSE)))),Value_look_up_tables!$F$13:$H$115,3,FALSE),
IFERROR($B16*VLOOKUP($A16&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$145:$B$145,2,FALSE)&amp;"|"&amp;$A17&amp;"|"&amp;VLOOKUP(Nutrients_from_current_land_use!$B$8,Value_look_up_tables!$A$158:$B$159,2,FALSE)&amp;"|"&amp;VLOOKUP(Nutrients_from_current_land_use!$B$7,Value_look_up_tables!$A$119:$C$141,3,FALSE)&amp;"|"&amp;VLOOKUP($B$6,Value_look_up_tables!$A$149:$B$154,2,FALSE)))),Value_look_up_tables!$F$13:$H$115,3,FALSE),
IFERROR(IFERROR($B17*VLOOKUP($A17&amp;"|"&amp;VLOOKUP(Nutrients_from_current_land_use!$B$8,Value_look_up_tables!$A$158:$B$159,2,FALSE)&amp;"|"&amp;VLOOKUP(Nutrients_from_current_land_use!$B$7,Value_look_up_tables!$A$119:$C$141,3,FALSE)&amp;"|"&amp;VLOOKUP($B$6,Value_look_up_tables!$A$149:$B$154,2,FALSE),Value_look_up_tables!$F$13:$H$115,3,FALSE),IFERROR($B17*VLOOKUP($A17&amp;"|"&amp;"TRUE"&amp;"|"&amp;VLOOKUP(Nutrients_from_current_land_use!$B$7,Value_look_up_tables!$A$119:$C$141,3,FALSE)&amp;"|"&amp;VLOOKUP($B$6,Value_look_up_tables!$A$149:$B$154,2,FALSE),Value_look_up_tables!$F$13:$H$115,3,FALSE),$B17*VLOOKUP($A17&amp;"|"&amp;VLOOKUP(Nutrients_from_current_land_use!$B$8,Value_look_up_tables!$A$158:$B$159,2,FALSE)&amp;"|"&amp;VLOOKUP(Nutrients_from_current_land_use!$B$7,Value_look_up_tables!$A$119:$C$141,3,FALSE)&amp;"|"&amp;"DrainedArGr",Value_look_up_tables!$F$13:$H$115,3,FALSE))),IFERROR($B17*VLOOKUP($A17&amp;"|"&amp;VLOOKUP(Nutrients_from_current_land_use!$B$7,Value_look_up_tables!$A$119:$C$141,3,FALSE),Value_look_up_tables!$I$13:$K$107,3,FALSE),$B17*VLOOKUP($A17,Value_look_up_tables!$B$13:$M$107,12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$145:$B$145,2,FALSE)&amp;"|"&amp;$A17&amp;"|"&amp;VLOOKUP(Nutrients_from_current_land_use!$B$8,Value_look_up_tables!$A$158:$B$159,2,FALSE)&amp;"|"&amp;VLOOKUP(Nutrients_from_current_land_use!$B$7,Value_look_up_tables!$A$119:$C$141,3,FALSE)&amp;"|"&amp;VLOOKUP($B$6,Value_look_up_tables!$A$149:$B$154,2,FALSE)))),Value_look_up_tables!$F$13:$H$115,3,FALSE),
IFERROR($B17*VLOOKUP($A17&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$145:$B$145,2,FALSE)&amp;"|"&amp;$A18&amp;"|"&amp;VLOOKUP(Nutrients_from_current_land_use!$B$8,Value_look_up_tables!$A$158:$B$159,2,FALSE)&amp;"|"&amp;VLOOKUP(Nutrients_from_current_land_use!$B$7,Value_look_up_tables!$A$119:$C$141,3,FALSE)&amp;"|"&amp;VLOOKUP($B$6,Value_look_up_tables!$A$149:$B$154,2,FALSE)))),Value_look_up_tables!$F$13:$H$115,3,FALSE),
IFERROR(IFERROR($B18*VLOOKUP($A18&amp;"|"&amp;VLOOKUP(Nutrients_from_current_land_use!$B$8,Value_look_up_tables!$A$158:$B$159,2,FALSE)&amp;"|"&amp;VLOOKUP(Nutrients_from_current_land_use!$B$7,Value_look_up_tables!$A$119:$C$141,3,FALSE)&amp;"|"&amp;VLOOKUP($B$6,Value_look_up_tables!$A$149:$B$154,2,FALSE),Value_look_up_tables!$F$13:$H$115,3,FALSE),IFERROR($B18*VLOOKUP($A18&amp;"|"&amp;"TRUE"&amp;"|"&amp;VLOOKUP(Nutrients_from_current_land_use!$B$7,Value_look_up_tables!$A$119:$C$141,3,FALSE)&amp;"|"&amp;VLOOKUP($B$6,Value_look_up_tables!$A$149:$B$154,2,FALSE),Value_look_up_tables!$F$13:$H$115,3,FALSE),$B18*VLOOKUP($A18&amp;"|"&amp;VLOOKUP(Nutrients_from_current_land_use!$B$8,Value_look_up_tables!$A$158:$B$159,2,FALSE)&amp;"|"&amp;VLOOKUP(Nutrients_from_current_land_use!$B$7,Value_look_up_tables!$A$119:$C$141,3,FALSE)&amp;"|"&amp;"DrainedArGr",Value_look_up_tables!$F$13:$H$115,3,FALSE))),IFERROR($B18*VLOOKUP($A18&amp;"|"&amp;VLOOKUP(Nutrients_from_current_land_use!$B$7,Value_look_up_tables!$A$119:$C$141,3,FALSE),Value_look_up_tables!$I$13:$K$107,3,FALSE),$B18*VLOOKUP($A18,Value_look_up_tables!$B$13:$M$107,12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$145:$B$145,2,FALSE)&amp;"|"&amp;$A18&amp;"|"&amp;VLOOKUP(Nutrients_from_current_land_use!$B$8,Value_look_up_tables!$A$158:$B$159,2,FALSE)&amp;"|"&amp;VLOOKUP(Nutrients_from_current_land_use!$B$7,Value_look_up_tables!$A$119:$C$141,3,FALSE)&amp;"|"&amp;VLOOKUP($B$6,Value_look_up_tables!$A$149:$B$154,2,FALSE)))),Value_look_up_tables!$F$13:$H$115,3,FALSE),
IFERROR($B18*VLOOKUP($A18&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$145:$B$145,2,FALSE)&amp;"|"&amp;$A19&amp;"|"&amp;VLOOKUP(Nutrients_from_current_land_use!$B$8,Value_look_up_tables!$A$158:$B$159,2,FALSE)&amp;"|"&amp;VLOOKUP(Nutrients_from_current_land_use!$B$7,Value_look_up_tables!$A$119:$C$141,3,FALSE)&amp;"|"&amp;VLOOKUP($B$6,Value_look_up_tables!$A$149:$B$154,2,FALSE)))),Value_look_up_tables!$F$13:$H$115,3,FALSE),
IFERROR(IFERROR($B19*VLOOKUP($A19&amp;"|"&amp;VLOOKUP(Nutrients_from_current_land_use!$B$8,Value_look_up_tables!$A$158:$B$159,2,FALSE)&amp;"|"&amp;VLOOKUP(Nutrients_from_current_land_use!$B$7,Value_look_up_tables!$A$119:$C$141,3,FALSE)&amp;"|"&amp;VLOOKUP($B$6,Value_look_up_tables!$A$149:$B$154,2,FALSE),Value_look_up_tables!$F$13:$H$115,3,FALSE),IFERROR($B19*VLOOKUP($A19&amp;"|"&amp;"TRUE"&amp;"|"&amp;VLOOKUP(Nutrients_from_current_land_use!$B$7,Value_look_up_tables!$A$119:$C$141,3,FALSE)&amp;"|"&amp;VLOOKUP($B$6,Value_look_up_tables!$A$149:$B$154,2,FALSE),Value_look_up_tables!$F$13:$H$115,3,FALSE),$B19*VLOOKUP($A19&amp;"|"&amp;VLOOKUP(Nutrients_from_current_land_use!$B$8,Value_look_up_tables!$A$158:$B$159,2,FALSE)&amp;"|"&amp;VLOOKUP(Nutrients_from_current_land_use!$B$7,Value_look_up_tables!$A$119:$C$141,3,FALSE)&amp;"|"&amp;"DrainedArGr",Value_look_up_tables!$F$13:$H$115,3,FALSE))),IFERROR($B19*VLOOKUP($A19&amp;"|"&amp;VLOOKUP(Nutrients_from_current_land_use!$B$7,Value_look_up_tables!$A$119:$C$141,3,FALSE),Value_look_up_tables!$I$13:$K$107,3,FALSE),$B19*VLOOKUP($A19,Value_look_up_tables!$B$13:$M$107,12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$145:$B$145,2,FALSE)&amp;"|"&amp;$A19&amp;"|"&amp;VLOOKUP(Nutrients_from_current_land_use!$B$8,Value_look_up_tables!$A$158:$B$159,2,FALSE)&amp;"|"&amp;VLOOKUP(Nutrients_from_current_land_use!$B$7,Value_look_up_tables!$A$119:$C$141,3,FALSE)&amp;"|"&amp;VLOOKUP($B$6,Value_look_up_tables!$A$149:$B$154,2,FALSE)))),Value_look_up_tables!$F$13:$H$115,3,FALSE),
IFERROR($B19*VLOOKUP($A19&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$145:$B$145,2,FALSE)&amp;"|"&amp;$A20&amp;"|"&amp;VLOOKUP(Nutrients_from_current_land_use!$B$8,Value_look_up_tables!$A$158:$B$159,2,FALSE)&amp;"|"&amp;VLOOKUP(Nutrients_from_current_land_use!$B$7,Value_look_up_tables!$A$119:$C$141,3,FALSE)&amp;"|"&amp;VLOOKUP($B$6,Value_look_up_tables!$A$149:$B$154,2,FALSE)))),Value_look_up_tables!$F$13:$H$115,3,FALSE),
IFERROR(IFERROR($B20*VLOOKUP($A20&amp;"|"&amp;VLOOKUP(Nutrients_from_current_land_use!$B$8,Value_look_up_tables!$A$158:$B$159,2,FALSE)&amp;"|"&amp;VLOOKUP(Nutrients_from_current_land_use!$B$7,Value_look_up_tables!$A$119:$C$141,3,FALSE)&amp;"|"&amp;VLOOKUP($B$6,Value_look_up_tables!$A$149:$B$154,2,FALSE),Value_look_up_tables!$F$13:$H$115,3,FALSE),IFERROR($B20*VLOOKUP($A20&amp;"|"&amp;"TRUE"&amp;"|"&amp;VLOOKUP(Nutrients_from_current_land_use!$B$7,Value_look_up_tables!$A$119:$C$141,3,FALSE)&amp;"|"&amp;VLOOKUP($B$6,Value_look_up_tables!$A$149:$B$154,2,FALSE),Value_look_up_tables!$F$13:$H$115,3,FALSE),$B20*VLOOKUP($A20&amp;"|"&amp;VLOOKUP(Nutrients_from_current_land_use!$B$8,Value_look_up_tables!$A$158:$B$159,2,FALSE)&amp;"|"&amp;VLOOKUP(Nutrients_from_current_land_use!$B$7,Value_look_up_tables!$A$119:$C$141,3,FALSE)&amp;"|"&amp;"DrainedArGr",Value_look_up_tables!$F$13:$H$115,3,FALSE))),IFERROR($B20*VLOOKUP($A20&amp;"|"&amp;VLOOKUP(Nutrients_from_current_land_use!$B$7,Value_look_up_tables!$A$119:$C$141,3,FALSE),Value_look_up_tables!$I$13:$K$107,3,FALSE),$B20*VLOOKUP($A20,Value_look_up_tables!$B$13:$M$107,12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$145:$B$145,2,FALSE)&amp;"|"&amp;$A20&amp;"|"&amp;VLOOKUP(Nutrients_from_current_land_use!$B$8,Value_look_up_tables!$A$158:$B$159,2,FALSE)&amp;"|"&amp;VLOOKUP(Nutrients_from_current_land_use!$B$7,Value_look_up_tables!$A$119:$C$141,3,FALSE)&amp;"|"&amp;VLOOKUP($B$6,Value_look_up_tables!$A$149:$B$154,2,FALSE)))),Value_look_up_tables!$F$13:$H$115,3,FALSE),
IFERROR($B20*VLOOKUP($A20&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$145:$B$145,2,FALSE)&amp;"|"&amp;$A21&amp;"|"&amp;VLOOKUP(Nutrients_from_current_land_use!$B$8,Value_look_up_tables!$A$158:$B$159,2,FALSE)&amp;"|"&amp;VLOOKUP(Nutrients_from_current_land_use!$B$7,Value_look_up_tables!$A$119:$C$141,3,FALSE)&amp;"|"&amp;VLOOKUP($B$6,Value_look_up_tables!$A$149:$B$154,2,FALSE)))),Value_look_up_tables!$F$13:$H$115,3,FALSE),
IFERROR(IFERROR($B21*VLOOKUP($A21&amp;"|"&amp;VLOOKUP(Nutrients_from_current_land_use!$B$8,Value_look_up_tables!$A$158:$B$159,2,FALSE)&amp;"|"&amp;VLOOKUP(Nutrients_from_current_land_use!$B$7,Value_look_up_tables!$A$119:$C$141,3,FALSE)&amp;"|"&amp;VLOOKUP($B$6,Value_look_up_tables!$A$149:$B$154,2,FALSE),Value_look_up_tables!$F$13:$H$115,3,FALSE),IFERROR($B21*VLOOKUP($A21&amp;"|"&amp;"TRUE"&amp;"|"&amp;VLOOKUP(Nutrients_from_current_land_use!$B$7,Value_look_up_tables!$A$119:$C$141,3,FALSE)&amp;"|"&amp;VLOOKUP($B$6,Value_look_up_tables!$A$149:$B$154,2,FALSE),Value_look_up_tables!$F$13:$H$115,3,FALSE),$B21*VLOOKUP($A21&amp;"|"&amp;VLOOKUP(Nutrients_from_current_land_use!$B$8,Value_look_up_tables!$A$158:$B$159,2,FALSE)&amp;"|"&amp;VLOOKUP(Nutrients_from_current_land_use!$B$7,Value_look_up_tables!$A$119:$C$141,3,FALSE)&amp;"|"&amp;"DrainedArGr",Value_look_up_tables!$F$13:$H$115,3,FALSE))),IFERROR($B21*VLOOKUP($A21&amp;"|"&amp;VLOOKUP(Nutrients_from_current_land_use!$B$7,Value_look_up_tables!$A$119:$C$141,3,FALSE),Value_look_up_tables!$I$13:$K$107,3,FALSE),$B21*VLOOKUP($A21,Value_look_up_tables!$B$13:$M$107,12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$145:$B$145,2,FALSE)&amp;"|"&amp;$A21&amp;"|"&amp;VLOOKUP(Nutrients_from_current_land_use!$B$8,Value_look_up_tables!$A$158:$B$159,2,FALSE)&amp;"|"&amp;VLOOKUP(Nutrients_from_current_land_use!$B$7,Value_look_up_tables!$A$119:$C$141,3,FALSE)&amp;"|"&amp;VLOOKUP($B$6,Value_look_up_tables!$A$149:$B$154,2,FALSE)))),Value_look_up_tables!$F$13:$H$115,3,FALSE),
IFERROR($B21*VLOOKUP($A21&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$145:$B$145,2,FALSE)&amp;"|"&amp;$A22&amp;"|"&amp;VLOOKUP(Nutrients_from_current_land_use!$B$8,Value_look_up_tables!$A$158:$B$159,2,FALSE)&amp;"|"&amp;VLOOKUP(Nutrients_from_current_land_use!$B$7,Value_look_up_tables!$A$119:$C$141,3,FALSE)&amp;"|"&amp;VLOOKUP($B$6,Value_look_up_tables!$A$149:$B$154,2,FALSE)))),Value_look_up_tables!$F$13:$H$115,3,FALSE),
IFERROR(IFERROR($B22*VLOOKUP($A22&amp;"|"&amp;VLOOKUP(Nutrients_from_current_land_use!$B$8,Value_look_up_tables!$A$158:$B$159,2,FALSE)&amp;"|"&amp;VLOOKUP(Nutrients_from_current_land_use!$B$7,Value_look_up_tables!$A$119:$C$141,3,FALSE)&amp;"|"&amp;VLOOKUP($B$6,Value_look_up_tables!$A$149:$B$154,2,FALSE),Value_look_up_tables!$F$13:$H$115,3,FALSE),IFERROR($B22*VLOOKUP($A22&amp;"|"&amp;"TRUE"&amp;"|"&amp;VLOOKUP(Nutrients_from_current_land_use!$B$7,Value_look_up_tables!$A$119:$C$141,3,FALSE)&amp;"|"&amp;VLOOKUP($B$6,Value_look_up_tables!$A$149:$B$154,2,FALSE),Value_look_up_tables!$F$13:$H$115,3,FALSE),$B22*VLOOKUP($A22&amp;"|"&amp;VLOOKUP(Nutrients_from_current_land_use!$B$8,Value_look_up_tables!$A$158:$B$159,2,FALSE)&amp;"|"&amp;VLOOKUP(Nutrients_from_current_land_use!$B$7,Value_look_up_tables!$A$119:$C$141,3,FALSE)&amp;"|"&amp;"DrainedArGr",Value_look_up_tables!$F$13:$H$115,3,FALSE))),IFERROR($B22*VLOOKUP($A22&amp;"|"&amp;VLOOKUP(Nutrients_from_current_land_use!$B$7,Value_look_up_tables!$A$119:$C$141,3,FALSE),Value_look_up_tables!$I$13:$K$107,3,FALSE),$B22*VLOOKUP($A22,Value_look_up_tables!$B$13:$M$107,12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$145:$B$145,2,FALSE)&amp;"|"&amp;$A22&amp;"|"&amp;VLOOKUP(Nutrients_from_current_land_use!$B$8,Value_look_up_tables!$A$158:$B$159,2,FALSE)&amp;"|"&amp;VLOOKUP(Nutrients_from_current_land_use!$B$7,Value_look_up_tables!$A$119:$C$141,3,FALSE)&amp;"|"&amp;VLOOKUP($B$6,Value_look_up_tables!$A$149:$B$154,2,FALSE)))),Value_look_up_tables!$F$13:$H$115,3,FALSE),
IFERROR($B22*VLOOKUP($A22&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$145:$B$145,2,FALSE)&amp;"|"&amp;$A23&amp;"|"&amp;VLOOKUP(Nutrients_from_current_land_use!$B$8,Value_look_up_tables!$A$158:$B$159,2,FALSE)&amp;"|"&amp;VLOOKUP(Nutrients_from_current_land_use!$B$7,Value_look_up_tables!$A$119:$C$141,3,FALSE)&amp;"|"&amp;VLOOKUP($B$6,Value_look_up_tables!$A$149:$B$154,2,FALSE)))),Value_look_up_tables!$F$13:$H$115,3,FALSE),
IFERROR(IFERROR($B23*VLOOKUP($A23&amp;"|"&amp;VLOOKUP(Nutrients_from_current_land_use!$B$8,Value_look_up_tables!$A$158:$B$159,2,FALSE)&amp;"|"&amp;VLOOKUP(Nutrients_from_current_land_use!$B$7,Value_look_up_tables!$A$119:$C$141,3,FALSE)&amp;"|"&amp;VLOOKUP($B$6,Value_look_up_tables!$A$149:$B$154,2,FALSE),Value_look_up_tables!$F$13:$H$115,3,FALSE),IFERROR($B23*VLOOKUP($A23&amp;"|"&amp;"TRUE"&amp;"|"&amp;VLOOKUP(Nutrients_from_current_land_use!$B$7,Value_look_up_tables!$A$119:$C$141,3,FALSE)&amp;"|"&amp;VLOOKUP($B$6,Value_look_up_tables!$A$149:$B$154,2,FALSE),Value_look_up_tables!$F$13:$H$115,3,FALSE),$B23*VLOOKUP($A23&amp;"|"&amp;VLOOKUP(Nutrients_from_current_land_use!$B$8,Value_look_up_tables!$A$158:$B$159,2,FALSE)&amp;"|"&amp;VLOOKUP(Nutrients_from_current_land_use!$B$7,Value_look_up_tables!$A$119:$C$141,3,FALSE)&amp;"|"&amp;"DrainedArGr",Value_look_up_tables!$F$13:$H$115,3,FALSE))),IFERROR($B23*VLOOKUP($A23&amp;"|"&amp;VLOOKUP(Nutrients_from_current_land_use!$B$7,Value_look_up_tables!$A$119:$C$141,3,FALSE),Value_look_up_tables!$I$13:$K$107,3,FALSE),$B23*VLOOKUP($A23,Value_look_up_tables!$B$13:$M$107,12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$145:$B$145,2,FALSE)&amp;"|"&amp;$A23&amp;"|"&amp;VLOOKUP(Nutrients_from_current_land_use!$B$8,Value_look_up_tables!$A$158:$B$159,2,FALSE)&amp;"|"&amp;VLOOKUP(Nutrients_from_current_land_use!$B$7,Value_look_up_tables!$A$119:$C$141,3,FALSE)&amp;"|"&amp;VLOOKUP($B$6,Value_look_up_tables!$A$149:$B$154,2,FALSE)))),Value_look_up_tables!$F$13:$H$115,3,FALSE),
IFERROR($B23*VLOOKUP($A23&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$145:$B$145,2,FALSE)&amp;"|"&amp;$A24&amp;"|"&amp;VLOOKUP(Nutrients_from_current_land_use!$B$8,Value_look_up_tables!$A$158:$B$159,2,FALSE)&amp;"|"&amp;VLOOKUP(Nutrients_from_current_land_use!$B$7,Value_look_up_tables!$A$119:$C$141,3,FALSE)&amp;"|"&amp;VLOOKUP($B$6,Value_look_up_tables!$A$149:$B$154,2,FALSE)))),Value_look_up_tables!$F$13:$H$115,3,FALSE),
IFERROR(IFERROR($B24*VLOOKUP($A24&amp;"|"&amp;VLOOKUP(Nutrients_from_current_land_use!$B$8,Value_look_up_tables!$A$158:$B$159,2,FALSE)&amp;"|"&amp;VLOOKUP(Nutrients_from_current_land_use!$B$7,Value_look_up_tables!$A$119:$C$141,3,FALSE)&amp;"|"&amp;VLOOKUP($B$6,Value_look_up_tables!$A$149:$B$154,2,FALSE),Value_look_up_tables!$F$13:$H$115,3,FALSE),IFERROR($B24*VLOOKUP($A24&amp;"|"&amp;"TRUE"&amp;"|"&amp;VLOOKUP(Nutrients_from_current_land_use!$B$7,Value_look_up_tables!$A$119:$C$141,3,FALSE)&amp;"|"&amp;VLOOKUP($B$6,Value_look_up_tables!$A$149:$B$154,2,FALSE),Value_look_up_tables!$F$13:$H$115,3,FALSE),$B24*VLOOKUP($A24&amp;"|"&amp;VLOOKUP(Nutrients_from_current_land_use!$B$8,Value_look_up_tables!$A$158:$B$159,2,FALSE)&amp;"|"&amp;VLOOKUP(Nutrients_from_current_land_use!$B$7,Value_look_up_tables!$A$119:$C$141,3,FALSE)&amp;"|"&amp;"DrainedArGr",Value_look_up_tables!$F$13:$H$115,3,FALSE))),IFERROR($B24*VLOOKUP($A24&amp;"|"&amp;VLOOKUP(Nutrients_from_current_land_use!$B$7,Value_look_up_tables!$A$119:$C$141,3,FALSE),Value_look_up_tables!$I$13:$K$107,3,FALSE),$B24*VLOOKUP($A24,Value_look_up_tables!$B$13:$M$107,12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$145:$B$145,2,FALSE)&amp;"|"&amp;$A24&amp;"|"&amp;VLOOKUP(Nutrients_from_current_land_use!$B$8,Value_look_up_tables!$A$158:$B$159,2,FALSE)&amp;"|"&amp;VLOOKUP(Nutrients_from_current_land_use!$B$7,Value_look_up_tables!$A$119:$C$141,3,FALSE)&amp;"|"&amp;VLOOKUP($B$6,Value_look_up_tables!$A$149:$B$154,2,FALSE)))),Value_look_up_tables!$F$13:$H$115,3,FALSE),
IFERROR($B24*VLOOKUP($A24&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$145:$B$145,2,FALSE)&amp;"|"&amp;$A25&amp;"|"&amp;VLOOKUP(Nutrients_from_current_land_use!$B$8,Value_look_up_tables!$A$158:$B$159,2,FALSE)&amp;"|"&amp;VLOOKUP(Nutrients_from_current_land_use!$B$7,Value_look_up_tables!$A$119:$C$141,3,FALSE)&amp;"|"&amp;VLOOKUP($B$6,Value_look_up_tables!$A$149:$B$154,2,FALSE)))),Value_look_up_tables!$F$13:$H$115,3,FALSE),
IFERROR(IFERROR($B25*VLOOKUP($A25&amp;"|"&amp;VLOOKUP(Nutrients_from_current_land_use!$B$8,Value_look_up_tables!$A$158:$B$159,2,FALSE)&amp;"|"&amp;VLOOKUP(Nutrients_from_current_land_use!$B$7,Value_look_up_tables!$A$119:$C$141,3,FALSE)&amp;"|"&amp;VLOOKUP($B$6,Value_look_up_tables!$A$149:$B$154,2,FALSE),Value_look_up_tables!$F$13:$H$115,3,FALSE),IFERROR($B25*VLOOKUP($A25&amp;"|"&amp;"TRUE"&amp;"|"&amp;VLOOKUP(Nutrients_from_current_land_use!$B$7,Value_look_up_tables!$A$119:$C$141,3,FALSE)&amp;"|"&amp;VLOOKUP($B$6,Value_look_up_tables!$A$149:$B$154,2,FALSE),Value_look_up_tables!$F$13:$H$115,3,FALSE),$B25*VLOOKUP($A25&amp;"|"&amp;VLOOKUP(Nutrients_from_current_land_use!$B$8,Value_look_up_tables!$A$158:$B$159,2,FALSE)&amp;"|"&amp;VLOOKUP(Nutrients_from_current_land_use!$B$7,Value_look_up_tables!$A$119:$C$141,3,FALSE)&amp;"|"&amp;"DrainedArGr",Value_look_up_tables!$F$13:$H$115,3,FALSE))),IFERROR($B25*VLOOKUP($A25&amp;"|"&amp;VLOOKUP(Nutrients_from_current_land_use!$B$7,Value_look_up_tables!$A$119:$C$141,3,FALSE),Value_look_up_tables!$I$13:$K$107,3,FALSE),$B25*VLOOKUP($A25,Value_look_up_tables!$B$13:$M$107,12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$145:$B$145,2,FALSE)&amp;"|"&amp;$A25&amp;"|"&amp;VLOOKUP(Nutrients_from_current_land_use!$B$8,Value_look_up_tables!$A$158:$B$159,2,FALSE)&amp;"|"&amp;VLOOKUP(Nutrients_from_current_land_use!$B$7,Value_look_up_tables!$A$119:$C$141,3,FALSE)&amp;"|"&amp;VLOOKUP($B$6,Value_look_up_tables!$A$149:$B$154,2,FALSE)))),Value_look_up_tables!$F$13:$H$115,3,FALSE),
IFERROR($B25*VLOOKUP($A25&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$145:$B$145,2,FALSE)&amp;"|"&amp;$A26&amp;"|"&amp;VLOOKUP(Nutrients_from_current_land_use!$B$8,Value_look_up_tables!$A$158:$B$159,2,FALSE)&amp;"|"&amp;VLOOKUP(Nutrients_from_current_land_use!$B$7,Value_look_up_tables!$A$119:$C$141,3,FALSE)&amp;"|"&amp;VLOOKUP($B$6,Value_look_up_tables!$A$149:$B$154,2,FALSE)))),Value_look_up_tables!$F$13:$H$115,3,FALSE),
IFERROR(IFERROR($B26*VLOOKUP($A26&amp;"|"&amp;VLOOKUP(Nutrients_from_current_land_use!$B$8,Value_look_up_tables!$A$158:$B$159,2,FALSE)&amp;"|"&amp;VLOOKUP(Nutrients_from_current_land_use!$B$7,Value_look_up_tables!$A$119:$C$141,3,FALSE)&amp;"|"&amp;VLOOKUP($B$6,Value_look_up_tables!$A$149:$B$154,2,FALSE),Value_look_up_tables!$F$13:$H$115,3,FALSE),IFERROR($B26*VLOOKUP($A26&amp;"|"&amp;"TRUE"&amp;"|"&amp;VLOOKUP(Nutrients_from_current_land_use!$B$7,Value_look_up_tables!$A$119:$C$141,3,FALSE)&amp;"|"&amp;VLOOKUP($B$6,Value_look_up_tables!$A$149:$B$154,2,FALSE),Value_look_up_tables!$F$13:$H$115,3,FALSE),$B26*VLOOKUP($A26&amp;"|"&amp;VLOOKUP(Nutrients_from_current_land_use!$B$8,Value_look_up_tables!$A$158:$B$159,2,FALSE)&amp;"|"&amp;VLOOKUP(Nutrients_from_current_land_use!$B$7,Value_look_up_tables!$A$119:$C$141,3,FALSE)&amp;"|"&amp;"DrainedArGr",Value_look_up_tables!$F$13:$H$115,3,FALSE))),IFERROR($B26*VLOOKUP($A26&amp;"|"&amp;VLOOKUP(Nutrients_from_current_land_use!$B$7,Value_look_up_tables!$A$119:$C$141,3,FALSE),Value_look_up_tables!$I$13:$K$107,3,FALSE),$B26*VLOOKUP($A26,Value_look_up_tables!$B$13:$M$107,12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$145:$B$145,2,FALSE)&amp;"|"&amp;$A26&amp;"|"&amp;VLOOKUP(Nutrients_from_current_land_use!$B$8,Value_look_up_tables!$A$158:$B$159,2,FALSE)&amp;"|"&amp;VLOOKUP(Nutrients_from_current_land_use!$B$7,Value_look_up_tables!$A$119:$C$141,3,FALSE)&amp;"|"&amp;VLOOKUP($B$6,Value_look_up_tables!$A$149:$B$154,2,FALSE)))),Value_look_up_tables!$F$13:$H$115,3,FALSE),
IFERROR($B26*VLOOKUP($A26&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$145:$B$145,2,FALSE)&amp;"|"&amp;$A27&amp;"|"&amp;VLOOKUP(Nutrients_from_current_land_use!$B$8,Value_look_up_tables!$A$158:$B$159,2,FALSE)&amp;"|"&amp;VLOOKUP(Nutrients_from_current_land_use!$B$7,Value_look_up_tables!$A$119:$C$141,3,FALSE)&amp;"|"&amp;VLOOKUP($B$6,Value_look_up_tables!$A$149:$B$154,2,FALSE)))),Value_look_up_tables!$F$13:$H$115,3,FALSE),
IFERROR(IFERROR($B27*VLOOKUP($A27&amp;"|"&amp;VLOOKUP(Nutrients_from_current_land_use!$B$8,Value_look_up_tables!$A$158:$B$159,2,FALSE)&amp;"|"&amp;VLOOKUP(Nutrients_from_current_land_use!$B$7,Value_look_up_tables!$A$119:$C$141,3,FALSE)&amp;"|"&amp;VLOOKUP($B$6,Value_look_up_tables!$A$149:$B$154,2,FALSE),Value_look_up_tables!$F$13:$H$115,3,FALSE),IFERROR($B27*VLOOKUP($A27&amp;"|"&amp;"TRUE"&amp;"|"&amp;VLOOKUP(Nutrients_from_current_land_use!$B$7,Value_look_up_tables!$A$119:$C$141,3,FALSE)&amp;"|"&amp;VLOOKUP($B$6,Value_look_up_tables!$A$149:$B$154,2,FALSE),Value_look_up_tables!$F$13:$H$115,3,FALSE),$B27*VLOOKUP($A27&amp;"|"&amp;VLOOKUP(Nutrients_from_current_land_use!$B$8,Value_look_up_tables!$A$158:$B$159,2,FALSE)&amp;"|"&amp;VLOOKUP(Nutrients_from_current_land_use!$B$7,Value_look_up_tables!$A$119:$C$141,3,FALSE)&amp;"|"&amp;"DrainedArGr",Value_look_up_tables!$F$13:$H$115,3,FALSE))),IFERROR($B27*VLOOKUP($A27&amp;"|"&amp;VLOOKUP(Nutrients_from_current_land_use!$B$7,Value_look_up_tables!$A$119:$C$141,3,FALSE),Value_look_up_tables!$I$13:$K$107,3,FALSE),$B27*VLOOKUP($A27,Value_look_up_tables!$B$13:$M$107,12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$145:$B$145,2,FALSE)&amp;"|"&amp;$A27&amp;"|"&amp;VLOOKUP(Nutrients_from_current_land_use!$B$8,Value_look_up_tables!$A$158:$B$159,2,FALSE)&amp;"|"&amp;VLOOKUP(Nutrients_from_current_land_use!$B$7,Value_look_up_tables!$A$119:$C$141,3,FALSE)&amp;"|"&amp;VLOOKUP($B$6,Value_look_up_tables!$A$149:$B$154,2,FALSE)))),Value_look_up_tables!$F$13:$H$115,3,FALSE),
IFERROR($B27*VLOOKUP($A27&amp;"|"&amp;VLOOKUP(Nutrients_from_current_land_use!$B$8,Value_look_up_tables!$A$158:$B$159,2,FALSE)&amp;"|"&amp;VLOOKUP(Nutrients_from_current_land_use!$B$7,Value_look_up_tables!$A$119:$C$141,3,FALSE)&amp;"|"&amp;VLOOKUP($B$6,Value_look_up_tables!$A$149:$B$154,2,FALSE),Value_look_up_tables!$F$13:$H$115,3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138</v>
      </c>
      <c r="B28" s="42">
        <f>SUM(B11:B27)</f>
        <v>0</v>
      </c>
      <c r="C28" s="42">
        <f>SUM(C11:C27)</f>
        <v>0</v>
      </c>
      <c r="D28" s="49"/>
    </row>
    <row r="30" spans="1:6" x14ac:dyDescent="0.35">
      <c r="F30" s="43"/>
    </row>
  </sheetData>
  <sheetProtection algorithmName="SHA-512" hashValue="iC7OPOBiLV/FKkqVaY4Zg2b7/zvt+HLCe8PNIHbkiD18rZXTBx7+hOop7fpQ+E8nSI/lqHljBFhrg4l0+Kdxqw==" saltValue="l9EYXmJIIEqNiIjndqFKy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Value_look_up_tables!$A$131:$A$137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Value_look_up_tables!$A$158:$A$159</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Value_look_up_tables!$A$149:$A$154</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Value_look_up_tables!$A$145:$A$145</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Value_look_up_tables!$A$183:$A$198</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107</v>
      </c>
      <c r="B1" s="51"/>
      <c r="C1" s="51"/>
    </row>
    <row r="2" spans="1:3" ht="373.5" customHeight="1" x14ac:dyDescent="0.3">
      <c r="A2" s="7" t="s">
        <v>250</v>
      </c>
      <c r="B2" s="53"/>
      <c r="C2" s="51"/>
    </row>
    <row r="3" spans="1:3" ht="51" customHeight="1" x14ac:dyDescent="0.4">
      <c r="A3" s="8" t="s">
        <v>136</v>
      </c>
      <c r="B3" s="54"/>
      <c r="C3" s="54"/>
    </row>
    <row r="4" spans="1:3" ht="56.25" customHeight="1" x14ac:dyDescent="0.3">
      <c r="A4" s="59" t="s">
        <v>233</v>
      </c>
      <c r="B4" s="59" t="s">
        <v>232</v>
      </c>
      <c r="C4" s="59" t="s">
        <v>168</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$145:$B$145,2,FALSE)&amp;"|"&amp;A5&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$145:$B$145,2,FALSE)&amp;"|"&amp;A6&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$145:$B$145,2,FALSE)&amp;"|"&amp;A7&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$145:$B$145,2,FALSE)&amp;"|"&amp;A8&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$145:$B$145,2,FALSE)&amp;"|"&amp;A9&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$145:$B$145,2,FALSE)&amp;"|"&amp;A10&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$145:$B$145,2,FALSE)&amp;"|"&amp;A11&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$145:$B$145,2,FALSE)&amp;"|"&amp;A12&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$145:$B$145,2,FALSE)&amp;"|"&amp;A13&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$145:$B$145,2,FALSE)&amp;"|"&amp;A14&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$145:$B$145,2,FALSE)&amp;"|"&amp;A15&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$145:$B$145,2,FALSE)&amp;"|"&amp;A16&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$145:$B$145,2,FALSE)&amp;"|"&amp;A17&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$145:$B$145,2,FALSE)&amp;"|"&amp;A18&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$145:$B$145,2,FALSE)&amp;"|"&amp;A19&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$145:$B$145,2,FALSE)&amp;"|"&amp;A20&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$145:$B$145,2,FALSE)&amp;"|"&amp;A21&amp;"|"&amp;VLOOKUP(Nutrients_from_current_land_use!$B$8,Value_look_up_tables!$A$158:$B$159,2,FALSE)&amp;"|"&amp;VLOOKUP(Nutrients_from_current_land_use!$B$7,Value_look_up_tables!$A$119:$C$141,3,FALSE)&amp;"|"&amp;VLOOKUP(Nutrients_from_current_land_use!$B$6,Value_look_up_tables!$A$149:$B$154,2,FALSE)))),Value_look_up_tables!$F$13:$H$115,3,FALSE)),0)</f>
        <v>0</v>
      </c>
    </row>
    <row r="22" spans="1:5" ht="23.25" customHeight="1" x14ac:dyDescent="0.3">
      <c r="A22" s="64" t="s">
        <v>138</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Value_look_up_tables!$A$172:$A$179</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241</v>
      </c>
      <c r="B1" s="51"/>
      <c r="C1" s="51"/>
      <c r="D1" s="51"/>
    </row>
    <row r="2" spans="1:11" ht="409.6" customHeight="1" x14ac:dyDescent="0.35">
      <c r="A2" s="7" t="s">
        <v>253</v>
      </c>
      <c r="B2" s="66"/>
      <c r="C2" s="66"/>
      <c r="D2" s="66"/>
    </row>
    <row r="3" spans="1:11" ht="53.25" customHeight="1" x14ac:dyDescent="0.35">
      <c r="A3" s="84" t="s">
        <v>239</v>
      </c>
      <c r="B3" s="66"/>
      <c r="C3" s="66"/>
      <c r="D3" s="66"/>
    </row>
    <row r="4" spans="1:11" ht="97.5" customHeight="1" x14ac:dyDescent="0.35">
      <c r="A4" s="60" t="s">
        <v>234</v>
      </c>
      <c r="B4" s="60" t="s">
        <v>235</v>
      </c>
      <c r="C4" s="60" t="s">
        <v>236</v>
      </c>
      <c r="D4" s="60" t="s">
        <v>165</v>
      </c>
      <c r="E4" s="60" t="s">
        <v>237</v>
      </c>
      <c r="F4" s="60" t="s">
        <v>238</v>
      </c>
      <c r="G4" s="60" t="s">
        <v>139</v>
      </c>
      <c r="H4" s="69" t="s">
        <v>130</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138</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_xlfn.ANCHORARRAY(Value_look_up_tables!$A$202)</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115</v>
      </c>
      <c r="B1" s="51"/>
    </row>
    <row r="2" spans="1:4" ht="249" customHeight="1" x14ac:dyDescent="0.35">
      <c r="A2" s="55" t="s">
        <v>252</v>
      </c>
      <c r="B2" s="75"/>
      <c r="C2" s="74"/>
      <c r="D2" s="74"/>
    </row>
    <row r="3" spans="1:4" ht="50.25" customHeight="1" x14ac:dyDescent="0.35">
      <c r="A3" s="8" t="s">
        <v>114</v>
      </c>
      <c r="B3" s="58"/>
      <c r="C3" s="74"/>
      <c r="D3" s="74"/>
    </row>
    <row r="4" spans="1:4" ht="24.75" customHeight="1" x14ac:dyDescent="0.35">
      <c r="A4" s="32" t="s">
        <v>125</v>
      </c>
      <c r="B4" s="2" t="s">
        <v>126</v>
      </c>
    </row>
    <row r="5" spans="1:4" ht="24.75" customHeight="1" x14ac:dyDescent="0.35">
      <c r="A5" s="76" t="s">
        <v>132</v>
      </c>
      <c r="B5" s="77">
        <f>Nutrients_from_wastewater!B18</f>
        <v>0</v>
      </c>
    </row>
    <row r="6" spans="1:4" ht="24.75" customHeight="1" x14ac:dyDescent="0.35">
      <c r="A6" s="18" t="s">
        <v>131</v>
      </c>
      <c r="B6" s="78">
        <f>IFERROR(Nutrients_from_future_land_use!C22-SuDS!G30-Nutrients_from_current_land_use!C28,0)</f>
        <v>0</v>
      </c>
    </row>
    <row r="7" spans="1:4" ht="24.75" customHeight="1" x14ac:dyDescent="0.35">
      <c r="A7" s="18" t="s">
        <v>166</v>
      </c>
      <c r="B7" s="78">
        <f>IFERROR(B5+B6,0)</f>
        <v>0</v>
      </c>
    </row>
    <row r="8" spans="1:4" ht="24.75" customHeight="1" x14ac:dyDescent="0.35">
      <c r="A8" s="18" t="s">
        <v>167</v>
      </c>
      <c r="B8" s="78">
        <f>IFERROR(IF(B7&lt;0,B7,B7*1.2),0)</f>
        <v>0</v>
      </c>
    </row>
    <row r="9" spans="1:4" ht="24.75" customHeight="1" x14ac:dyDescent="0.35">
      <c r="A9" s="82" t="str">
        <f>IFERROR(IF(AND(Nutrients_from_wastewater!$B$5&lt;DATE(2025,1,1),OR((VLOOKUP(Nutrients_from_wastewater!$B$9,Value_look_up_tables!$A$5:$E$7,2,FALSE))&gt;(VLOOKUP(Nutrients_from_wastewater!$B$9,Value_look_up_tables!$A$5:$E$7,3,FALSE)),(VLOOKUP(Nutrients_from_wastewater!$B$9,Value_look_up_tables!$A$5:$E$7,2,FALSE))&gt;(VLOOKUP(Nutrients_from_wastewater!$B$9,Value_look_up_tables!$A$5:$E$7,3,FALSE)))),"Post-2030 annual nutrient budget","Annual nutrient budget"),"Annual nutrient budget")</f>
        <v>Annual nutrient budget</v>
      </c>
      <c r="B9" s="83"/>
    </row>
    <row r="10" spans="1:4" ht="24.75" customHeight="1" x14ac:dyDescent="0.35">
      <c r="A10" s="76" t="s">
        <v>133</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02"/>
  <sheetViews>
    <sheetView zoomScaleNormal="100" workbookViewId="0">
      <selection activeCell="C8" sqref="C8"/>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105</v>
      </c>
      <c r="B1" s="86"/>
      <c r="C1" s="87"/>
      <c r="D1" s="87"/>
      <c r="E1" s="87"/>
      <c r="F1" s="87"/>
      <c r="G1" s="87"/>
      <c r="H1" s="87"/>
      <c r="I1" s="87"/>
      <c r="J1" s="87"/>
      <c r="K1" s="87"/>
      <c r="L1" s="87"/>
      <c r="M1" s="87"/>
      <c r="N1" s="87"/>
    </row>
    <row r="2" spans="1:14" ht="57.75" customHeight="1" x14ac:dyDescent="0.3">
      <c r="A2" s="99" t="s">
        <v>145</v>
      </c>
    </row>
    <row r="3" spans="1:14" ht="37.5" customHeight="1" x14ac:dyDescent="0.3">
      <c r="A3" s="110" t="s">
        <v>3</v>
      </c>
      <c r="B3" s="89"/>
    </row>
    <row r="4" spans="1:14" ht="75.75" customHeight="1" x14ac:dyDescent="0.3">
      <c r="A4" s="121" t="s">
        <v>4</v>
      </c>
      <c r="B4" s="122" t="s">
        <v>5</v>
      </c>
      <c r="C4" s="122" t="s">
        <v>6</v>
      </c>
      <c r="D4" s="123" t="s">
        <v>117</v>
      </c>
      <c r="E4" s="43"/>
      <c r="F4" s="81"/>
      <c r="G4" s="81"/>
      <c r="H4" s="43"/>
      <c r="I4" s="43"/>
      <c r="J4" s="81"/>
      <c r="L4" s="65"/>
      <c r="M4" s="65"/>
    </row>
    <row r="5" spans="1:14" x14ac:dyDescent="0.3">
      <c r="A5" s="90" t="s">
        <v>256</v>
      </c>
      <c r="B5" s="91">
        <v>1</v>
      </c>
      <c r="C5" s="91">
        <v>1</v>
      </c>
      <c r="D5" s="92">
        <v>0.25</v>
      </c>
      <c r="E5" s="65"/>
      <c r="F5" s="65"/>
      <c r="G5" s="65"/>
      <c r="H5" s="65"/>
      <c r="I5" s="65"/>
      <c r="J5" s="65"/>
      <c r="L5" s="65"/>
      <c r="M5" s="65"/>
    </row>
    <row r="6" spans="1:14" x14ac:dyDescent="0.3">
      <c r="A6" s="90" t="s">
        <v>7</v>
      </c>
      <c r="B6" s="91">
        <v>9.6999999999999993</v>
      </c>
      <c r="C6" s="91">
        <v>9.6999999999999993</v>
      </c>
      <c r="D6" s="92">
        <v>9.6999999999999993</v>
      </c>
      <c r="E6" s="65"/>
      <c r="F6" s="65"/>
      <c r="G6" s="65"/>
      <c r="H6" s="65"/>
      <c r="I6" s="65"/>
      <c r="J6" s="65"/>
      <c r="L6" s="65"/>
      <c r="M6" s="65"/>
    </row>
    <row r="7" spans="1:14" x14ac:dyDescent="0.3">
      <c r="A7" s="90" t="s">
        <v>1</v>
      </c>
      <c r="B7" s="91">
        <v>11.6</v>
      </c>
      <c r="C7" s="91">
        <v>11.6</v>
      </c>
      <c r="D7" s="92">
        <v>11.6</v>
      </c>
      <c r="E7" s="65"/>
      <c r="F7" s="65"/>
      <c r="G7" s="65"/>
      <c r="H7" s="65"/>
      <c r="I7" s="65"/>
      <c r="J7" s="65"/>
      <c r="L7" s="65"/>
      <c r="M7" s="65"/>
    </row>
    <row r="8" spans="1:14" x14ac:dyDescent="0.3">
      <c r="A8" s="90" t="s">
        <v>8</v>
      </c>
      <c r="B8" s="91"/>
      <c r="C8" s="91"/>
      <c r="D8" s="92"/>
      <c r="E8" s="65"/>
      <c r="F8" s="65"/>
      <c r="G8" s="65"/>
      <c r="H8" s="65"/>
      <c r="I8" s="65"/>
      <c r="J8" s="65"/>
      <c r="L8" s="65"/>
      <c r="M8" s="65"/>
    </row>
    <row r="9" spans="1:14" x14ac:dyDescent="0.3">
      <c r="A9" s="93" t="s">
        <v>9</v>
      </c>
      <c r="B9" s="94"/>
      <c r="C9" s="94"/>
      <c r="D9" s="95"/>
      <c r="E9" s="65"/>
      <c r="F9" s="65"/>
      <c r="G9" s="65"/>
      <c r="H9" s="65"/>
      <c r="I9" s="65"/>
      <c r="J9" s="65"/>
      <c r="L9" s="65"/>
      <c r="M9" s="65"/>
    </row>
    <row r="10" spans="1:14" x14ac:dyDescent="0.3">
      <c r="A10" s="65"/>
      <c r="B10" s="65"/>
      <c r="C10" s="65"/>
      <c r="D10" s="65"/>
      <c r="E10" s="65"/>
      <c r="F10" s="65"/>
      <c r="G10" s="65"/>
      <c r="H10" s="65"/>
      <c r="I10" s="65"/>
      <c r="J10" s="65"/>
      <c r="K10" s="65"/>
      <c r="L10" s="65"/>
      <c r="M10" s="65"/>
    </row>
    <row r="11" spans="1:14" ht="37.5" customHeight="1" x14ac:dyDescent="0.3">
      <c r="A11" s="106" t="s">
        <v>10</v>
      </c>
      <c r="B11" s="108"/>
      <c r="C11" s="65"/>
      <c r="D11" s="65"/>
      <c r="E11" s="65"/>
      <c r="F11" s="65"/>
      <c r="G11" s="65"/>
      <c r="H11" s="65"/>
      <c r="I11" s="65"/>
      <c r="J11" s="65"/>
      <c r="K11" s="65"/>
      <c r="L11" s="65"/>
      <c r="M11" s="65"/>
    </row>
    <row r="12" spans="1:14" ht="56" x14ac:dyDescent="0.3">
      <c r="A12" s="120" t="s">
        <v>11</v>
      </c>
      <c r="B12" s="120" t="s">
        <v>12</v>
      </c>
      <c r="C12" s="120" t="s">
        <v>13</v>
      </c>
      <c r="D12" s="120" t="s">
        <v>14</v>
      </c>
      <c r="E12" s="120" t="s">
        <v>15</v>
      </c>
      <c r="F12" s="120" t="s">
        <v>16</v>
      </c>
      <c r="G12" s="120" t="s">
        <v>149</v>
      </c>
      <c r="H12" s="120" t="s">
        <v>17</v>
      </c>
      <c r="I12" s="120" t="s">
        <v>18</v>
      </c>
      <c r="J12" s="120" t="s">
        <v>147</v>
      </c>
      <c r="K12" s="120" t="s">
        <v>19</v>
      </c>
      <c r="L12" s="120" t="s">
        <v>148</v>
      </c>
      <c r="M12" s="120" t="s">
        <v>20</v>
      </c>
    </row>
    <row r="13" spans="1:14" x14ac:dyDescent="0.3">
      <c r="A13" s="96" t="s">
        <v>257</v>
      </c>
      <c r="B13" s="96" t="s">
        <v>21</v>
      </c>
      <c r="C13" s="96" t="b">
        <v>0</v>
      </c>
      <c r="D13" s="96" t="s">
        <v>26</v>
      </c>
      <c r="E13" s="96" t="s">
        <v>23</v>
      </c>
      <c r="F13" s="91" t="s">
        <v>258</v>
      </c>
      <c r="G13" s="103"/>
      <c r="H13" s="103">
        <v>0.23982637518321698</v>
      </c>
      <c r="I13" s="91" t="s">
        <v>248</v>
      </c>
      <c r="J13" s="91"/>
      <c r="K13" s="91">
        <v>0.55788369986947095</v>
      </c>
      <c r="L13" s="91"/>
      <c r="M13" s="91">
        <v>0.90502555728554868</v>
      </c>
    </row>
    <row r="14" spans="1:14" x14ac:dyDescent="0.3">
      <c r="A14" s="96" t="s">
        <v>257</v>
      </c>
      <c r="B14" s="96" t="s">
        <v>21</v>
      </c>
      <c r="C14" s="96" t="b">
        <v>0</v>
      </c>
      <c r="D14" s="96" t="s">
        <v>26</v>
      </c>
      <c r="E14" s="96" t="s">
        <v>24</v>
      </c>
      <c r="F14" s="91" t="s">
        <v>259</v>
      </c>
      <c r="G14" s="103"/>
      <c r="H14" s="103">
        <v>0.87594102455572487</v>
      </c>
      <c r="I14" s="91" t="s">
        <v>248</v>
      </c>
      <c r="J14" s="91"/>
      <c r="K14" s="91"/>
      <c r="L14" s="91"/>
      <c r="M14" s="91"/>
    </row>
    <row r="15" spans="1:14" x14ac:dyDescent="0.3">
      <c r="A15" s="96" t="s">
        <v>257</v>
      </c>
      <c r="B15" s="96" t="s">
        <v>21</v>
      </c>
      <c r="C15" s="96" t="b">
        <v>0</v>
      </c>
      <c r="D15" s="96" t="s">
        <v>71</v>
      </c>
      <c r="E15" s="96" t="s">
        <v>23</v>
      </c>
      <c r="F15" s="91" t="s">
        <v>260</v>
      </c>
      <c r="G15" s="103"/>
      <c r="H15" s="103">
        <v>0.35898767136545728</v>
      </c>
      <c r="I15" s="91" t="s">
        <v>261</v>
      </c>
      <c r="J15" s="91"/>
      <c r="K15" s="91">
        <v>0.88974139139917163</v>
      </c>
      <c r="L15" s="91"/>
      <c r="M15" s="91"/>
    </row>
    <row r="16" spans="1:14" x14ac:dyDescent="0.3">
      <c r="A16" s="96" t="s">
        <v>257</v>
      </c>
      <c r="B16" s="96" t="s">
        <v>21</v>
      </c>
      <c r="C16" s="96" t="b">
        <v>0</v>
      </c>
      <c r="D16" s="96" t="s">
        <v>71</v>
      </c>
      <c r="E16" s="96" t="s">
        <v>24</v>
      </c>
      <c r="F16" s="91" t="s">
        <v>262</v>
      </c>
      <c r="G16" s="103"/>
      <c r="H16" s="103">
        <v>1.4204951114328861</v>
      </c>
      <c r="I16" s="91" t="s">
        <v>261</v>
      </c>
      <c r="J16" s="91"/>
      <c r="K16" s="91"/>
      <c r="L16" s="91"/>
      <c r="M16" s="91"/>
    </row>
    <row r="17" spans="1:13" x14ac:dyDescent="0.3">
      <c r="A17" s="96" t="s">
        <v>257</v>
      </c>
      <c r="B17" s="96" t="s">
        <v>21</v>
      </c>
      <c r="C17" s="96" t="b">
        <v>0</v>
      </c>
      <c r="D17" s="96" t="s">
        <v>74</v>
      </c>
      <c r="E17" s="96" t="s">
        <v>23</v>
      </c>
      <c r="F17" s="91" t="s">
        <v>263</v>
      </c>
      <c r="G17" s="103"/>
      <c r="H17" s="103">
        <v>0.65694274038319622</v>
      </c>
      <c r="I17" s="91" t="s">
        <v>264</v>
      </c>
      <c r="J17" s="91"/>
      <c r="K17" s="91">
        <v>1.2674515805880031</v>
      </c>
      <c r="L17" s="91"/>
      <c r="M17" s="91"/>
    </row>
    <row r="18" spans="1:13" x14ac:dyDescent="0.3">
      <c r="A18" s="96" t="s">
        <v>257</v>
      </c>
      <c r="B18" s="96" t="s">
        <v>21</v>
      </c>
      <c r="C18" s="96" t="b">
        <v>0</v>
      </c>
      <c r="D18" s="96" t="s">
        <v>74</v>
      </c>
      <c r="E18" s="96" t="s">
        <v>24</v>
      </c>
      <c r="F18" s="91" t="s">
        <v>265</v>
      </c>
      <c r="G18" s="103"/>
      <c r="H18" s="103">
        <v>1.87796042079281</v>
      </c>
      <c r="I18" s="91" t="s">
        <v>264</v>
      </c>
      <c r="J18" s="91"/>
      <c r="K18" s="91"/>
      <c r="L18" s="91"/>
      <c r="M18" s="91"/>
    </row>
    <row r="19" spans="1:13" x14ac:dyDescent="0.3">
      <c r="A19" s="96" t="s">
        <v>257</v>
      </c>
      <c r="B19" s="96" t="s">
        <v>27</v>
      </c>
      <c r="C19" s="96" t="b">
        <v>0</v>
      </c>
      <c r="D19" s="96" t="s">
        <v>26</v>
      </c>
      <c r="E19" s="96" t="s">
        <v>23</v>
      </c>
      <c r="F19" s="91" t="s">
        <v>266</v>
      </c>
      <c r="G19" s="103"/>
      <c r="H19" s="103">
        <v>0.1658116851338069</v>
      </c>
      <c r="I19" s="91" t="s">
        <v>154</v>
      </c>
      <c r="J19" s="91"/>
      <c r="K19" s="91">
        <v>0.30368481121860269</v>
      </c>
      <c r="L19" s="91"/>
      <c r="M19" s="91">
        <v>0.49648096306589745</v>
      </c>
    </row>
    <row r="20" spans="1:13" x14ac:dyDescent="0.3">
      <c r="A20" s="96" t="s">
        <v>257</v>
      </c>
      <c r="B20" s="96" t="s">
        <v>27</v>
      </c>
      <c r="C20" s="96" t="b">
        <v>0</v>
      </c>
      <c r="D20" s="96" t="s">
        <v>26</v>
      </c>
      <c r="E20" s="96" t="s">
        <v>24</v>
      </c>
      <c r="F20" s="91" t="s">
        <v>267</v>
      </c>
      <c r="G20" s="103"/>
      <c r="H20" s="103">
        <v>0.44155793730339843</v>
      </c>
      <c r="I20" s="91" t="s">
        <v>154</v>
      </c>
      <c r="J20" s="91"/>
      <c r="K20" s="91"/>
      <c r="L20" s="91"/>
      <c r="M20" s="91"/>
    </row>
    <row r="21" spans="1:13" x14ac:dyDescent="0.3">
      <c r="A21" s="96" t="s">
        <v>257</v>
      </c>
      <c r="B21" s="96" t="s">
        <v>27</v>
      </c>
      <c r="C21" s="96" t="b">
        <v>0</v>
      </c>
      <c r="D21" s="96" t="s">
        <v>71</v>
      </c>
      <c r="E21" s="96" t="s">
        <v>23</v>
      </c>
      <c r="F21" s="91" t="s">
        <v>268</v>
      </c>
      <c r="G21" s="103"/>
      <c r="H21" s="103">
        <v>0.25019223788237865</v>
      </c>
      <c r="I21" s="91" t="s">
        <v>169</v>
      </c>
      <c r="J21" s="91"/>
      <c r="K21" s="91">
        <v>0.48831818708803215</v>
      </c>
      <c r="L21" s="91"/>
      <c r="M21" s="91"/>
    </row>
    <row r="22" spans="1:13" x14ac:dyDescent="0.3">
      <c r="A22" s="96" t="s">
        <v>257</v>
      </c>
      <c r="B22" s="96" t="s">
        <v>27</v>
      </c>
      <c r="C22" s="96" t="b">
        <v>0</v>
      </c>
      <c r="D22" s="96" t="s">
        <v>71</v>
      </c>
      <c r="E22" s="96" t="s">
        <v>24</v>
      </c>
      <c r="F22" s="91" t="s">
        <v>269</v>
      </c>
      <c r="G22" s="103"/>
      <c r="H22" s="103">
        <v>0.72644413629368565</v>
      </c>
      <c r="I22" s="91" t="s">
        <v>169</v>
      </c>
      <c r="J22" s="91"/>
      <c r="K22" s="91"/>
      <c r="L22" s="91"/>
      <c r="M22" s="91"/>
    </row>
    <row r="23" spans="1:13" x14ac:dyDescent="0.3">
      <c r="A23" s="96" t="s">
        <v>257</v>
      </c>
      <c r="B23" s="96" t="s">
        <v>27</v>
      </c>
      <c r="C23" s="96" t="b">
        <v>0</v>
      </c>
      <c r="D23" s="96" t="s">
        <v>74</v>
      </c>
      <c r="E23" s="96" t="s">
        <v>23</v>
      </c>
      <c r="F23" s="91" t="s">
        <v>270</v>
      </c>
      <c r="G23" s="103"/>
      <c r="H23" s="103">
        <v>0.43742844364318745</v>
      </c>
      <c r="I23" s="91" t="s">
        <v>170</v>
      </c>
      <c r="J23" s="91"/>
      <c r="K23" s="91">
        <v>0.69743989089105729</v>
      </c>
      <c r="L23" s="91"/>
      <c r="M23" s="91"/>
    </row>
    <row r="24" spans="1:13" x14ac:dyDescent="0.3">
      <c r="A24" s="96" t="s">
        <v>257</v>
      </c>
      <c r="B24" s="96" t="s">
        <v>27</v>
      </c>
      <c r="C24" s="96" t="b">
        <v>0</v>
      </c>
      <c r="D24" s="96" t="s">
        <v>74</v>
      </c>
      <c r="E24" s="96" t="s">
        <v>24</v>
      </c>
      <c r="F24" s="91" t="s">
        <v>271</v>
      </c>
      <c r="G24" s="103"/>
      <c r="H24" s="103">
        <v>0.95745133813892713</v>
      </c>
      <c r="I24" s="91" t="s">
        <v>170</v>
      </c>
      <c r="J24" s="91"/>
      <c r="K24" s="91"/>
      <c r="L24" s="91"/>
      <c r="M24" s="91"/>
    </row>
    <row r="25" spans="1:13" x14ac:dyDescent="0.3">
      <c r="A25" s="96" t="s">
        <v>257</v>
      </c>
      <c r="B25" s="96" t="s">
        <v>33</v>
      </c>
      <c r="C25" s="96" t="b">
        <v>0</v>
      </c>
      <c r="D25" s="96" t="s">
        <v>71</v>
      </c>
      <c r="E25" s="96" t="s">
        <v>24</v>
      </c>
      <c r="F25" s="91" t="s">
        <v>272</v>
      </c>
      <c r="G25" s="103"/>
      <c r="H25" s="103">
        <v>1.4251774186083148</v>
      </c>
      <c r="I25" s="91" t="s">
        <v>273</v>
      </c>
      <c r="J25" s="91"/>
      <c r="K25" s="91">
        <v>1.4251774186083148</v>
      </c>
      <c r="L25" s="91"/>
      <c r="M25" s="91">
        <v>1.0743009273298394</v>
      </c>
    </row>
    <row r="26" spans="1:13" x14ac:dyDescent="0.3">
      <c r="A26" s="96" t="s">
        <v>257</v>
      </c>
      <c r="B26" s="96" t="s">
        <v>33</v>
      </c>
      <c r="C26" s="96" t="b">
        <v>0</v>
      </c>
      <c r="D26" s="96" t="s">
        <v>74</v>
      </c>
      <c r="E26" s="96" t="s">
        <v>23</v>
      </c>
      <c r="F26" s="91" t="s">
        <v>274</v>
      </c>
      <c r="G26" s="103"/>
      <c r="H26" s="103">
        <v>0.72342443605136397</v>
      </c>
      <c r="I26" s="91" t="s">
        <v>275</v>
      </c>
      <c r="J26" s="91"/>
      <c r="K26" s="91">
        <v>0.72342443605136397</v>
      </c>
      <c r="L26" s="91"/>
      <c r="M26" s="91"/>
    </row>
    <row r="27" spans="1:13" x14ac:dyDescent="0.3">
      <c r="A27" s="96" t="s">
        <v>257</v>
      </c>
      <c r="B27" s="96" t="s">
        <v>29</v>
      </c>
      <c r="C27" s="96" t="b">
        <v>0</v>
      </c>
      <c r="D27" s="96" t="s">
        <v>26</v>
      </c>
      <c r="E27" s="96" t="s">
        <v>23</v>
      </c>
      <c r="F27" s="91" t="s">
        <v>276</v>
      </c>
      <c r="G27" s="103"/>
      <c r="H27" s="103">
        <v>0.27147889644145085</v>
      </c>
      <c r="I27" s="91" t="s">
        <v>155</v>
      </c>
      <c r="J27" s="91"/>
      <c r="K27" s="91">
        <v>0.38453184297824933</v>
      </c>
      <c r="L27" s="91"/>
      <c r="M27" s="91">
        <v>0.43227667671179998</v>
      </c>
    </row>
    <row r="28" spans="1:13" x14ac:dyDescent="0.3">
      <c r="A28" s="96" t="s">
        <v>257</v>
      </c>
      <c r="B28" s="96" t="s">
        <v>29</v>
      </c>
      <c r="C28" s="96" t="b">
        <v>0</v>
      </c>
      <c r="D28" s="96" t="s">
        <v>26</v>
      </c>
      <c r="E28" s="96" t="s">
        <v>24</v>
      </c>
      <c r="F28" s="91" t="s">
        <v>277</v>
      </c>
      <c r="G28" s="103"/>
      <c r="H28" s="103">
        <v>0.49758478951504781</v>
      </c>
      <c r="I28" s="91" t="s">
        <v>155</v>
      </c>
      <c r="J28" s="91"/>
      <c r="K28" s="91"/>
      <c r="L28" s="91"/>
      <c r="M28" s="91"/>
    </row>
    <row r="29" spans="1:13" x14ac:dyDescent="0.3">
      <c r="A29" s="96" t="s">
        <v>257</v>
      </c>
      <c r="B29" s="96" t="s">
        <v>29</v>
      </c>
      <c r="C29" s="96" t="b">
        <v>0</v>
      </c>
      <c r="D29" s="96" t="s">
        <v>71</v>
      </c>
      <c r="E29" s="96" t="s">
        <v>23</v>
      </c>
      <c r="F29" s="91" t="s">
        <v>278</v>
      </c>
      <c r="G29" s="103"/>
      <c r="H29" s="103">
        <v>0.35866699561033144</v>
      </c>
      <c r="I29" s="91" t="s">
        <v>279</v>
      </c>
      <c r="J29" s="91"/>
      <c r="K29" s="91">
        <v>0.35866699561033144</v>
      </c>
      <c r="L29" s="91"/>
      <c r="M29" s="91"/>
    </row>
    <row r="30" spans="1:13" x14ac:dyDescent="0.3">
      <c r="A30" s="96" t="s">
        <v>257</v>
      </c>
      <c r="B30" s="96" t="s">
        <v>29</v>
      </c>
      <c r="C30" s="96" t="b">
        <v>0</v>
      </c>
      <c r="D30" s="96" t="s">
        <v>74</v>
      </c>
      <c r="E30" s="96" t="s">
        <v>23</v>
      </c>
      <c r="F30" s="91" t="s">
        <v>280</v>
      </c>
      <c r="G30" s="103"/>
      <c r="H30" s="103">
        <v>0.60137602528036971</v>
      </c>
      <c r="I30" s="91" t="s">
        <v>177</v>
      </c>
      <c r="J30" s="91"/>
      <c r="K30" s="91">
        <v>0.60137602528036971</v>
      </c>
      <c r="L30" s="91"/>
      <c r="M30" s="91"/>
    </row>
    <row r="31" spans="1:13" x14ac:dyDescent="0.3">
      <c r="A31" s="96" t="s">
        <v>257</v>
      </c>
      <c r="B31" s="96" t="s">
        <v>30</v>
      </c>
      <c r="C31" s="96" t="b">
        <v>0</v>
      </c>
      <c r="D31" s="96" t="s">
        <v>26</v>
      </c>
      <c r="E31" s="96" t="s">
        <v>23</v>
      </c>
      <c r="F31" s="91" t="s">
        <v>281</v>
      </c>
      <c r="G31" s="103"/>
      <c r="H31" s="103">
        <v>0.26911286699450265</v>
      </c>
      <c r="I31" s="91" t="s">
        <v>156</v>
      </c>
      <c r="J31" s="91"/>
      <c r="K31" s="91">
        <v>0.32964260596916528</v>
      </c>
      <c r="L31" s="91"/>
      <c r="M31" s="91">
        <v>0.47446393450340735</v>
      </c>
    </row>
    <row r="32" spans="1:13" x14ac:dyDescent="0.3">
      <c r="A32" s="96" t="s">
        <v>257</v>
      </c>
      <c r="B32" s="96" t="s">
        <v>30</v>
      </c>
      <c r="C32" s="96" t="b">
        <v>0</v>
      </c>
      <c r="D32" s="96" t="s">
        <v>26</v>
      </c>
      <c r="E32" s="96" t="s">
        <v>24</v>
      </c>
      <c r="F32" s="91" t="s">
        <v>282</v>
      </c>
      <c r="G32" s="103"/>
      <c r="H32" s="103">
        <v>0.39017234494382791</v>
      </c>
      <c r="I32" s="91" t="s">
        <v>156</v>
      </c>
      <c r="J32" s="91"/>
      <c r="K32" s="91"/>
      <c r="L32" s="91"/>
      <c r="M32" s="91"/>
    </row>
    <row r="33" spans="1:14" x14ac:dyDescent="0.3">
      <c r="A33" s="96" t="s">
        <v>257</v>
      </c>
      <c r="B33" s="96" t="s">
        <v>30</v>
      </c>
      <c r="C33" s="96" t="b">
        <v>0</v>
      </c>
      <c r="D33" s="96" t="s">
        <v>71</v>
      </c>
      <c r="E33" s="96" t="s">
        <v>23</v>
      </c>
      <c r="F33" s="91" t="s">
        <v>283</v>
      </c>
      <c r="G33" s="103"/>
      <c r="H33" s="103">
        <v>0.35033032953726728</v>
      </c>
      <c r="I33" s="91" t="s">
        <v>171</v>
      </c>
      <c r="J33" s="91"/>
      <c r="K33" s="91">
        <v>0.46851631444529351</v>
      </c>
      <c r="L33" s="91"/>
      <c r="M33" s="91"/>
    </row>
    <row r="34" spans="1:14" x14ac:dyDescent="0.3">
      <c r="A34" s="96" t="s">
        <v>257</v>
      </c>
      <c r="B34" s="96" t="s">
        <v>30</v>
      </c>
      <c r="C34" s="96" t="b">
        <v>0</v>
      </c>
      <c r="D34" s="96" t="s">
        <v>71</v>
      </c>
      <c r="E34" s="96" t="s">
        <v>24</v>
      </c>
      <c r="F34" s="91" t="s">
        <v>284</v>
      </c>
      <c r="G34" s="103"/>
      <c r="H34" s="103">
        <v>0.58670229935331975</v>
      </c>
      <c r="I34" s="91" t="s">
        <v>171</v>
      </c>
      <c r="J34" s="91"/>
      <c r="K34" s="91"/>
      <c r="L34" s="91"/>
      <c r="M34" s="91"/>
      <c r="N34" s="65"/>
    </row>
    <row r="35" spans="1:14" x14ac:dyDescent="0.3">
      <c r="A35" s="96" t="s">
        <v>257</v>
      </c>
      <c r="B35" s="96" t="s">
        <v>30</v>
      </c>
      <c r="C35" s="96" t="b">
        <v>0</v>
      </c>
      <c r="D35" s="96" t="s">
        <v>74</v>
      </c>
      <c r="E35" s="96" t="s">
        <v>23</v>
      </c>
      <c r="F35" s="91" t="s">
        <v>285</v>
      </c>
      <c r="G35" s="103"/>
      <c r="H35" s="103">
        <v>0.51825922020760862</v>
      </c>
      <c r="I35" s="91" t="s">
        <v>172</v>
      </c>
      <c r="J35" s="91"/>
      <c r="K35" s="91">
        <v>0.6252328830957633</v>
      </c>
      <c r="L35" s="91"/>
      <c r="M35" s="91"/>
      <c r="N35" s="65"/>
    </row>
    <row r="36" spans="1:14" x14ac:dyDescent="0.3">
      <c r="A36" s="96" t="s">
        <v>257</v>
      </c>
      <c r="B36" s="96" t="s">
        <v>30</v>
      </c>
      <c r="C36" s="96" t="b">
        <v>0</v>
      </c>
      <c r="D36" s="96" t="s">
        <v>74</v>
      </c>
      <c r="E36" s="96" t="s">
        <v>24</v>
      </c>
      <c r="F36" s="91" t="s">
        <v>286</v>
      </c>
      <c r="G36" s="103"/>
      <c r="H36" s="103">
        <v>0.73220654598391799</v>
      </c>
      <c r="I36" s="91" t="s">
        <v>172</v>
      </c>
      <c r="J36" s="91"/>
      <c r="K36" s="91"/>
      <c r="L36" s="91"/>
      <c r="M36" s="91"/>
      <c r="N36" s="65"/>
    </row>
    <row r="37" spans="1:14" x14ac:dyDescent="0.3">
      <c r="A37" s="96" t="s">
        <v>257</v>
      </c>
      <c r="B37" s="96" t="s">
        <v>93</v>
      </c>
      <c r="C37" s="96" t="b">
        <v>0</v>
      </c>
      <c r="D37" s="96" t="s">
        <v>26</v>
      </c>
      <c r="E37" s="96" t="s">
        <v>23</v>
      </c>
      <c r="F37" s="91" t="s">
        <v>287</v>
      </c>
      <c r="G37" s="103"/>
      <c r="H37" s="103">
        <v>0.15750229748581485</v>
      </c>
      <c r="I37" s="91" t="s">
        <v>178</v>
      </c>
      <c r="J37" s="91"/>
      <c r="K37" s="91">
        <v>0.17034953367020025</v>
      </c>
      <c r="L37" s="91"/>
      <c r="M37" s="91">
        <v>0.2673981076551713</v>
      </c>
      <c r="N37" s="65"/>
    </row>
    <row r="38" spans="1:14" x14ac:dyDescent="0.3">
      <c r="A38" s="96" t="s">
        <v>257</v>
      </c>
      <c r="B38" s="96" t="s">
        <v>93</v>
      </c>
      <c r="C38" s="96" t="b">
        <v>0</v>
      </c>
      <c r="D38" s="96" t="s">
        <v>26</v>
      </c>
      <c r="E38" s="96" t="s">
        <v>24</v>
      </c>
      <c r="F38" s="91" t="s">
        <v>288</v>
      </c>
      <c r="G38" s="103"/>
      <c r="H38" s="103">
        <v>0.18319676985458566</v>
      </c>
      <c r="I38" s="91" t="s">
        <v>178</v>
      </c>
      <c r="J38" s="91"/>
      <c r="K38" s="91"/>
      <c r="L38" s="91"/>
      <c r="M38" s="91"/>
      <c r="N38" s="65"/>
    </row>
    <row r="39" spans="1:14" x14ac:dyDescent="0.3">
      <c r="A39" s="96" t="s">
        <v>257</v>
      </c>
      <c r="B39" s="96" t="s">
        <v>93</v>
      </c>
      <c r="C39" s="96" t="b">
        <v>0</v>
      </c>
      <c r="D39" s="96" t="s">
        <v>71</v>
      </c>
      <c r="E39" s="96" t="s">
        <v>23</v>
      </c>
      <c r="F39" s="91" t="s">
        <v>289</v>
      </c>
      <c r="G39" s="103"/>
      <c r="H39" s="103">
        <v>0.22525084805265885</v>
      </c>
      <c r="I39" s="91" t="s">
        <v>173</v>
      </c>
      <c r="J39" s="91"/>
      <c r="K39" s="91">
        <v>0.25868131400861294</v>
      </c>
      <c r="L39" s="91"/>
      <c r="M39" s="91"/>
      <c r="N39" s="65"/>
    </row>
    <row r="40" spans="1:14" x14ac:dyDescent="0.3">
      <c r="A40" s="96" t="s">
        <v>257</v>
      </c>
      <c r="B40" s="96" t="s">
        <v>93</v>
      </c>
      <c r="C40" s="96" t="b">
        <v>0</v>
      </c>
      <c r="D40" s="96" t="s">
        <v>71</v>
      </c>
      <c r="E40" s="96" t="s">
        <v>24</v>
      </c>
      <c r="F40" s="91" t="s">
        <v>290</v>
      </c>
      <c r="G40" s="103"/>
      <c r="H40" s="103">
        <v>0.292111779964567</v>
      </c>
      <c r="I40" s="91" t="s">
        <v>173</v>
      </c>
      <c r="J40" s="91"/>
      <c r="K40" s="91"/>
      <c r="L40" s="91"/>
      <c r="M40" s="91"/>
      <c r="N40" s="65"/>
    </row>
    <row r="41" spans="1:14" x14ac:dyDescent="0.3">
      <c r="A41" s="96" t="s">
        <v>257</v>
      </c>
      <c r="B41" s="96" t="s">
        <v>93</v>
      </c>
      <c r="C41" s="96" t="b">
        <v>0</v>
      </c>
      <c r="D41" s="96" t="s">
        <v>74</v>
      </c>
      <c r="E41" s="96" t="s">
        <v>23</v>
      </c>
      <c r="F41" s="91" t="s">
        <v>291</v>
      </c>
      <c r="G41" s="103"/>
      <c r="H41" s="103">
        <v>0.35581877603780032</v>
      </c>
      <c r="I41" s="91" t="s">
        <v>174</v>
      </c>
      <c r="J41" s="91"/>
      <c r="K41" s="91">
        <v>0.37316347528670074</v>
      </c>
      <c r="L41" s="91"/>
      <c r="M41" s="91"/>
      <c r="N41" s="65"/>
    </row>
    <row r="42" spans="1:14" x14ac:dyDescent="0.3">
      <c r="A42" s="96" t="s">
        <v>257</v>
      </c>
      <c r="B42" s="96" t="s">
        <v>93</v>
      </c>
      <c r="C42" s="96" t="b">
        <v>0</v>
      </c>
      <c r="D42" s="96" t="s">
        <v>74</v>
      </c>
      <c r="E42" s="96" t="s">
        <v>24</v>
      </c>
      <c r="F42" s="91" t="s">
        <v>292</v>
      </c>
      <c r="G42" s="103"/>
      <c r="H42" s="103">
        <v>0.39050817453560116</v>
      </c>
      <c r="I42" s="91" t="s">
        <v>174</v>
      </c>
      <c r="J42" s="91"/>
      <c r="K42" s="91"/>
      <c r="L42" s="91"/>
      <c r="M42" s="91"/>
      <c r="N42" s="65"/>
    </row>
    <row r="43" spans="1:14" x14ac:dyDescent="0.3">
      <c r="A43" s="96" t="s">
        <v>257</v>
      </c>
      <c r="B43" s="96" t="s">
        <v>31</v>
      </c>
      <c r="C43" s="96" t="b">
        <v>0</v>
      </c>
      <c r="D43" s="96" t="s">
        <v>26</v>
      </c>
      <c r="E43" s="96" t="s">
        <v>23</v>
      </c>
      <c r="F43" s="91" t="s">
        <v>293</v>
      </c>
      <c r="G43" s="103"/>
      <c r="H43" s="103">
        <v>0.19015933210792826</v>
      </c>
      <c r="I43" s="91" t="s">
        <v>157</v>
      </c>
      <c r="J43" s="91"/>
      <c r="K43" s="91">
        <v>0.23274753115226293</v>
      </c>
      <c r="L43" s="91"/>
      <c r="M43" s="91">
        <v>0.35724645966822216</v>
      </c>
      <c r="N43" s="65"/>
    </row>
    <row r="44" spans="1:14" x14ac:dyDescent="0.3">
      <c r="A44" s="96" t="s">
        <v>257</v>
      </c>
      <c r="B44" s="96" t="s">
        <v>31</v>
      </c>
      <c r="C44" s="96" t="b">
        <v>0</v>
      </c>
      <c r="D44" s="96" t="s">
        <v>26</v>
      </c>
      <c r="E44" s="96" t="s">
        <v>24</v>
      </c>
      <c r="F44" s="91" t="s">
        <v>294</v>
      </c>
      <c r="G44" s="103"/>
      <c r="H44" s="103">
        <v>0.27533573019659763</v>
      </c>
      <c r="I44" s="91" t="s">
        <v>157</v>
      </c>
      <c r="J44" s="91"/>
      <c r="K44" s="91"/>
      <c r="L44" s="91"/>
      <c r="M44" s="91"/>
      <c r="N44" s="65"/>
    </row>
    <row r="45" spans="1:14" x14ac:dyDescent="0.3">
      <c r="A45" s="96" t="s">
        <v>257</v>
      </c>
      <c r="B45" s="96" t="s">
        <v>31</v>
      </c>
      <c r="C45" s="96" t="b">
        <v>0</v>
      </c>
      <c r="D45" s="96" t="s">
        <v>71</v>
      </c>
      <c r="E45" s="96" t="s">
        <v>23</v>
      </c>
      <c r="F45" s="91" t="s">
        <v>295</v>
      </c>
      <c r="G45" s="103"/>
      <c r="H45" s="103">
        <v>0.26494260349520343</v>
      </c>
      <c r="I45" s="91" t="s">
        <v>175</v>
      </c>
      <c r="J45" s="91"/>
      <c r="K45" s="91">
        <v>0.34831720985271536</v>
      </c>
      <c r="L45" s="91"/>
      <c r="M45" s="91"/>
      <c r="N45" s="65"/>
    </row>
    <row r="46" spans="1:14" x14ac:dyDescent="0.3">
      <c r="A46" s="96" t="s">
        <v>257</v>
      </c>
      <c r="B46" s="96" t="s">
        <v>31</v>
      </c>
      <c r="C46" s="96" t="b">
        <v>0</v>
      </c>
      <c r="D46" s="96" t="s">
        <v>71</v>
      </c>
      <c r="E46" s="96" t="s">
        <v>24</v>
      </c>
      <c r="F46" s="91" t="s">
        <v>296</v>
      </c>
      <c r="G46" s="103"/>
      <c r="H46" s="103">
        <v>0.43169181621022729</v>
      </c>
      <c r="I46" s="91" t="s">
        <v>175</v>
      </c>
      <c r="J46" s="91"/>
      <c r="K46" s="91"/>
      <c r="L46" s="91"/>
      <c r="M46" s="91"/>
      <c r="N46" s="65"/>
    </row>
    <row r="47" spans="1:14" x14ac:dyDescent="0.3">
      <c r="A47" s="96" t="s">
        <v>257</v>
      </c>
      <c r="B47" s="96" t="s">
        <v>31</v>
      </c>
      <c r="C47" s="96" t="b">
        <v>0</v>
      </c>
      <c r="D47" s="96" t="s">
        <v>74</v>
      </c>
      <c r="E47" s="96" t="s">
        <v>23</v>
      </c>
      <c r="F47" s="91" t="s">
        <v>297</v>
      </c>
      <c r="G47" s="103"/>
      <c r="H47" s="103">
        <v>0.41427571535751745</v>
      </c>
      <c r="I47" s="91" t="s">
        <v>176</v>
      </c>
      <c r="J47" s="91"/>
      <c r="K47" s="91">
        <v>0.49067463799968836</v>
      </c>
      <c r="L47" s="91"/>
      <c r="M47" s="91"/>
      <c r="N47" s="65"/>
    </row>
    <row r="48" spans="1:14" x14ac:dyDescent="0.3">
      <c r="A48" s="96" t="s">
        <v>257</v>
      </c>
      <c r="B48" s="96" t="s">
        <v>31</v>
      </c>
      <c r="C48" s="96" t="b">
        <v>0</v>
      </c>
      <c r="D48" s="96" t="s">
        <v>74</v>
      </c>
      <c r="E48" s="96" t="s">
        <v>24</v>
      </c>
      <c r="F48" s="91" t="s">
        <v>298</v>
      </c>
      <c r="G48" s="103"/>
      <c r="H48" s="103">
        <v>0.56707356064185921</v>
      </c>
      <c r="I48" s="91" t="s">
        <v>176</v>
      </c>
      <c r="J48" s="91"/>
      <c r="K48" s="91"/>
      <c r="L48" s="91"/>
      <c r="M48" s="91"/>
      <c r="N48" s="65"/>
    </row>
    <row r="49" spans="1:14" x14ac:dyDescent="0.3">
      <c r="A49" s="96" t="s">
        <v>257</v>
      </c>
      <c r="B49" s="96" t="s">
        <v>32</v>
      </c>
      <c r="C49" s="96" t="b">
        <v>0</v>
      </c>
      <c r="D49" s="96" t="s">
        <v>26</v>
      </c>
      <c r="E49" s="96" t="s">
        <v>23</v>
      </c>
      <c r="F49" s="91" t="s">
        <v>299</v>
      </c>
      <c r="G49" s="103"/>
      <c r="H49" s="103">
        <v>0.21727686835089599</v>
      </c>
      <c r="I49" s="91" t="s">
        <v>158</v>
      </c>
      <c r="J49" s="91"/>
      <c r="K49" s="91">
        <v>0.35520242768048538</v>
      </c>
      <c r="L49" s="91"/>
      <c r="M49" s="91">
        <v>0.65172782417049868</v>
      </c>
      <c r="N49" s="65"/>
    </row>
    <row r="50" spans="1:14" x14ac:dyDescent="0.3">
      <c r="A50" s="96" t="s">
        <v>257</v>
      </c>
      <c r="B50" s="96" t="s">
        <v>32</v>
      </c>
      <c r="C50" s="96" t="b">
        <v>0</v>
      </c>
      <c r="D50" s="96" t="s">
        <v>26</v>
      </c>
      <c r="E50" s="96" t="s">
        <v>24</v>
      </c>
      <c r="F50" s="91" t="s">
        <v>300</v>
      </c>
      <c r="G50" s="103"/>
      <c r="H50" s="103">
        <v>0.49312798701007482</v>
      </c>
      <c r="I50" s="91" t="s">
        <v>158</v>
      </c>
      <c r="J50" s="91"/>
      <c r="K50" s="91"/>
      <c r="L50" s="91"/>
      <c r="M50" s="91"/>
      <c r="N50" s="65"/>
    </row>
    <row r="51" spans="1:14" x14ac:dyDescent="0.3">
      <c r="A51" s="96" t="s">
        <v>257</v>
      </c>
      <c r="B51" s="96" t="s">
        <v>32</v>
      </c>
      <c r="C51" s="96" t="b">
        <v>0</v>
      </c>
      <c r="D51" s="96" t="s">
        <v>71</v>
      </c>
      <c r="E51" s="96" t="s">
        <v>23</v>
      </c>
      <c r="F51" s="91" t="s">
        <v>301</v>
      </c>
      <c r="G51" s="103"/>
      <c r="H51" s="103">
        <v>0.30764685695437965</v>
      </c>
      <c r="I51" s="91" t="s">
        <v>179</v>
      </c>
      <c r="J51" s="91"/>
      <c r="K51" s="91">
        <v>0.30764685695437965</v>
      </c>
      <c r="L51" s="91"/>
      <c r="M51" s="91"/>
      <c r="N51" s="65"/>
    </row>
    <row r="52" spans="1:14" x14ac:dyDescent="0.3">
      <c r="A52" s="96" t="s">
        <v>257</v>
      </c>
      <c r="B52" s="96" t="s">
        <v>32</v>
      </c>
      <c r="C52" s="96" t="b">
        <v>0</v>
      </c>
      <c r="D52" s="96" t="s">
        <v>74</v>
      </c>
      <c r="E52" s="96" t="s">
        <v>23</v>
      </c>
      <c r="F52" s="91" t="s">
        <v>302</v>
      </c>
      <c r="G52" s="103"/>
      <c r="H52" s="103">
        <v>0.51147312004776957</v>
      </c>
      <c r="I52" s="91" t="s">
        <v>247</v>
      </c>
      <c r="J52" s="91"/>
      <c r="K52" s="91">
        <v>0.51147312004776957</v>
      </c>
      <c r="L52" s="91"/>
      <c r="M52" s="91"/>
      <c r="N52" s="65"/>
    </row>
    <row r="53" spans="1:14" x14ac:dyDescent="0.3">
      <c r="A53" s="96" t="s">
        <v>303</v>
      </c>
      <c r="B53" s="96" t="s">
        <v>21</v>
      </c>
      <c r="C53" s="96" t="b">
        <v>0</v>
      </c>
      <c r="D53" s="96" t="s">
        <v>26</v>
      </c>
      <c r="E53" s="96" t="s">
        <v>23</v>
      </c>
      <c r="F53" s="91" t="s">
        <v>159</v>
      </c>
      <c r="G53" s="103"/>
      <c r="H53" s="103">
        <v>0.22986535976084221</v>
      </c>
      <c r="I53" s="91" t="s">
        <v>248</v>
      </c>
      <c r="J53" s="91"/>
      <c r="K53" s="91">
        <v>0.53826865090275233</v>
      </c>
      <c r="L53" s="91"/>
      <c r="M53" s="91">
        <v>0.7722469430102803</v>
      </c>
      <c r="N53" s="65"/>
    </row>
    <row r="54" spans="1:14" x14ac:dyDescent="0.3">
      <c r="A54" s="96" t="s">
        <v>303</v>
      </c>
      <c r="B54" s="96" t="s">
        <v>21</v>
      </c>
      <c r="C54" s="96" t="b">
        <v>0</v>
      </c>
      <c r="D54" s="96" t="s">
        <v>26</v>
      </c>
      <c r="E54" s="96" t="s">
        <v>24</v>
      </c>
      <c r="F54" s="91" t="s">
        <v>304</v>
      </c>
      <c r="G54" s="103"/>
      <c r="H54" s="103">
        <v>0.84667194204466245</v>
      </c>
      <c r="I54" s="91" t="s">
        <v>248</v>
      </c>
      <c r="J54" s="91"/>
      <c r="K54" s="91"/>
      <c r="L54" s="91"/>
      <c r="M54" s="91"/>
      <c r="N54" s="65"/>
    </row>
    <row r="55" spans="1:14" x14ac:dyDescent="0.3">
      <c r="A55" s="96" t="s">
        <v>303</v>
      </c>
      <c r="B55" s="96" t="s">
        <v>21</v>
      </c>
      <c r="C55" s="96" t="b">
        <v>0</v>
      </c>
      <c r="D55" s="96" t="s">
        <v>71</v>
      </c>
      <c r="E55" s="96" t="s">
        <v>23</v>
      </c>
      <c r="F55" s="91" t="s">
        <v>305</v>
      </c>
      <c r="G55" s="103"/>
      <c r="H55" s="103">
        <v>0.34404583630237656</v>
      </c>
      <c r="I55" s="91" t="s">
        <v>261</v>
      </c>
      <c r="J55" s="91"/>
      <c r="K55" s="91">
        <v>0.34404583630237656</v>
      </c>
      <c r="L55" s="91"/>
      <c r="M55" s="91"/>
      <c r="N55" s="65"/>
    </row>
    <row r="56" spans="1:14" x14ac:dyDescent="0.3">
      <c r="A56" s="96" t="s">
        <v>303</v>
      </c>
      <c r="B56" s="96" t="s">
        <v>21</v>
      </c>
      <c r="C56" s="96" t="b">
        <v>0</v>
      </c>
      <c r="D56" s="96" t="s">
        <v>74</v>
      </c>
      <c r="E56" s="96" t="s">
        <v>23</v>
      </c>
      <c r="F56" s="91" t="s">
        <v>306</v>
      </c>
      <c r="G56" s="103"/>
      <c r="H56" s="103">
        <v>0.62832441838683617</v>
      </c>
      <c r="I56" s="91" t="s">
        <v>264</v>
      </c>
      <c r="J56" s="91"/>
      <c r="K56" s="91">
        <v>1.2203257884717602</v>
      </c>
      <c r="L56" s="91"/>
      <c r="M56" s="91"/>
      <c r="N56" s="65"/>
    </row>
    <row r="57" spans="1:14" x14ac:dyDescent="0.3">
      <c r="A57" s="96" t="s">
        <v>303</v>
      </c>
      <c r="B57" s="96" t="s">
        <v>21</v>
      </c>
      <c r="C57" s="96" t="b">
        <v>0</v>
      </c>
      <c r="D57" s="96" t="s">
        <v>74</v>
      </c>
      <c r="E57" s="96" t="s">
        <v>24</v>
      </c>
      <c r="F57" s="91" t="s">
        <v>307</v>
      </c>
      <c r="G57" s="103"/>
      <c r="H57" s="103">
        <v>1.812327158556684</v>
      </c>
      <c r="I57" s="91" t="s">
        <v>264</v>
      </c>
      <c r="J57" s="91"/>
      <c r="K57" s="91"/>
      <c r="L57" s="91"/>
      <c r="M57" s="91"/>
      <c r="N57" s="65"/>
    </row>
    <row r="58" spans="1:14" x14ac:dyDescent="0.3">
      <c r="A58" s="96" t="s">
        <v>303</v>
      </c>
      <c r="B58" s="96" t="s">
        <v>27</v>
      </c>
      <c r="C58" s="96" t="b">
        <v>0</v>
      </c>
      <c r="D58" s="96" t="s">
        <v>26</v>
      </c>
      <c r="E58" s="96" t="s">
        <v>23</v>
      </c>
      <c r="F58" s="91" t="s">
        <v>160</v>
      </c>
      <c r="G58" s="103"/>
      <c r="H58" s="103">
        <v>0.15913197010879487</v>
      </c>
      <c r="I58" s="91" t="s">
        <v>154</v>
      </c>
      <c r="J58" s="91"/>
      <c r="K58" s="91">
        <v>0.28864237139821458</v>
      </c>
      <c r="L58" s="91"/>
      <c r="M58" s="91">
        <v>0.58404110144451027</v>
      </c>
      <c r="N58" s="65"/>
    </row>
    <row r="59" spans="1:14" x14ac:dyDescent="0.3">
      <c r="A59" s="96" t="s">
        <v>303</v>
      </c>
      <c r="B59" s="96" t="s">
        <v>27</v>
      </c>
      <c r="C59" s="96" t="b">
        <v>0</v>
      </c>
      <c r="D59" s="96" t="s">
        <v>26</v>
      </c>
      <c r="E59" s="96" t="s">
        <v>24</v>
      </c>
      <c r="F59" s="91" t="s">
        <v>180</v>
      </c>
      <c r="G59" s="103"/>
      <c r="H59" s="103">
        <v>0.41815277268763429</v>
      </c>
      <c r="I59" s="91" t="s">
        <v>154</v>
      </c>
      <c r="J59" s="91"/>
      <c r="K59" s="91"/>
      <c r="L59" s="91"/>
      <c r="M59" s="91"/>
      <c r="N59" s="65"/>
    </row>
    <row r="60" spans="1:14" x14ac:dyDescent="0.3">
      <c r="A60" s="96" t="s">
        <v>303</v>
      </c>
      <c r="B60" s="96" t="s">
        <v>27</v>
      </c>
      <c r="C60" s="96" t="b">
        <v>0</v>
      </c>
      <c r="D60" s="96" t="s">
        <v>71</v>
      </c>
      <c r="E60" s="96" t="s">
        <v>23</v>
      </c>
      <c r="F60" s="91" t="s">
        <v>308</v>
      </c>
      <c r="G60" s="103"/>
      <c r="H60" s="103">
        <v>0.2402399173493793</v>
      </c>
      <c r="I60" s="91" t="s">
        <v>169</v>
      </c>
      <c r="J60" s="91"/>
      <c r="K60" s="91">
        <v>0.7281605915471312</v>
      </c>
      <c r="L60" s="91"/>
      <c r="M60" s="91"/>
      <c r="N60" s="65"/>
    </row>
    <row r="61" spans="1:14" x14ac:dyDescent="0.3">
      <c r="A61" s="96" t="s">
        <v>303</v>
      </c>
      <c r="B61" s="96" t="s">
        <v>27</v>
      </c>
      <c r="C61" s="96" t="b">
        <v>0</v>
      </c>
      <c r="D61" s="96" t="s">
        <v>71</v>
      </c>
      <c r="E61" s="96" t="s">
        <v>24</v>
      </c>
      <c r="F61" s="91" t="s">
        <v>309</v>
      </c>
      <c r="G61" s="103"/>
      <c r="H61" s="103">
        <v>0.68823265559152302</v>
      </c>
      <c r="I61" s="91" t="s">
        <v>169</v>
      </c>
      <c r="J61" s="91"/>
      <c r="K61" s="91"/>
      <c r="L61" s="91"/>
      <c r="M61" s="91"/>
      <c r="N61" s="65"/>
    </row>
    <row r="62" spans="1:14" x14ac:dyDescent="0.3">
      <c r="A62" s="96" t="s">
        <v>303</v>
      </c>
      <c r="B62" s="96" t="s">
        <v>27</v>
      </c>
      <c r="C62" s="96" t="b">
        <v>0</v>
      </c>
      <c r="D62" s="96" t="s">
        <v>71</v>
      </c>
      <c r="E62" s="96" t="s">
        <v>25</v>
      </c>
      <c r="F62" s="91" t="s">
        <v>310</v>
      </c>
      <c r="G62" s="103"/>
      <c r="H62" s="103">
        <v>1.2560092017004911</v>
      </c>
      <c r="I62" s="91" t="s">
        <v>169</v>
      </c>
      <c r="J62" s="91"/>
      <c r="K62" s="91"/>
      <c r="L62" s="91"/>
      <c r="M62" s="91"/>
      <c r="N62" s="65"/>
    </row>
    <row r="63" spans="1:14" x14ac:dyDescent="0.3">
      <c r="A63" s="96" t="s">
        <v>303</v>
      </c>
      <c r="B63" s="96" t="s">
        <v>27</v>
      </c>
      <c r="C63" s="96" t="b">
        <v>0</v>
      </c>
      <c r="D63" s="96" t="s">
        <v>74</v>
      </c>
      <c r="E63" s="96" t="s">
        <v>23</v>
      </c>
      <c r="F63" s="91" t="s">
        <v>311</v>
      </c>
      <c r="G63" s="103"/>
      <c r="H63" s="103">
        <v>0.41827586296930475</v>
      </c>
      <c r="I63" s="91" t="s">
        <v>170</v>
      </c>
      <c r="J63" s="91"/>
      <c r="K63" s="91">
        <v>0.66326059633687429</v>
      </c>
      <c r="L63" s="91"/>
      <c r="M63" s="91"/>
      <c r="N63" s="65"/>
    </row>
    <row r="64" spans="1:14" x14ac:dyDescent="0.3">
      <c r="A64" s="96" t="s">
        <v>303</v>
      </c>
      <c r="B64" s="96" t="s">
        <v>27</v>
      </c>
      <c r="C64" s="96" t="b">
        <v>0</v>
      </c>
      <c r="D64" s="96" t="s">
        <v>74</v>
      </c>
      <c r="E64" s="96" t="s">
        <v>24</v>
      </c>
      <c r="F64" s="91" t="s">
        <v>312</v>
      </c>
      <c r="G64" s="103"/>
      <c r="H64" s="103">
        <v>0.90824532970444394</v>
      </c>
      <c r="I64" s="91" t="s">
        <v>170</v>
      </c>
      <c r="J64" s="91"/>
      <c r="K64" s="91"/>
      <c r="L64" s="91"/>
      <c r="M64" s="91"/>
      <c r="N64" s="65"/>
    </row>
    <row r="65" spans="1:14" x14ac:dyDescent="0.3">
      <c r="A65" s="96" t="s">
        <v>303</v>
      </c>
      <c r="B65" s="96" t="s">
        <v>313</v>
      </c>
      <c r="C65" s="96" t="b">
        <v>0</v>
      </c>
      <c r="D65" s="96" t="s">
        <v>26</v>
      </c>
      <c r="E65" s="96" t="s">
        <v>23</v>
      </c>
      <c r="F65" s="91" t="s">
        <v>314</v>
      </c>
      <c r="G65" s="103"/>
      <c r="H65" s="103">
        <v>0.1790856816077725</v>
      </c>
      <c r="I65" s="91" t="s">
        <v>315</v>
      </c>
      <c r="J65" s="91"/>
      <c r="K65" s="91">
        <v>0.3902321888294138</v>
      </c>
      <c r="L65" s="91"/>
      <c r="M65" s="91">
        <v>0.63669854386343205</v>
      </c>
      <c r="N65" s="65"/>
    </row>
    <row r="66" spans="1:14" x14ac:dyDescent="0.3">
      <c r="A66" s="96" t="s">
        <v>303</v>
      </c>
      <c r="B66" s="96" t="s">
        <v>313</v>
      </c>
      <c r="C66" s="96" t="b">
        <v>0</v>
      </c>
      <c r="D66" s="96" t="s">
        <v>26</v>
      </c>
      <c r="E66" s="96" t="s">
        <v>24</v>
      </c>
      <c r="F66" s="91" t="s">
        <v>316</v>
      </c>
      <c r="G66" s="103"/>
      <c r="H66" s="103">
        <v>0.60137869605105509</v>
      </c>
      <c r="I66" s="91" t="s">
        <v>315</v>
      </c>
      <c r="J66" s="91"/>
      <c r="K66" s="91"/>
      <c r="L66" s="91"/>
      <c r="M66" s="91"/>
      <c r="N66" s="65"/>
    </row>
    <row r="67" spans="1:14" x14ac:dyDescent="0.3">
      <c r="A67" s="96" t="s">
        <v>303</v>
      </c>
      <c r="B67" s="96" t="s">
        <v>313</v>
      </c>
      <c r="C67" s="96" t="b">
        <v>0</v>
      </c>
      <c r="D67" s="96" t="s">
        <v>71</v>
      </c>
      <c r="E67" s="96" t="s">
        <v>23</v>
      </c>
      <c r="F67" s="91" t="s">
        <v>317</v>
      </c>
      <c r="G67" s="103"/>
      <c r="H67" s="103">
        <v>0.27275089214846648</v>
      </c>
      <c r="I67" s="91" t="s">
        <v>318</v>
      </c>
      <c r="J67" s="91"/>
      <c r="K67" s="91">
        <v>0.62970505407685895</v>
      </c>
      <c r="L67" s="91"/>
      <c r="M67" s="91"/>
      <c r="N67" s="65"/>
    </row>
    <row r="68" spans="1:14" x14ac:dyDescent="0.3">
      <c r="A68" s="96" t="s">
        <v>303</v>
      </c>
      <c r="B68" s="96" t="s">
        <v>313</v>
      </c>
      <c r="C68" s="96" t="b">
        <v>0</v>
      </c>
      <c r="D68" s="96" t="s">
        <v>71</v>
      </c>
      <c r="E68" s="96" t="s">
        <v>24</v>
      </c>
      <c r="F68" s="91" t="s">
        <v>319</v>
      </c>
      <c r="G68" s="103"/>
      <c r="H68" s="103">
        <v>0.9866592160052513</v>
      </c>
      <c r="I68" s="91" t="s">
        <v>318</v>
      </c>
      <c r="J68" s="91"/>
      <c r="K68" s="91"/>
      <c r="L68" s="91"/>
      <c r="M68" s="91"/>
      <c r="N68" s="65"/>
    </row>
    <row r="69" spans="1:14" x14ac:dyDescent="0.3">
      <c r="A69" s="96" t="s">
        <v>303</v>
      </c>
      <c r="B69" s="96" t="s">
        <v>313</v>
      </c>
      <c r="C69" s="96" t="b">
        <v>0</v>
      </c>
      <c r="D69" s="96" t="s">
        <v>74</v>
      </c>
      <c r="E69" s="96" t="s">
        <v>23</v>
      </c>
      <c r="F69" s="91" t="s">
        <v>320</v>
      </c>
      <c r="G69" s="103"/>
      <c r="H69" s="103">
        <v>0.4939024515493719</v>
      </c>
      <c r="I69" s="91" t="s">
        <v>321</v>
      </c>
      <c r="J69" s="91"/>
      <c r="K69" s="91">
        <v>0.89015838868402331</v>
      </c>
      <c r="L69" s="91"/>
      <c r="M69" s="91"/>
      <c r="N69" s="65"/>
    </row>
    <row r="70" spans="1:14" x14ac:dyDescent="0.3">
      <c r="A70" s="96" t="s">
        <v>303</v>
      </c>
      <c r="B70" s="96" t="s">
        <v>313</v>
      </c>
      <c r="C70" s="96" t="b">
        <v>0</v>
      </c>
      <c r="D70" s="96" t="s">
        <v>74</v>
      </c>
      <c r="E70" s="96" t="s">
        <v>24</v>
      </c>
      <c r="F70" s="91" t="s">
        <v>322</v>
      </c>
      <c r="G70" s="103"/>
      <c r="H70" s="103">
        <v>1.2864143258186747</v>
      </c>
      <c r="I70" s="91" t="s">
        <v>321</v>
      </c>
      <c r="J70" s="91"/>
      <c r="K70" s="91"/>
      <c r="L70" s="91"/>
      <c r="M70" s="91"/>
      <c r="N70" s="65"/>
    </row>
    <row r="71" spans="1:14" x14ac:dyDescent="0.3">
      <c r="A71" s="96" t="s">
        <v>303</v>
      </c>
      <c r="B71" s="96" t="s">
        <v>33</v>
      </c>
      <c r="C71" s="96" t="b">
        <v>0</v>
      </c>
      <c r="D71" s="96" t="s">
        <v>26</v>
      </c>
      <c r="E71" s="96" t="s">
        <v>23</v>
      </c>
      <c r="F71" s="91" t="s">
        <v>323</v>
      </c>
      <c r="G71" s="103"/>
      <c r="H71" s="103">
        <v>0.24284916598581971</v>
      </c>
      <c r="I71" s="91" t="s">
        <v>324</v>
      </c>
      <c r="J71" s="91"/>
      <c r="K71" s="103">
        <v>0.24284916598581971</v>
      </c>
      <c r="L71" s="91"/>
      <c r="M71" s="103">
        <v>0.94231435398463548</v>
      </c>
    </row>
    <row r="72" spans="1:14" x14ac:dyDescent="0.3">
      <c r="A72" s="96" t="s">
        <v>303</v>
      </c>
      <c r="B72" s="96" t="s">
        <v>33</v>
      </c>
      <c r="C72" s="96" t="b">
        <v>0</v>
      </c>
      <c r="D72" s="96" t="s">
        <v>71</v>
      </c>
      <c r="E72" s="96" t="s">
        <v>24</v>
      </c>
      <c r="F72" s="91" t="s">
        <v>325</v>
      </c>
      <c r="G72" s="103"/>
      <c r="H72" s="103">
        <v>0.99915073192563453</v>
      </c>
      <c r="I72" s="91" t="s">
        <v>273</v>
      </c>
      <c r="J72" s="91"/>
      <c r="K72" s="103">
        <v>1.4702645824953517</v>
      </c>
      <c r="L72" s="91"/>
      <c r="M72" s="103"/>
    </row>
    <row r="73" spans="1:14" x14ac:dyDescent="0.3">
      <c r="A73" s="96" t="s">
        <v>303</v>
      </c>
      <c r="B73" s="96" t="s">
        <v>33</v>
      </c>
      <c r="C73" s="96" t="b">
        <v>0</v>
      </c>
      <c r="D73" s="96" t="s">
        <v>71</v>
      </c>
      <c r="E73" s="96" t="s">
        <v>25</v>
      </c>
      <c r="F73" s="91" t="s">
        <v>326</v>
      </c>
      <c r="G73" s="103"/>
      <c r="H73" s="103">
        <v>1.941378433065069</v>
      </c>
      <c r="I73" s="91" t="s">
        <v>273</v>
      </c>
      <c r="J73" s="91"/>
      <c r="K73" s="103"/>
      <c r="L73" s="91"/>
      <c r="M73" s="103"/>
    </row>
    <row r="74" spans="1:14" x14ac:dyDescent="0.3">
      <c r="A74" s="96" t="s">
        <v>303</v>
      </c>
      <c r="B74" s="96" t="s">
        <v>33</v>
      </c>
      <c r="C74" s="96" t="b">
        <v>0</v>
      </c>
      <c r="D74" s="96" t="s">
        <v>74</v>
      </c>
      <c r="E74" s="96" t="s">
        <v>23</v>
      </c>
      <c r="F74" s="91" t="s">
        <v>327</v>
      </c>
      <c r="G74" s="103"/>
      <c r="H74" s="103">
        <v>0.58587908496201924</v>
      </c>
      <c r="I74" s="91" t="s">
        <v>275</v>
      </c>
      <c r="J74" s="91"/>
      <c r="K74" s="103">
        <v>0.58587908496201924</v>
      </c>
      <c r="L74" s="91"/>
      <c r="M74" s="103"/>
    </row>
    <row r="75" spans="1:14" x14ac:dyDescent="0.3">
      <c r="A75" s="96" t="s">
        <v>303</v>
      </c>
      <c r="B75" s="96" t="s">
        <v>29</v>
      </c>
      <c r="C75" s="96" t="b">
        <v>0</v>
      </c>
      <c r="D75" s="96" t="s">
        <v>26</v>
      </c>
      <c r="E75" s="96" t="s">
        <v>23</v>
      </c>
      <c r="F75" s="91" t="s">
        <v>328</v>
      </c>
      <c r="G75" s="103"/>
      <c r="H75" s="103">
        <v>0.38585154615439954</v>
      </c>
      <c r="I75" s="91" t="s">
        <v>155</v>
      </c>
      <c r="J75" s="91"/>
      <c r="K75" s="103">
        <v>0.51377766661096325</v>
      </c>
      <c r="L75" s="91"/>
      <c r="M75" s="103">
        <v>0.71703508869497345</v>
      </c>
    </row>
    <row r="76" spans="1:14" x14ac:dyDescent="0.3">
      <c r="A76" s="96" t="s">
        <v>303</v>
      </c>
      <c r="B76" s="96" t="s">
        <v>29</v>
      </c>
      <c r="C76" s="96" t="b">
        <v>0</v>
      </c>
      <c r="D76" s="96" t="s">
        <v>26</v>
      </c>
      <c r="E76" s="96" t="s">
        <v>24</v>
      </c>
      <c r="F76" s="91" t="s">
        <v>329</v>
      </c>
      <c r="G76" s="103"/>
      <c r="H76" s="103">
        <v>0.64170378706752684</v>
      </c>
      <c r="I76" s="91" t="s">
        <v>155</v>
      </c>
      <c r="J76" s="91"/>
      <c r="K76" s="103"/>
      <c r="L76" s="91"/>
      <c r="M76" s="103"/>
    </row>
    <row r="77" spans="1:14" x14ac:dyDescent="0.3">
      <c r="A77" s="96" t="s">
        <v>303</v>
      </c>
      <c r="B77" s="96" t="s">
        <v>29</v>
      </c>
      <c r="C77" s="96" t="b">
        <v>0</v>
      </c>
      <c r="D77" s="96" t="s">
        <v>71</v>
      </c>
      <c r="E77" s="96" t="s">
        <v>23</v>
      </c>
      <c r="F77" s="91" t="s">
        <v>330</v>
      </c>
      <c r="G77" s="103"/>
      <c r="H77" s="103">
        <v>0.48371924500412211</v>
      </c>
      <c r="I77" s="91" t="s">
        <v>279</v>
      </c>
      <c r="J77" s="91"/>
      <c r="K77" s="103">
        <v>0.48371924500412211</v>
      </c>
      <c r="L77" s="91"/>
      <c r="M77" s="103"/>
    </row>
    <row r="78" spans="1:14" x14ac:dyDescent="0.3">
      <c r="A78" s="96" t="s">
        <v>303</v>
      </c>
      <c r="B78" s="96" t="s">
        <v>29</v>
      </c>
      <c r="C78" s="96" t="b">
        <v>0</v>
      </c>
      <c r="D78" s="96" t="s">
        <v>74</v>
      </c>
      <c r="E78" s="96" t="s">
        <v>23</v>
      </c>
      <c r="F78" s="91" t="s">
        <v>331</v>
      </c>
      <c r="G78" s="103"/>
      <c r="H78" s="103">
        <v>0.80071497497427524</v>
      </c>
      <c r="I78" s="91" t="s">
        <v>177</v>
      </c>
      <c r="J78" s="91"/>
      <c r="K78" s="103">
        <v>1.0369504326244092</v>
      </c>
      <c r="L78" s="91"/>
      <c r="M78" s="103"/>
    </row>
    <row r="79" spans="1:14" x14ac:dyDescent="0.3">
      <c r="A79" s="96" t="s">
        <v>303</v>
      </c>
      <c r="B79" s="96" t="s">
        <v>29</v>
      </c>
      <c r="C79" s="96" t="b">
        <v>0</v>
      </c>
      <c r="D79" s="96" t="s">
        <v>74</v>
      </c>
      <c r="E79" s="96" t="s">
        <v>24</v>
      </c>
      <c r="F79" s="91" t="s">
        <v>332</v>
      </c>
      <c r="G79" s="103"/>
      <c r="H79" s="103">
        <v>1.2731858902745434</v>
      </c>
      <c r="I79" s="91" t="s">
        <v>177</v>
      </c>
      <c r="J79" s="91"/>
      <c r="K79" s="103"/>
      <c r="L79" s="91"/>
      <c r="M79" s="103"/>
    </row>
    <row r="80" spans="1:14" x14ac:dyDescent="0.3">
      <c r="A80" s="96" t="s">
        <v>303</v>
      </c>
      <c r="B80" s="96" t="s">
        <v>30</v>
      </c>
      <c r="C80" s="96" t="b">
        <v>0</v>
      </c>
      <c r="D80" s="96" t="s">
        <v>26</v>
      </c>
      <c r="E80" s="96" t="s">
        <v>23</v>
      </c>
      <c r="F80" s="91" t="s">
        <v>161</v>
      </c>
      <c r="G80" s="103"/>
      <c r="H80" s="103">
        <v>0.27629869886239217</v>
      </c>
      <c r="I80" s="91" t="s">
        <v>156</v>
      </c>
      <c r="J80" s="91"/>
      <c r="K80" s="103">
        <v>0.3296164211998806</v>
      </c>
      <c r="L80" s="91"/>
      <c r="M80" s="103">
        <v>0.74878081083922488</v>
      </c>
    </row>
    <row r="81" spans="1:13" x14ac:dyDescent="0.3">
      <c r="A81" s="96" t="s">
        <v>303</v>
      </c>
      <c r="B81" s="96" t="s">
        <v>30</v>
      </c>
      <c r="C81" s="96" t="b">
        <v>0</v>
      </c>
      <c r="D81" s="96" t="s">
        <v>26</v>
      </c>
      <c r="E81" s="96" t="s">
        <v>24</v>
      </c>
      <c r="F81" s="91" t="s">
        <v>181</v>
      </c>
      <c r="G81" s="103"/>
      <c r="H81" s="103">
        <v>0.38293414353736904</v>
      </c>
      <c r="I81" s="91" t="s">
        <v>156</v>
      </c>
      <c r="J81" s="91"/>
      <c r="K81" s="103"/>
      <c r="L81" s="91"/>
      <c r="M81" s="103"/>
    </row>
    <row r="82" spans="1:13" x14ac:dyDescent="0.3">
      <c r="A82" s="96" t="s">
        <v>303</v>
      </c>
      <c r="B82" s="96" t="s">
        <v>30</v>
      </c>
      <c r="C82" s="96" t="b">
        <v>0</v>
      </c>
      <c r="D82" s="96" t="s">
        <v>71</v>
      </c>
      <c r="E82" s="96" t="s">
        <v>23</v>
      </c>
      <c r="F82" s="91" t="s">
        <v>333</v>
      </c>
      <c r="G82" s="103"/>
      <c r="H82" s="103">
        <v>0.35551306957069218</v>
      </c>
      <c r="I82" s="91" t="s">
        <v>171</v>
      </c>
      <c r="J82" s="91"/>
      <c r="K82" s="103">
        <v>1.1206675437460811</v>
      </c>
      <c r="L82" s="91"/>
      <c r="M82" s="103"/>
    </row>
    <row r="83" spans="1:13" x14ac:dyDescent="0.3">
      <c r="A83" s="96" t="s">
        <v>303</v>
      </c>
      <c r="B83" s="96" t="s">
        <v>30</v>
      </c>
      <c r="C83" s="96" t="b">
        <v>0</v>
      </c>
      <c r="D83" s="96" t="s">
        <v>71</v>
      </c>
      <c r="E83" s="96" t="s">
        <v>24</v>
      </c>
      <c r="F83" s="91" t="s">
        <v>334</v>
      </c>
      <c r="G83" s="103"/>
      <c r="H83" s="103">
        <v>0.5691106388815188</v>
      </c>
      <c r="I83" s="91" t="s">
        <v>171</v>
      </c>
      <c r="J83" s="91"/>
      <c r="K83" s="103"/>
      <c r="L83" s="91"/>
      <c r="M83" s="103"/>
    </row>
    <row r="84" spans="1:13" x14ac:dyDescent="0.3">
      <c r="A84" s="96" t="s">
        <v>303</v>
      </c>
      <c r="B84" s="96" t="s">
        <v>30</v>
      </c>
      <c r="C84" s="96" t="b">
        <v>0</v>
      </c>
      <c r="D84" s="96" t="s">
        <v>71</v>
      </c>
      <c r="E84" s="96" t="s">
        <v>25</v>
      </c>
      <c r="F84" s="91" t="s">
        <v>335</v>
      </c>
      <c r="G84" s="103"/>
      <c r="H84" s="103">
        <v>2.4373789227860323</v>
      </c>
      <c r="I84" s="91" t="s">
        <v>171</v>
      </c>
      <c r="J84" s="91"/>
      <c r="K84" s="103"/>
      <c r="L84" s="91"/>
      <c r="M84" s="103"/>
    </row>
    <row r="85" spans="1:13" x14ac:dyDescent="0.3">
      <c r="A85" s="96" t="s">
        <v>303</v>
      </c>
      <c r="B85" s="96" t="s">
        <v>30</v>
      </c>
      <c r="C85" s="96" t="b">
        <v>0</v>
      </c>
      <c r="D85" s="96" t="s">
        <v>74</v>
      </c>
      <c r="E85" s="96" t="s">
        <v>23</v>
      </c>
      <c r="F85" s="91" t="s">
        <v>336</v>
      </c>
      <c r="G85" s="103"/>
      <c r="H85" s="103">
        <v>0.51800629091226547</v>
      </c>
      <c r="I85" s="91" t="s">
        <v>172</v>
      </c>
      <c r="J85" s="91"/>
      <c r="K85" s="103">
        <v>0.6101151011182846</v>
      </c>
      <c r="L85" s="91"/>
      <c r="M85" s="103"/>
    </row>
    <row r="86" spans="1:13" x14ac:dyDescent="0.3">
      <c r="A86" s="96" t="s">
        <v>303</v>
      </c>
      <c r="B86" s="96" t="s">
        <v>30</v>
      </c>
      <c r="C86" s="96" t="b">
        <v>0</v>
      </c>
      <c r="D86" s="96" t="s">
        <v>74</v>
      </c>
      <c r="E86" s="96" t="s">
        <v>24</v>
      </c>
      <c r="F86" s="91" t="s">
        <v>337</v>
      </c>
      <c r="G86" s="103"/>
      <c r="H86" s="103">
        <v>0.70222391132430373</v>
      </c>
      <c r="I86" s="91" t="s">
        <v>172</v>
      </c>
      <c r="J86" s="91"/>
      <c r="K86" s="103"/>
      <c r="L86" s="91"/>
      <c r="M86" s="103"/>
    </row>
    <row r="87" spans="1:13" x14ac:dyDescent="0.3">
      <c r="A87" s="96" t="s">
        <v>303</v>
      </c>
      <c r="B87" s="96" t="s">
        <v>93</v>
      </c>
      <c r="C87" s="96" t="b">
        <v>0</v>
      </c>
      <c r="D87" s="96" t="s">
        <v>26</v>
      </c>
      <c r="E87" s="96" t="s">
        <v>23</v>
      </c>
      <c r="F87" s="91" t="s">
        <v>182</v>
      </c>
      <c r="G87" s="103"/>
      <c r="H87" s="103">
        <v>0.15554638969636247</v>
      </c>
      <c r="I87" s="91" t="s">
        <v>178</v>
      </c>
      <c r="J87" s="91"/>
      <c r="K87" s="103">
        <v>0.16925441108748834</v>
      </c>
      <c r="L87" s="91"/>
      <c r="M87" s="103">
        <v>0.58536173116352341</v>
      </c>
    </row>
    <row r="88" spans="1:13" x14ac:dyDescent="0.3">
      <c r="A88" s="96" t="s">
        <v>303</v>
      </c>
      <c r="B88" s="96" t="s">
        <v>93</v>
      </c>
      <c r="C88" s="96" t="b">
        <v>0</v>
      </c>
      <c r="D88" s="96" t="s">
        <v>26</v>
      </c>
      <c r="E88" s="96" t="s">
        <v>24</v>
      </c>
      <c r="F88" s="91" t="s">
        <v>183</v>
      </c>
      <c r="G88" s="103"/>
      <c r="H88" s="103">
        <v>0.18296243247861421</v>
      </c>
      <c r="I88" s="91" t="s">
        <v>178</v>
      </c>
      <c r="J88" s="91"/>
      <c r="K88" s="103"/>
      <c r="L88" s="91"/>
      <c r="M88" s="103"/>
    </row>
    <row r="89" spans="1:13" x14ac:dyDescent="0.3">
      <c r="A89" s="96" t="s">
        <v>303</v>
      </c>
      <c r="B89" s="96" t="s">
        <v>93</v>
      </c>
      <c r="C89" s="96" t="b">
        <v>0</v>
      </c>
      <c r="D89" s="96" t="s">
        <v>71</v>
      </c>
      <c r="E89" s="96" t="s">
        <v>23</v>
      </c>
      <c r="F89" s="91" t="s">
        <v>184</v>
      </c>
      <c r="G89" s="103"/>
      <c r="H89" s="103">
        <v>0.22220210901267362</v>
      </c>
      <c r="I89" s="91" t="s">
        <v>173</v>
      </c>
      <c r="J89" s="91"/>
      <c r="K89" s="103">
        <v>0.5815775333435661</v>
      </c>
      <c r="L89" s="91"/>
      <c r="M89" s="103"/>
    </row>
    <row r="90" spans="1:13" x14ac:dyDescent="0.3">
      <c r="A90" s="96" t="s">
        <v>303</v>
      </c>
      <c r="B90" s="96" t="s">
        <v>93</v>
      </c>
      <c r="C90" s="96" t="b">
        <v>0</v>
      </c>
      <c r="D90" s="96" t="s">
        <v>71</v>
      </c>
      <c r="E90" s="96" t="s">
        <v>24</v>
      </c>
      <c r="F90" s="91" t="s">
        <v>338</v>
      </c>
      <c r="G90" s="103"/>
      <c r="H90" s="103">
        <v>0.29132534215662448</v>
      </c>
      <c r="I90" s="91" t="s">
        <v>173</v>
      </c>
      <c r="J90" s="91"/>
      <c r="K90" s="103"/>
      <c r="L90" s="91"/>
      <c r="M90" s="103"/>
    </row>
    <row r="91" spans="1:13" x14ac:dyDescent="0.3">
      <c r="A91" s="96" t="s">
        <v>303</v>
      </c>
      <c r="B91" s="96" t="s">
        <v>93</v>
      </c>
      <c r="C91" s="96" t="b">
        <v>0</v>
      </c>
      <c r="D91" s="96" t="s">
        <v>71</v>
      </c>
      <c r="E91" s="96" t="s">
        <v>25</v>
      </c>
      <c r="F91" s="91" t="s">
        <v>185</v>
      </c>
      <c r="G91" s="103"/>
      <c r="H91" s="103">
        <v>1.2312051488614004</v>
      </c>
      <c r="I91" s="91" t="s">
        <v>173</v>
      </c>
      <c r="J91" s="91"/>
      <c r="K91" s="103"/>
      <c r="L91" s="91"/>
      <c r="M91" s="103"/>
    </row>
    <row r="92" spans="1:13" x14ac:dyDescent="0.3">
      <c r="A92" s="96" t="s">
        <v>303</v>
      </c>
      <c r="B92" s="96" t="s">
        <v>93</v>
      </c>
      <c r="C92" s="96" t="b">
        <v>0</v>
      </c>
      <c r="D92" s="96" t="s">
        <v>74</v>
      </c>
      <c r="E92" s="96" t="s">
        <v>23</v>
      </c>
      <c r="F92" s="91" t="s">
        <v>186</v>
      </c>
      <c r="G92" s="103"/>
      <c r="H92" s="103">
        <v>0.35045279311674005</v>
      </c>
      <c r="I92" s="91" t="s">
        <v>174</v>
      </c>
      <c r="J92" s="91"/>
      <c r="K92" s="103">
        <v>0.86655080903417081</v>
      </c>
      <c r="L92" s="91"/>
      <c r="M92" s="103"/>
    </row>
    <row r="93" spans="1:13" x14ac:dyDescent="0.3">
      <c r="A93" s="96" t="s">
        <v>303</v>
      </c>
      <c r="B93" s="96" t="s">
        <v>93</v>
      </c>
      <c r="C93" s="96" t="b">
        <v>0</v>
      </c>
      <c r="D93" s="96" t="s">
        <v>74</v>
      </c>
      <c r="E93" s="96" t="s">
        <v>24</v>
      </c>
      <c r="F93" s="91" t="s">
        <v>339</v>
      </c>
      <c r="G93" s="103"/>
      <c r="H93" s="103">
        <v>0.38899706195708988</v>
      </c>
      <c r="I93" s="91" t="s">
        <v>174</v>
      </c>
      <c r="J93" s="91"/>
      <c r="K93" s="103"/>
      <c r="L93" s="91"/>
      <c r="M93" s="103"/>
    </row>
    <row r="94" spans="1:13" x14ac:dyDescent="0.3">
      <c r="A94" s="96" t="s">
        <v>303</v>
      </c>
      <c r="B94" s="96" t="s">
        <v>93</v>
      </c>
      <c r="C94" s="96" t="b">
        <v>0</v>
      </c>
      <c r="D94" s="96" t="s">
        <v>74</v>
      </c>
      <c r="E94" s="96" t="s">
        <v>25</v>
      </c>
      <c r="F94" s="91" t="s">
        <v>340</v>
      </c>
      <c r="G94" s="103"/>
      <c r="H94" s="103">
        <v>1.8602025720286823</v>
      </c>
      <c r="I94" s="91" t="s">
        <v>174</v>
      </c>
      <c r="J94" s="91"/>
      <c r="K94" s="103"/>
      <c r="L94" s="91"/>
      <c r="M94" s="103"/>
    </row>
    <row r="95" spans="1:13" x14ac:dyDescent="0.3">
      <c r="A95" s="96" t="s">
        <v>303</v>
      </c>
      <c r="B95" s="96" t="s">
        <v>31</v>
      </c>
      <c r="C95" s="96" t="b">
        <v>0</v>
      </c>
      <c r="D95" s="96" t="s">
        <v>26</v>
      </c>
      <c r="E95" s="96" t="s">
        <v>23</v>
      </c>
      <c r="F95" s="91" t="s">
        <v>162</v>
      </c>
      <c r="G95" s="103"/>
      <c r="H95" s="103">
        <v>0.18936674099803591</v>
      </c>
      <c r="I95" s="91" t="s">
        <v>157</v>
      </c>
      <c r="J95" s="91"/>
      <c r="K95" s="103">
        <v>0.23495148393127141</v>
      </c>
      <c r="L95" s="91"/>
      <c r="M95" s="103">
        <v>0.54045774715233941</v>
      </c>
    </row>
    <row r="96" spans="1:13" x14ac:dyDescent="0.3">
      <c r="A96" s="96" t="s">
        <v>303</v>
      </c>
      <c r="B96" s="96" t="s">
        <v>31</v>
      </c>
      <c r="C96" s="96" t="b">
        <v>0</v>
      </c>
      <c r="D96" s="96" t="s">
        <v>26</v>
      </c>
      <c r="E96" s="96" t="s">
        <v>24</v>
      </c>
      <c r="F96" s="91" t="s">
        <v>163</v>
      </c>
      <c r="G96" s="103"/>
      <c r="H96" s="103">
        <v>0.28053622686450691</v>
      </c>
      <c r="I96" s="91" t="s">
        <v>157</v>
      </c>
      <c r="J96" s="91"/>
      <c r="K96" s="103"/>
      <c r="L96" s="91"/>
      <c r="M96" s="103"/>
    </row>
    <row r="97" spans="1:13" x14ac:dyDescent="0.3">
      <c r="A97" s="96" t="s">
        <v>303</v>
      </c>
      <c r="B97" s="96" t="s">
        <v>31</v>
      </c>
      <c r="C97" s="96" t="b">
        <v>0</v>
      </c>
      <c r="D97" s="96" t="s">
        <v>71</v>
      </c>
      <c r="E97" s="96" t="s">
        <v>23</v>
      </c>
      <c r="F97" s="91" t="s">
        <v>341</v>
      </c>
      <c r="G97" s="103"/>
      <c r="H97" s="103">
        <v>0.26350803502905218</v>
      </c>
      <c r="I97" s="91" t="s">
        <v>175</v>
      </c>
      <c r="J97" s="91"/>
      <c r="K97" s="103">
        <v>0.77465864040514198</v>
      </c>
      <c r="L97" s="91"/>
      <c r="M97" s="103"/>
    </row>
    <row r="98" spans="1:13" x14ac:dyDescent="0.3">
      <c r="A98" s="96" t="s">
        <v>303</v>
      </c>
      <c r="B98" s="96" t="s">
        <v>31</v>
      </c>
      <c r="C98" s="96" t="b">
        <v>0</v>
      </c>
      <c r="D98" s="96" t="s">
        <v>71</v>
      </c>
      <c r="E98" s="96" t="s">
        <v>24</v>
      </c>
      <c r="F98" s="91" t="s">
        <v>342</v>
      </c>
      <c r="G98" s="103"/>
      <c r="H98" s="103">
        <v>0.43961406187624463</v>
      </c>
      <c r="I98" s="91" t="s">
        <v>175</v>
      </c>
      <c r="J98" s="91"/>
      <c r="K98" s="103"/>
      <c r="L98" s="91"/>
      <c r="M98" s="103"/>
    </row>
    <row r="99" spans="1:13" x14ac:dyDescent="0.3">
      <c r="A99" s="96" t="s">
        <v>303</v>
      </c>
      <c r="B99" s="96" t="s">
        <v>31</v>
      </c>
      <c r="C99" s="96" t="b">
        <v>0</v>
      </c>
      <c r="D99" s="96" t="s">
        <v>71</v>
      </c>
      <c r="E99" s="96" t="s">
        <v>25</v>
      </c>
      <c r="F99" s="91" t="s">
        <v>343</v>
      </c>
      <c r="G99" s="103"/>
      <c r="H99" s="103">
        <v>1.6208538243101291</v>
      </c>
      <c r="I99" s="91" t="s">
        <v>175</v>
      </c>
      <c r="J99" s="91"/>
      <c r="K99" s="103"/>
      <c r="L99" s="91"/>
      <c r="M99" s="103"/>
    </row>
    <row r="100" spans="1:13" x14ac:dyDescent="0.3">
      <c r="A100" s="96" t="s">
        <v>303</v>
      </c>
      <c r="B100" s="96" t="s">
        <v>31</v>
      </c>
      <c r="C100" s="96" t="b">
        <v>0</v>
      </c>
      <c r="D100" s="96" t="s">
        <v>74</v>
      </c>
      <c r="E100" s="96" t="s">
        <v>23</v>
      </c>
      <c r="F100" s="91" t="s">
        <v>344</v>
      </c>
      <c r="G100" s="103"/>
      <c r="H100" s="103">
        <v>0.41194013702263671</v>
      </c>
      <c r="I100" s="91" t="s">
        <v>176</v>
      </c>
      <c r="J100" s="91"/>
      <c r="K100" s="103">
        <v>0.49466267049420343</v>
      </c>
      <c r="L100" s="91"/>
      <c r="M100" s="103"/>
    </row>
    <row r="101" spans="1:13" x14ac:dyDescent="0.3">
      <c r="A101" s="96" t="s">
        <v>303</v>
      </c>
      <c r="B101" s="96" t="s">
        <v>31</v>
      </c>
      <c r="C101" s="96" t="b">
        <v>0</v>
      </c>
      <c r="D101" s="96" t="s">
        <v>74</v>
      </c>
      <c r="E101" s="96" t="s">
        <v>24</v>
      </c>
      <c r="F101" s="91" t="s">
        <v>345</v>
      </c>
      <c r="G101" s="103"/>
      <c r="H101" s="103">
        <v>0.5773852039657702</v>
      </c>
      <c r="I101" s="91" t="s">
        <v>176</v>
      </c>
      <c r="J101" s="91"/>
      <c r="K101" s="103"/>
      <c r="L101" s="91"/>
      <c r="M101" s="103"/>
    </row>
    <row r="102" spans="1:13" x14ac:dyDescent="0.3">
      <c r="A102" s="96" t="s">
        <v>303</v>
      </c>
      <c r="B102" s="96" t="s">
        <v>32</v>
      </c>
      <c r="C102" s="96" t="b">
        <v>0</v>
      </c>
      <c r="D102" s="96" t="s">
        <v>26</v>
      </c>
      <c r="E102" s="96" t="s">
        <v>23</v>
      </c>
      <c r="F102" s="91" t="s">
        <v>187</v>
      </c>
      <c r="G102" s="103"/>
      <c r="H102" s="103">
        <v>0.21528833951089688</v>
      </c>
      <c r="I102" s="91" t="s">
        <v>158</v>
      </c>
      <c r="J102" s="91"/>
      <c r="K102" s="103">
        <v>0.34279788237304815</v>
      </c>
      <c r="L102" s="91"/>
      <c r="M102" s="103">
        <v>0.68178441511503285</v>
      </c>
    </row>
    <row r="103" spans="1:13" x14ac:dyDescent="0.3">
      <c r="A103" s="96" t="s">
        <v>303</v>
      </c>
      <c r="B103" s="96" t="s">
        <v>32</v>
      </c>
      <c r="C103" s="96" t="b">
        <v>0</v>
      </c>
      <c r="D103" s="96" t="s">
        <v>26</v>
      </c>
      <c r="E103" s="96" t="s">
        <v>24</v>
      </c>
      <c r="F103" s="91" t="s">
        <v>346</v>
      </c>
      <c r="G103" s="103"/>
      <c r="H103" s="103">
        <v>0.47030742523519942</v>
      </c>
      <c r="I103" s="91" t="s">
        <v>158</v>
      </c>
      <c r="J103" s="91"/>
      <c r="K103" s="103"/>
      <c r="L103" s="91"/>
      <c r="M103" s="103"/>
    </row>
    <row r="104" spans="1:13" x14ac:dyDescent="0.3">
      <c r="A104" s="96" t="s">
        <v>303</v>
      </c>
      <c r="B104" s="96" t="s">
        <v>32</v>
      </c>
      <c r="C104" s="96" t="b">
        <v>0</v>
      </c>
      <c r="D104" s="96" t="s">
        <v>71</v>
      </c>
      <c r="E104" s="96" t="s">
        <v>23</v>
      </c>
      <c r="F104" s="91" t="s">
        <v>347</v>
      </c>
      <c r="G104" s="103"/>
      <c r="H104" s="103">
        <v>0.30220081394725151</v>
      </c>
      <c r="I104" s="91" t="s">
        <v>179</v>
      </c>
      <c r="J104" s="91"/>
      <c r="K104" s="103">
        <v>0.96907996228099569</v>
      </c>
      <c r="L104" s="91"/>
      <c r="M104" s="103"/>
    </row>
    <row r="105" spans="1:13" x14ac:dyDescent="0.3">
      <c r="A105" s="96" t="s">
        <v>303</v>
      </c>
      <c r="B105" s="96" t="s">
        <v>32</v>
      </c>
      <c r="C105" s="96" t="b">
        <v>0</v>
      </c>
      <c r="D105" s="96" t="s">
        <v>71</v>
      </c>
      <c r="E105" s="96" t="s">
        <v>24</v>
      </c>
      <c r="F105" s="91" t="s">
        <v>348</v>
      </c>
      <c r="G105" s="103"/>
      <c r="H105" s="103">
        <v>0.74674471059732839</v>
      </c>
      <c r="I105" s="91" t="s">
        <v>179</v>
      </c>
      <c r="J105" s="91"/>
      <c r="K105" s="103"/>
      <c r="L105" s="91"/>
      <c r="M105" s="103"/>
    </row>
    <row r="106" spans="1:13" x14ac:dyDescent="0.3">
      <c r="A106" s="96" t="s">
        <v>303</v>
      </c>
      <c r="B106" s="96" t="s">
        <v>32</v>
      </c>
      <c r="C106" s="96" t="b">
        <v>0</v>
      </c>
      <c r="D106" s="96" t="s">
        <v>71</v>
      </c>
      <c r="E106" s="96" t="s">
        <v>25</v>
      </c>
      <c r="F106" s="91" t="s">
        <v>349</v>
      </c>
      <c r="G106" s="103"/>
      <c r="H106" s="103">
        <v>1.8582943622984072</v>
      </c>
      <c r="I106" s="91" t="s">
        <v>179</v>
      </c>
      <c r="J106" s="103"/>
      <c r="K106" s="103"/>
      <c r="L106" s="103"/>
      <c r="M106" s="103"/>
    </row>
    <row r="107" spans="1:13" x14ac:dyDescent="0.3">
      <c r="A107" s="96" t="s">
        <v>303</v>
      </c>
      <c r="B107" s="96" t="s">
        <v>32</v>
      </c>
      <c r="C107" s="96" t="b">
        <v>0</v>
      </c>
      <c r="D107" s="96" t="s">
        <v>74</v>
      </c>
      <c r="E107" s="96" t="s">
        <v>23</v>
      </c>
      <c r="F107" s="91" t="s">
        <v>350</v>
      </c>
      <c r="G107" s="103"/>
      <c r="H107" s="103">
        <v>0.49787083910111363</v>
      </c>
      <c r="I107" s="91" t="s">
        <v>247</v>
      </c>
      <c r="J107" s="103"/>
      <c r="K107" s="103">
        <v>0.49787083910111363</v>
      </c>
      <c r="L107" s="103"/>
      <c r="M107" s="103"/>
    </row>
    <row r="108" spans="1:13" x14ac:dyDescent="0.3">
      <c r="A108" s="96" t="s">
        <v>34</v>
      </c>
      <c r="B108" s="96" t="s">
        <v>34</v>
      </c>
      <c r="C108" s="96" t="s">
        <v>34</v>
      </c>
      <c r="D108" s="96" t="s">
        <v>34</v>
      </c>
      <c r="E108" s="98" t="s">
        <v>35</v>
      </c>
      <c r="F108" s="91" t="str">
        <f>"|"&amp;"|"&amp;"|"&amp;E108</f>
        <v>|||Greenspace</v>
      </c>
      <c r="G108" s="104"/>
      <c r="H108" s="103">
        <v>0.02</v>
      </c>
      <c r="I108" s="91"/>
      <c r="J108" s="91"/>
      <c r="K108" s="91"/>
      <c r="L108" s="91"/>
      <c r="M108" s="91"/>
    </row>
    <row r="109" spans="1:13" x14ac:dyDescent="0.3">
      <c r="A109" s="96" t="s">
        <v>34</v>
      </c>
      <c r="B109" s="96" t="s">
        <v>34</v>
      </c>
      <c r="C109" s="96" t="s">
        <v>34</v>
      </c>
      <c r="D109" s="96" t="s">
        <v>34</v>
      </c>
      <c r="E109" s="98" t="s">
        <v>36</v>
      </c>
      <c r="F109" s="91" t="str">
        <f>"|"&amp;"|"&amp;"|"&amp;E109</f>
        <v>|||Community food growing</v>
      </c>
      <c r="G109" s="103"/>
      <c r="H109" s="103">
        <f>IFERROR(VLOOKUP((VLOOKUP(Nutrients_from_current_land_use!$B$5,Value_look_up_tables!$A$145:$B$145,2,FALSE)&amp;"|"&amp;"General"&amp;"|"&amp;"FALSE"&amp;"|"&amp;VLOOKUP(Nutrients_from_current_land_use!$B$7,Value_look_up_tables!$A$119:$C$141,3,FALSE)&amp;"|"&amp;"FreeDrain"),$F$13:$H$107,3,FALSE), IFERROR(VLOOKUP("General"&amp;"|"&amp;VLOOKUP(Nutrients_from_current_land_use!$B$7,Value_look_up_tables!$A$119:$C$141,3,FALSE),$I$13:$M$107,3,FALSE),VLOOKUP("General",$B$13:$M$107,12,FALSE)))</f>
        <v>0.49648096306589745</v>
      </c>
      <c r="I109" s="91"/>
      <c r="J109" s="91"/>
      <c r="K109" s="91"/>
      <c r="L109" s="91"/>
      <c r="M109" s="91"/>
    </row>
    <row r="110" spans="1:13" x14ac:dyDescent="0.3">
      <c r="A110" s="96" t="s">
        <v>34</v>
      </c>
      <c r="B110" s="96" t="s">
        <v>34</v>
      </c>
      <c r="C110" s="96" t="s">
        <v>34</v>
      </c>
      <c r="D110" s="96" t="s">
        <v>34</v>
      </c>
      <c r="E110" s="98" t="s">
        <v>37</v>
      </c>
      <c r="F110" s="91" t="str">
        <f>"|"&amp;"|"&amp;"|"&amp;E110</f>
        <v>|||Woodland</v>
      </c>
      <c r="G110" s="104"/>
      <c r="H110" s="103">
        <v>0.02</v>
      </c>
      <c r="I110" s="91"/>
      <c r="J110" s="91"/>
      <c r="K110" s="91"/>
      <c r="L110" s="91"/>
      <c r="M110" s="91"/>
    </row>
    <row r="111" spans="1:13" x14ac:dyDescent="0.3">
      <c r="A111" s="96" t="s">
        <v>34</v>
      </c>
      <c r="B111" s="96" t="s">
        <v>34</v>
      </c>
      <c r="C111" s="96" t="s">
        <v>34</v>
      </c>
      <c r="D111" s="96" t="s">
        <v>34</v>
      </c>
      <c r="E111" s="98" t="s">
        <v>38</v>
      </c>
      <c r="F111" s="91" t="str">
        <f>"|"&amp;"|"&amp;"|"&amp;E111</f>
        <v>|||Shrub</v>
      </c>
      <c r="G111" s="104"/>
      <c r="H111" s="103">
        <v>0.02</v>
      </c>
      <c r="I111" s="91"/>
      <c r="J111" s="91"/>
      <c r="K111" s="91"/>
      <c r="L111" s="91"/>
      <c r="M111" s="91"/>
    </row>
    <row r="112" spans="1:13" x14ac:dyDescent="0.3">
      <c r="A112" s="96" t="s">
        <v>34</v>
      </c>
      <c r="B112" s="96" t="s">
        <v>34</v>
      </c>
      <c r="C112" s="96" t="s">
        <v>34</v>
      </c>
      <c r="D112" s="96" t="s">
        <v>34</v>
      </c>
      <c r="E112" s="98" t="s">
        <v>39</v>
      </c>
      <c r="F112" s="91" t="str">
        <f>"|"&amp;"|"&amp;"|"&amp;E112</f>
        <v>|||Water</v>
      </c>
      <c r="G112" s="104"/>
      <c r="H112" s="103">
        <v>0</v>
      </c>
      <c r="I112" s="91"/>
      <c r="J112" s="91"/>
      <c r="K112" s="91"/>
      <c r="L112" s="91"/>
      <c r="M112" s="91"/>
    </row>
    <row r="113" spans="1:13" x14ac:dyDescent="0.3">
      <c r="A113" s="96" t="s">
        <v>34</v>
      </c>
      <c r="B113" s="96" t="s">
        <v>34</v>
      </c>
      <c r="C113" s="96" t="s">
        <v>34</v>
      </c>
      <c r="D113" s="96" t="s">
        <v>34</v>
      </c>
      <c r="E113" s="91" t="s">
        <v>40</v>
      </c>
      <c r="F113" s="91" t="str">
        <f t="shared" ref="F113:F115" si="0">"|"&amp;"|"&amp;"|"&amp;E113</f>
        <v>|||Residential urban land</v>
      </c>
      <c r="G113" s="103"/>
      <c r="H113" s="103" t="e">
        <f>VLOOKUP(Nutrients_from_current_land_use!B7,Value_look_up_tables!A119:I141,9,FALSE)</f>
        <v>#N/A</v>
      </c>
      <c r="I113" s="91"/>
      <c r="J113" s="91"/>
      <c r="K113" s="91"/>
      <c r="L113" s="91"/>
      <c r="M113" s="91"/>
    </row>
    <row r="114" spans="1:13" ht="28" x14ac:dyDescent="0.3">
      <c r="A114" s="96" t="s">
        <v>34</v>
      </c>
      <c r="B114" s="96" t="s">
        <v>34</v>
      </c>
      <c r="C114" s="96" t="s">
        <v>34</v>
      </c>
      <c r="D114" s="96" t="s">
        <v>34</v>
      </c>
      <c r="E114" s="91" t="s">
        <v>41</v>
      </c>
      <c r="F114" s="91" t="str">
        <f t="shared" si="0"/>
        <v>|||Commercial/industrial urban land</v>
      </c>
      <c r="G114" s="103"/>
      <c r="H114" s="103" t="e">
        <f>VLOOKUP(Nutrients_from_current_land_use!B7,Value_look_up_tables!A119:K141,10,FALSE)</f>
        <v>#N/A</v>
      </c>
      <c r="I114" s="91"/>
      <c r="J114" s="91"/>
      <c r="K114" s="91"/>
      <c r="L114" s="91"/>
      <c r="M114" s="91"/>
    </row>
    <row r="115" spans="1:13" x14ac:dyDescent="0.3">
      <c r="A115" s="96" t="s">
        <v>34</v>
      </c>
      <c r="B115" s="96" t="s">
        <v>34</v>
      </c>
      <c r="C115" s="96" t="s">
        <v>34</v>
      </c>
      <c r="D115" s="96" t="s">
        <v>34</v>
      </c>
      <c r="E115" s="91" t="s">
        <v>42</v>
      </c>
      <c r="F115" s="91" t="str">
        <f t="shared" si="0"/>
        <v>|||Open urban land</v>
      </c>
      <c r="G115" s="103"/>
      <c r="H115" s="103" t="e">
        <f>VLOOKUP(Nutrients_from_current_land_use!B7,Value_look_up_tables!A119:N141,11,FALSE)</f>
        <v>#N/A</v>
      </c>
      <c r="I115" s="91"/>
      <c r="J115" s="91"/>
      <c r="K115" s="91"/>
      <c r="L115" s="91"/>
      <c r="M115" s="91"/>
    </row>
    <row r="116" spans="1:13" x14ac:dyDescent="0.3">
      <c r="A116" s="65"/>
      <c r="B116" s="65"/>
      <c r="C116" s="65"/>
      <c r="D116" s="65"/>
      <c r="E116" s="65"/>
      <c r="F116" s="65"/>
      <c r="G116" s="97"/>
      <c r="H116" s="97"/>
      <c r="I116" s="65"/>
      <c r="J116" s="65"/>
      <c r="K116" s="65"/>
      <c r="L116" s="65"/>
      <c r="M116" s="65"/>
    </row>
    <row r="117" spans="1:13" ht="37.5" customHeight="1" x14ac:dyDescent="0.3">
      <c r="A117" s="110" t="s">
        <v>43</v>
      </c>
      <c r="B117" s="118"/>
      <c r="C117" s="65"/>
      <c r="D117" s="65"/>
      <c r="E117" s="65"/>
      <c r="F117" s="65"/>
      <c r="G117" s="97"/>
      <c r="H117" s="97"/>
      <c r="I117" s="65"/>
      <c r="J117" s="65"/>
      <c r="K117" s="65"/>
      <c r="L117" s="65"/>
      <c r="M117" s="65"/>
    </row>
    <row r="118" spans="1:13" ht="70" x14ac:dyDescent="0.3">
      <c r="A118" s="120" t="s">
        <v>44</v>
      </c>
      <c r="B118" s="120" t="s">
        <v>45</v>
      </c>
      <c r="C118" s="120" t="s">
        <v>46</v>
      </c>
      <c r="D118" s="120" t="s">
        <v>47</v>
      </c>
      <c r="E118" s="120" t="s">
        <v>48</v>
      </c>
      <c r="F118" s="120" t="s">
        <v>49</v>
      </c>
      <c r="G118" s="120" t="s">
        <v>50</v>
      </c>
      <c r="H118" s="120" t="s">
        <v>51</v>
      </c>
      <c r="I118" s="120" t="s">
        <v>150</v>
      </c>
      <c r="J118" s="120" t="s">
        <v>151</v>
      </c>
      <c r="K118" s="120" t="s">
        <v>152</v>
      </c>
      <c r="L118" s="43"/>
      <c r="M118" s="43"/>
    </row>
    <row r="119" spans="1:13" x14ac:dyDescent="0.3">
      <c r="A119" s="99" t="s">
        <v>52</v>
      </c>
      <c r="B119" s="100">
        <v>516.5</v>
      </c>
      <c r="C119" s="99" t="s">
        <v>53</v>
      </c>
      <c r="D119" s="100">
        <v>47.366326420209788</v>
      </c>
      <c r="E119" s="100">
        <v>63.946326420209786</v>
      </c>
      <c r="F119" s="100">
        <v>1.0030530114375726</v>
      </c>
      <c r="G119" s="100">
        <v>0.73394122788115068</v>
      </c>
      <c r="H119" s="100">
        <v>0.5382235671128438</v>
      </c>
      <c r="I119" s="100">
        <v>1.0030530114375726</v>
      </c>
      <c r="J119" s="100">
        <v>0.73394122788115068</v>
      </c>
      <c r="K119" s="100">
        <v>0.5382235671128438</v>
      </c>
      <c r="L119" s="101"/>
      <c r="M119" s="101"/>
    </row>
    <row r="120" spans="1:13" x14ac:dyDescent="0.3">
      <c r="A120" s="99" t="s">
        <v>54</v>
      </c>
      <c r="B120" s="100">
        <v>537.54999999999995</v>
      </c>
      <c r="C120" s="99" t="s">
        <v>53</v>
      </c>
      <c r="D120" s="100">
        <v>47.605509573313697</v>
      </c>
      <c r="E120" s="100">
        <v>64.185509573313695</v>
      </c>
      <c r="F120" s="100">
        <v>1.049204008516526</v>
      </c>
      <c r="G120" s="100">
        <v>0.76771025013404326</v>
      </c>
      <c r="H120" s="100">
        <v>0.56298751676496517</v>
      </c>
      <c r="I120" s="100">
        <v>1.049204008516526</v>
      </c>
      <c r="J120" s="100">
        <v>0.76771025013404326</v>
      </c>
      <c r="K120" s="100">
        <v>0.56298751676496517</v>
      </c>
      <c r="L120" s="101"/>
      <c r="M120" s="101"/>
    </row>
    <row r="121" spans="1:13" x14ac:dyDescent="0.3">
      <c r="A121" s="99" t="s">
        <v>55</v>
      </c>
      <c r="B121" s="100">
        <v>562.54999999999995</v>
      </c>
      <c r="C121" s="99" t="s">
        <v>53</v>
      </c>
      <c r="D121" s="100">
        <v>47.8624816470968</v>
      </c>
      <c r="E121" s="100">
        <v>64.442481647096798</v>
      </c>
      <c r="F121" s="100">
        <v>1.1039266010735462</v>
      </c>
      <c r="G121" s="100">
        <v>0.80775117151722908</v>
      </c>
      <c r="H121" s="100">
        <v>0.59235085911263463</v>
      </c>
      <c r="I121" s="100">
        <v>1.1039266010735462</v>
      </c>
      <c r="J121" s="100">
        <v>0.80775117151722908</v>
      </c>
      <c r="K121" s="100">
        <v>0.59235085911263463</v>
      </c>
      <c r="L121" s="101"/>
      <c r="M121" s="101"/>
    </row>
    <row r="122" spans="1:13" x14ac:dyDescent="0.3">
      <c r="A122" s="99" t="s">
        <v>56</v>
      </c>
      <c r="B122" s="100">
        <v>587.54999999999995</v>
      </c>
      <c r="C122" s="99" t="s">
        <v>53</v>
      </c>
      <c r="D122" s="100">
        <v>48.089720428979902</v>
      </c>
      <c r="E122" s="100">
        <v>64.6697204289799</v>
      </c>
      <c r="F122" s="100">
        <v>1.1584597247599329</v>
      </c>
      <c r="G122" s="100">
        <v>0.84765345714141427</v>
      </c>
      <c r="H122" s="100">
        <v>0.62161253523703719</v>
      </c>
      <c r="I122" s="100">
        <v>1.1584597247599329</v>
      </c>
      <c r="J122" s="100">
        <v>0.84765345714141427</v>
      </c>
      <c r="K122" s="100">
        <v>0.62161253523703719</v>
      </c>
      <c r="L122" s="101"/>
      <c r="M122" s="101"/>
    </row>
    <row r="123" spans="1:13" x14ac:dyDescent="0.3">
      <c r="A123" s="99" t="s">
        <v>57</v>
      </c>
      <c r="B123" s="100">
        <v>612.54999999999995</v>
      </c>
      <c r="C123" s="99" t="s">
        <v>58</v>
      </c>
      <c r="D123" s="100">
        <v>48.286892468962989</v>
      </c>
      <c r="E123" s="100">
        <v>64.866892468962988</v>
      </c>
      <c r="F123" s="100">
        <v>1.2127035752563942</v>
      </c>
      <c r="G123" s="100">
        <v>0.88734407945589822</v>
      </c>
      <c r="H123" s="100">
        <v>0.650718991600992</v>
      </c>
      <c r="I123" s="100">
        <v>1.2127035752563942</v>
      </c>
      <c r="J123" s="100">
        <v>0.88734407945589822</v>
      </c>
      <c r="K123" s="100">
        <v>0.650718991600992</v>
      </c>
      <c r="L123" s="101"/>
      <c r="M123" s="101"/>
    </row>
    <row r="124" spans="1:13" x14ac:dyDescent="0.3">
      <c r="A124" s="99" t="s">
        <v>59</v>
      </c>
      <c r="B124" s="100">
        <v>637.54999999999995</v>
      </c>
      <c r="C124" s="99" t="s">
        <v>58</v>
      </c>
      <c r="D124" s="100">
        <v>48.453664317046091</v>
      </c>
      <c r="E124" s="100">
        <v>65.033664317046089</v>
      </c>
      <c r="F124" s="100">
        <v>1.2665569810986419</v>
      </c>
      <c r="G124" s="100">
        <v>0.92674901055998193</v>
      </c>
      <c r="H124" s="100">
        <v>0.67961594107732015</v>
      </c>
      <c r="I124" s="100">
        <v>1.2665569810986419</v>
      </c>
      <c r="J124" s="100">
        <v>0.92674901055998193</v>
      </c>
      <c r="K124" s="100">
        <v>0.67961594107732015</v>
      </c>
      <c r="L124" s="101"/>
      <c r="M124" s="101"/>
    </row>
    <row r="125" spans="1:13" x14ac:dyDescent="0.3">
      <c r="A125" s="99" t="s">
        <v>60</v>
      </c>
      <c r="B125" s="100">
        <v>662.55</v>
      </c>
      <c r="C125" s="99" t="s">
        <v>58</v>
      </c>
      <c r="D125" s="100">
        <v>48.589702523229192</v>
      </c>
      <c r="E125" s="100">
        <v>65.169702523229191</v>
      </c>
      <c r="F125" s="100">
        <v>1.3199174036773855</v>
      </c>
      <c r="G125" s="100">
        <v>0.96579322220296504</v>
      </c>
      <c r="H125" s="100">
        <v>0.70824836294884108</v>
      </c>
      <c r="I125" s="100">
        <v>1.3199174036773855</v>
      </c>
      <c r="J125" s="100">
        <v>0.96579322220296504</v>
      </c>
      <c r="K125" s="100">
        <v>0.70824836294884108</v>
      </c>
      <c r="L125" s="101"/>
      <c r="M125" s="101"/>
    </row>
    <row r="126" spans="1:13" x14ac:dyDescent="0.3">
      <c r="A126" s="99" t="s">
        <v>61</v>
      </c>
      <c r="B126" s="100">
        <v>687.55</v>
      </c>
      <c r="C126" s="99" t="s">
        <v>58</v>
      </c>
      <c r="D126" s="100">
        <v>48.694673637512295</v>
      </c>
      <c r="E126" s="100">
        <v>65.274673637512294</v>
      </c>
      <c r="F126" s="100">
        <v>1.3726809372383346</v>
      </c>
      <c r="G126" s="100">
        <v>1.0044006857841474</v>
      </c>
      <c r="H126" s="100">
        <v>0.73656050290837471</v>
      </c>
      <c r="I126" s="100">
        <v>1.3726809372383346</v>
      </c>
      <c r="J126" s="100">
        <v>1.0044006857841474</v>
      </c>
      <c r="K126" s="100">
        <v>0.73656050290837471</v>
      </c>
      <c r="L126" s="101"/>
      <c r="M126" s="101"/>
    </row>
    <row r="127" spans="1:13" x14ac:dyDescent="0.3">
      <c r="A127" s="99" t="s">
        <v>62</v>
      </c>
      <c r="B127" s="100">
        <v>725.05</v>
      </c>
      <c r="C127" s="99" t="s">
        <v>22</v>
      </c>
      <c r="D127" s="100">
        <v>48.793150089749446</v>
      </c>
      <c r="E127" s="100">
        <v>65.373150089749444</v>
      </c>
      <c r="F127" s="100">
        <v>1.4504764123754863</v>
      </c>
      <c r="G127" s="100">
        <v>1.0613242041771849</v>
      </c>
      <c r="H127" s="100">
        <v>0.77830441639660242</v>
      </c>
      <c r="I127" s="100">
        <v>1.4504764123754863</v>
      </c>
      <c r="J127" s="100">
        <v>1.0613242041771849</v>
      </c>
      <c r="K127" s="100">
        <v>0.77830441639660242</v>
      </c>
      <c r="L127" s="101"/>
      <c r="M127" s="101"/>
    </row>
    <row r="128" spans="1:13" x14ac:dyDescent="0.3">
      <c r="A128" s="99" t="s">
        <v>63</v>
      </c>
      <c r="B128" s="100">
        <v>775.05</v>
      </c>
      <c r="C128" s="99" t="s">
        <v>22</v>
      </c>
      <c r="D128" s="100">
        <v>48.817999999999984</v>
      </c>
      <c r="E128" s="100">
        <v>65.397999999999982</v>
      </c>
      <c r="F128" s="100">
        <v>1.5512920268999992</v>
      </c>
      <c r="G128" s="100">
        <v>1.1350917269999994</v>
      </c>
      <c r="H128" s="100">
        <v>0.83240059979999959</v>
      </c>
      <c r="I128" s="100">
        <v>1.5512920268999992</v>
      </c>
      <c r="J128" s="100">
        <v>1.1350917269999994</v>
      </c>
      <c r="K128" s="100">
        <v>0.83240059979999959</v>
      </c>
      <c r="L128" s="101"/>
      <c r="M128" s="101"/>
    </row>
    <row r="129" spans="1:13" x14ac:dyDescent="0.3">
      <c r="A129" s="99" t="s">
        <v>64</v>
      </c>
      <c r="B129" s="100">
        <v>825.05</v>
      </c>
      <c r="C129" s="99" t="s">
        <v>22</v>
      </c>
      <c r="D129" s="100">
        <v>48.817999999999984</v>
      </c>
      <c r="E129" s="100">
        <v>65.397999999999982</v>
      </c>
      <c r="F129" s="100">
        <v>1.6513689268999994</v>
      </c>
      <c r="G129" s="100">
        <v>1.2083187269999995</v>
      </c>
      <c r="H129" s="100">
        <v>0.88610039979999966</v>
      </c>
      <c r="I129" s="100">
        <v>1.6513689268999994</v>
      </c>
      <c r="J129" s="100">
        <v>1.2083187269999995</v>
      </c>
      <c r="K129" s="100">
        <v>0.88610039979999966</v>
      </c>
      <c r="L129" s="101"/>
      <c r="M129" s="101"/>
    </row>
    <row r="130" spans="1:13" x14ac:dyDescent="0.3">
      <c r="A130" s="99" t="s">
        <v>65</v>
      </c>
      <c r="B130" s="100">
        <v>875.05</v>
      </c>
      <c r="C130" s="99" t="s">
        <v>22</v>
      </c>
      <c r="D130" s="100">
        <v>48.817999999999984</v>
      </c>
      <c r="E130" s="100">
        <v>65.397999999999982</v>
      </c>
      <c r="F130" s="100">
        <v>1.7514458268999995</v>
      </c>
      <c r="G130" s="100">
        <v>1.2815457269999997</v>
      </c>
      <c r="H130" s="100">
        <v>0.93980019979999974</v>
      </c>
      <c r="I130" s="100">
        <v>1.7514458268999995</v>
      </c>
      <c r="J130" s="100">
        <v>1.2815457269999997</v>
      </c>
      <c r="K130" s="100">
        <v>0.93980019979999974</v>
      </c>
      <c r="L130" s="101"/>
      <c r="M130" s="101"/>
    </row>
    <row r="131" spans="1:13" x14ac:dyDescent="0.3">
      <c r="A131" s="99" t="s">
        <v>66</v>
      </c>
      <c r="B131" s="100">
        <v>925.05</v>
      </c>
      <c r="C131" s="99" t="s">
        <v>26</v>
      </c>
      <c r="D131" s="100">
        <v>48.817999999999984</v>
      </c>
      <c r="E131" s="100">
        <v>65.397999999999982</v>
      </c>
      <c r="F131" s="100">
        <v>1.851522726899999</v>
      </c>
      <c r="G131" s="100">
        <v>1.3547727269999992</v>
      </c>
      <c r="H131" s="100">
        <v>0.99349999979999948</v>
      </c>
      <c r="I131" s="100">
        <v>1.851522726899999</v>
      </c>
      <c r="J131" s="100">
        <v>1.3547727269999992</v>
      </c>
      <c r="K131" s="100">
        <v>0.99349999979999948</v>
      </c>
      <c r="L131" s="101"/>
      <c r="M131" s="101"/>
    </row>
    <row r="132" spans="1:13" x14ac:dyDescent="0.3">
      <c r="A132" s="99" t="s">
        <v>67</v>
      </c>
      <c r="B132" s="100">
        <v>975.05</v>
      </c>
      <c r="C132" s="99" t="s">
        <v>26</v>
      </c>
      <c r="D132" s="100">
        <v>48.817999999999984</v>
      </c>
      <c r="E132" s="100">
        <v>65.397999999999982</v>
      </c>
      <c r="F132" s="100">
        <v>1.9515996268999991</v>
      </c>
      <c r="G132" s="100">
        <v>1.4279997269999993</v>
      </c>
      <c r="H132" s="100">
        <v>1.0471997997999996</v>
      </c>
      <c r="I132" s="100">
        <v>1.9515996268999991</v>
      </c>
      <c r="J132" s="100">
        <v>1.4279997269999993</v>
      </c>
      <c r="K132" s="100">
        <v>1.0471997997999996</v>
      </c>
      <c r="L132" s="101"/>
      <c r="M132" s="101"/>
    </row>
    <row r="133" spans="1:13" x14ac:dyDescent="0.3">
      <c r="A133" s="99" t="s">
        <v>68</v>
      </c>
      <c r="B133" s="100">
        <v>1050.05</v>
      </c>
      <c r="C133" s="99" t="s">
        <v>26</v>
      </c>
      <c r="D133" s="100">
        <v>48.817999999999984</v>
      </c>
      <c r="E133" s="100">
        <v>65.397999999999982</v>
      </c>
      <c r="F133" s="100">
        <v>2.101714976899999</v>
      </c>
      <c r="G133" s="100">
        <v>1.5378402269999993</v>
      </c>
      <c r="H133" s="100">
        <v>1.1277494997999997</v>
      </c>
      <c r="I133" s="100">
        <v>2.101714976899999</v>
      </c>
      <c r="J133" s="100">
        <v>1.5378402269999993</v>
      </c>
      <c r="K133" s="100">
        <v>1.1277494997999997</v>
      </c>
      <c r="L133" s="101"/>
      <c r="M133" s="101"/>
    </row>
    <row r="134" spans="1:13" x14ac:dyDescent="0.3">
      <c r="A134" s="99" t="s">
        <v>69</v>
      </c>
      <c r="B134" s="100">
        <v>1150.05</v>
      </c>
      <c r="C134" s="99" t="s">
        <v>26</v>
      </c>
      <c r="D134" s="100">
        <v>48.817999999999984</v>
      </c>
      <c r="E134" s="100">
        <v>65.397999999999982</v>
      </c>
      <c r="F134" s="100">
        <v>2.3018687768999988</v>
      </c>
      <c r="G134" s="100">
        <v>1.6842942269999992</v>
      </c>
      <c r="H134" s="100">
        <v>1.2351490997999994</v>
      </c>
      <c r="I134" s="100">
        <v>2.3018687768999988</v>
      </c>
      <c r="J134" s="100">
        <v>1.6842942269999992</v>
      </c>
      <c r="K134" s="100">
        <v>1.2351490997999994</v>
      </c>
      <c r="L134" s="101"/>
      <c r="M134" s="101"/>
    </row>
    <row r="135" spans="1:13" x14ac:dyDescent="0.3">
      <c r="A135" s="99" t="s">
        <v>70</v>
      </c>
      <c r="B135" s="100">
        <v>1300.05</v>
      </c>
      <c r="C135" s="99" t="s">
        <v>71</v>
      </c>
      <c r="D135" s="100">
        <v>48.817999999999984</v>
      </c>
      <c r="E135" s="100">
        <v>65.397999999999982</v>
      </c>
      <c r="F135" s="100">
        <v>2.602099476899999</v>
      </c>
      <c r="G135" s="100">
        <v>1.9039752269999992</v>
      </c>
      <c r="H135" s="100">
        <v>1.3962484997999995</v>
      </c>
      <c r="I135" s="100">
        <v>2.602099476899999</v>
      </c>
      <c r="J135" s="100">
        <v>1.9039752269999992</v>
      </c>
      <c r="K135" s="100">
        <v>1.3962484997999995</v>
      </c>
      <c r="L135" s="101"/>
      <c r="M135" s="101"/>
    </row>
    <row r="136" spans="1:13" x14ac:dyDescent="0.3">
      <c r="A136" s="99" t="s">
        <v>72</v>
      </c>
      <c r="B136" s="100">
        <v>1500.05</v>
      </c>
      <c r="C136" s="99" t="s">
        <v>71</v>
      </c>
      <c r="D136" s="100">
        <v>48.817999999999984</v>
      </c>
      <c r="E136" s="100">
        <v>65.397999999999982</v>
      </c>
      <c r="F136" s="100">
        <v>3.0024070768999986</v>
      </c>
      <c r="G136" s="100">
        <v>2.1968832269999989</v>
      </c>
      <c r="H136" s="100">
        <v>1.6110476997999994</v>
      </c>
      <c r="I136" s="100">
        <v>3.0024070768999986</v>
      </c>
      <c r="J136" s="100">
        <v>2.1968832269999989</v>
      </c>
      <c r="K136" s="100">
        <v>1.6110476997999994</v>
      </c>
      <c r="L136" s="101"/>
      <c r="M136" s="101"/>
    </row>
    <row r="137" spans="1:13" x14ac:dyDescent="0.3">
      <c r="A137" s="99" t="s">
        <v>73</v>
      </c>
      <c r="B137" s="100">
        <v>1800.05</v>
      </c>
      <c r="C137" s="99" t="s">
        <v>74</v>
      </c>
      <c r="D137" s="100">
        <v>48.817999999999984</v>
      </c>
      <c r="E137" s="100">
        <v>65.397999999999982</v>
      </c>
      <c r="F137" s="100">
        <v>3.6028684768999981</v>
      </c>
      <c r="G137" s="100">
        <v>2.6362452269999985</v>
      </c>
      <c r="H137" s="100">
        <v>1.9332464997999992</v>
      </c>
      <c r="I137" s="100">
        <v>3.6028684768999981</v>
      </c>
      <c r="J137" s="100">
        <v>2.6362452269999985</v>
      </c>
      <c r="K137" s="100">
        <v>1.9332464997999992</v>
      </c>
      <c r="L137" s="101"/>
      <c r="M137" s="101"/>
    </row>
    <row r="138" spans="1:13" x14ac:dyDescent="0.3">
      <c r="A138" s="99" t="s">
        <v>75</v>
      </c>
      <c r="B138" s="100">
        <v>2200.0500000000002</v>
      </c>
      <c r="C138" s="99" t="s">
        <v>74</v>
      </c>
      <c r="D138" s="100">
        <v>48.817999999999984</v>
      </c>
      <c r="E138" s="100">
        <v>65.397999999999982</v>
      </c>
      <c r="F138" s="100">
        <v>4.4034836768999988</v>
      </c>
      <c r="G138" s="100">
        <v>3.2220612269999993</v>
      </c>
      <c r="H138" s="100">
        <v>2.3628448997999998</v>
      </c>
      <c r="I138" s="100">
        <v>4.4034836768999988</v>
      </c>
      <c r="J138" s="100">
        <v>3.2220612269999993</v>
      </c>
      <c r="K138" s="100">
        <v>2.3628448997999998</v>
      </c>
      <c r="L138" s="101"/>
      <c r="M138" s="101"/>
    </row>
    <row r="139" spans="1:13" x14ac:dyDescent="0.3">
      <c r="A139" s="99" t="s">
        <v>76</v>
      </c>
      <c r="B139" s="100">
        <v>2700.05</v>
      </c>
      <c r="C139" s="99" t="s">
        <v>74</v>
      </c>
      <c r="D139" s="100">
        <v>48.817999999999984</v>
      </c>
      <c r="E139" s="100">
        <v>65.397999999999982</v>
      </c>
      <c r="F139" s="100">
        <v>5.4042526768999988</v>
      </c>
      <c r="G139" s="100">
        <v>3.9543312269999986</v>
      </c>
      <c r="H139" s="100">
        <v>2.8998428997999994</v>
      </c>
      <c r="I139" s="100">
        <v>5.4042526768999988</v>
      </c>
      <c r="J139" s="100">
        <v>3.9543312269999986</v>
      </c>
      <c r="K139" s="100">
        <v>2.8998428997999994</v>
      </c>
      <c r="L139" s="101"/>
      <c r="M139" s="101"/>
    </row>
    <row r="140" spans="1:13" x14ac:dyDescent="0.3">
      <c r="A140" s="99" t="s">
        <v>77</v>
      </c>
      <c r="B140" s="100">
        <v>3500.05</v>
      </c>
      <c r="C140" s="99" t="s">
        <v>74</v>
      </c>
      <c r="D140" s="100">
        <v>48.817999999999984</v>
      </c>
      <c r="E140" s="100">
        <v>65.397999999999982</v>
      </c>
      <c r="F140" s="100">
        <v>7.0054830768999983</v>
      </c>
      <c r="G140" s="100">
        <v>5.1259632269999988</v>
      </c>
      <c r="H140" s="100">
        <v>3.7590396997999993</v>
      </c>
      <c r="I140" s="100">
        <v>7.0054830768999983</v>
      </c>
      <c r="J140" s="100">
        <v>5.1259632269999988</v>
      </c>
      <c r="K140" s="100">
        <v>3.7590396997999993</v>
      </c>
      <c r="L140" s="101"/>
      <c r="M140" s="101"/>
    </row>
    <row r="141" spans="1:13" x14ac:dyDescent="0.3">
      <c r="A141" s="99" t="s">
        <v>78</v>
      </c>
      <c r="B141" s="100">
        <v>4750.05</v>
      </c>
      <c r="C141" s="99" t="s">
        <v>74</v>
      </c>
      <c r="D141" s="100">
        <v>48.817999999999984</v>
      </c>
      <c r="E141" s="100">
        <v>65.397999999999982</v>
      </c>
      <c r="F141" s="100">
        <v>9.5074055768999965</v>
      </c>
      <c r="G141" s="100">
        <v>6.9566382269999973</v>
      </c>
      <c r="H141" s="100">
        <v>5.1015346997999984</v>
      </c>
      <c r="I141" s="100">
        <v>9.5074055768999965</v>
      </c>
      <c r="J141" s="100">
        <v>6.9566382269999973</v>
      </c>
      <c r="K141" s="100">
        <v>5.1015346997999984</v>
      </c>
      <c r="L141" s="101"/>
      <c r="M141" s="101"/>
    </row>
    <row r="142" spans="1:13" x14ac:dyDescent="0.3">
      <c r="A142" s="65"/>
      <c r="B142" s="65"/>
      <c r="C142" s="65"/>
      <c r="D142" s="65"/>
      <c r="E142" s="65"/>
      <c r="F142" s="65"/>
      <c r="G142" s="97"/>
      <c r="H142" s="97"/>
      <c r="I142" s="65"/>
      <c r="J142" s="65"/>
      <c r="K142" s="65"/>
      <c r="L142" s="65"/>
      <c r="M142" s="65"/>
    </row>
    <row r="143" spans="1:13" ht="37.5" customHeight="1" x14ac:dyDescent="0.3">
      <c r="A143" s="106" t="s">
        <v>79</v>
      </c>
      <c r="B143" s="108"/>
      <c r="C143" s="65"/>
      <c r="D143" s="65"/>
      <c r="F143" s="65"/>
      <c r="H143" s="97"/>
      <c r="J143" s="65"/>
      <c r="K143" s="65"/>
      <c r="L143" s="65"/>
      <c r="M143" s="65"/>
    </row>
    <row r="144" spans="1:13" ht="28" x14ac:dyDescent="0.3">
      <c r="A144" s="120" t="s">
        <v>82</v>
      </c>
      <c r="B144" s="120" t="s">
        <v>83</v>
      </c>
      <c r="C144" s="65"/>
      <c r="D144" s="65"/>
      <c r="F144" s="65"/>
      <c r="H144" s="97"/>
      <c r="J144" s="65"/>
      <c r="K144" s="65"/>
      <c r="L144" s="65"/>
      <c r="M144" s="65"/>
    </row>
    <row r="145" spans="1:13" x14ac:dyDescent="0.3">
      <c r="A145" s="91" t="s">
        <v>257</v>
      </c>
      <c r="B145" s="91" t="s">
        <v>257</v>
      </c>
      <c r="C145" s="65"/>
      <c r="D145" s="65"/>
      <c r="F145" s="65"/>
      <c r="H145" s="97"/>
      <c r="J145" s="65"/>
      <c r="K145" s="65"/>
      <c r="L145" s="65"/>
      <c r="M145" s="65"/>
    </row>
    <row r="146" spans="1:13" x14ac:dyDescent="0.3">
      <c r="A146" s="65"/>
      <c r="B146" s="65"/>
      <c r="C146" s="65"/>
      <c r="D146" s="65"/>
      <c r="F146" s="65"/>
      <c r="H146" s="97"/>
      <c r="I146" s="65"/>
      <c r="J146" s="65"/>
      <c r="K146" s="65"/>
      <c r="L146" s="65"/>
      <c r="M146" s="65"/>
    </row>
    <row r="147" spans="1:13" ht="37.5" customHeight="1" x14ac:dyDescent="0.3">
      <c r="A147" s="106" t="s">
        <v>85</v>
      </c>
      <c r="B147" s="109"/>
      <c r="D147" s="65"/>
      <c r="F147" s="37"/>
      <c r="H147" s="65"/>
      <c r="I147" s="65"/>
      <c r="J147" s="65"/>
      <c r="K147" s="65"/>
      <c r="L147" s="65"/>
      <c r="M147" s="65"/>
    </row>
    <row r="148" spans="1:13" ht="28" x14ac:dyDescent="0.3">
      <c r="A148" s="120" t="s">
        <v>86</v>
      </c>
      <c r="B148" s="120" t="s">
        <v>87</v>
      </c>
      <c r="C148" s="120" t="s">
        <v>88</v>
      </c>
      <c r="D148" s="65"/>
      <c r="F148" s="65"/>
      <c r="H148" s="65"/>
      <c r="I148" s="65"/>
      <c r="J148" s="65"/>
      <c r="K148" s="65"/>
      <c r="L148" s="65"/>
      <c r="M148" s="65"/>
    </row>
    <row r="149" spans="1:13" x14ac:dyDescent="0.3">
      <c r="A149" s="105" t="s">
        <v>89</v>
      </c>
      <c r="B149" s="91" t="s">
        <v>23</v>
      </c>
      <c r="C149" s="91" t="s">
        <v>90</v>
      </c>
      <c r="D149" s="65"/>
      <c r="F149" s="65"/>
      <c r="H149" s="65"/>
      <c r="I149" s="65"/>
      <c r="J149" s="65"/>
      <c r="K149" s="65"/>
      <c r="L149" s="65"/>
      <c r="M149" s="65"/>
    </row>
    <row r="150" spans="1:13" ht="28" x14ac:dyDescent="0.3">
      <c r="A150" s="105" t="s">
        <v>91</v>
      </c>
      <c r="B150" s="91" t="s">
        <v>24</v>
      </c>
      <c r="C150" s="91" t="s">
        <v>92</v>
      </c>
      <c r="D150" s="65"/>
      <c r="F150" s="65"/>
      <c r="H150" s="65"/>
      <c r="I150" s="65"/>
      <c r="J150" s="65"/>
      <c r="K150" s="65"/>
      <c r="L150" s="65"/>
      <c r="M150" s="65"/>
    </row>
    <row r="151" spans="1:13" ht="42" x14ac:dyDescent="0.3">
      <c r="A151" s="105" t="s">
        <v>94</v>
      </c>
      <c r="B151" s="91" t="s">
        <v>25</v>
      </c>
      <c r="C151" s="91" t="s">
        <v>95</v>
      </c>
      <c r="D151" s="65"/>
      <c r="F151" s="65"/>
      <c r="H151" s="65"/>
      <c r="I151" s="65"/>
      <c r="J151" s="65"/>
      <c r="K151" s="65"/>
      <c r="L151" s="65"/>
      <c r="M151" s="65"/>
    </row>
    <row r="152" spans="1:13" ht="28" x14ac:dyDescent="0.3">
      <c r="A152" s="91" t="s">
        <v>96</v>
      </c>
      <c r="B152" s="91" t="s">
        <v>24</v>
      </c>
      <c r="C152" s="91" t="s">
        <v>92</v>
      </c>
      <c r="D152" s="65"/>
      <c r="F152" s="65"/>
      <c r="H152" s="65"/>
      <c r="I152" s="65"/>
      <c r="J152" s="65"/>
      <c r="K152" s="65"/>
      <c r="L152" s="65"/>
      <c r="M152" s="65"/>
    </row>
    <row r="153" spans="1:13" ht="28" x14ac:dyDescent="0.3">
      <c r="A153" s="91" t="s">
        <v>97</v>
      </c>
      <c r="B153" s="91" t="s">
        <v>24</v>
      </c>
      <c r="C153" s="91" t="s">
        <v>92</v>
      </c>
      <c r="D153" s="65"/>
      <c r="F153" s="65"/>
      <c r="H153" s="65"/>
      <c r="I153" s="102"/>
      <c r="J153" s="65"/>
      <c r="K153" s="65"/>
      <c r="L153" s="65"/>
      <c r="M153" s="65"/>
    </row>
    <row r="154" spans="1:13" ht="28" x14ac:dyDescent="0.3">
      <c r="A154" s="105" t="s">
        <v>98</v>
      </c>
      <c r="B154" s="91" t="s">
        <v>24</v>
      </c>
      <c r="C154" s="91" t="s">
        <v>92</v>
      </c>
      <c r="D154" s="65"/>
      <c r="F154" s="65"/>
      <c r="H154" s="65"/>
      <c r="I154" s="102"/>
      <c r="J154" s="65"/>
      <c r="K154" s="65"/>
      <c r="L154" s="65"/>
      <c r="M154" s="65"/>
    </row>
    <row r="155" spans="1:13" ht="15" customHeight="1" x14ac:dyDescent="0.3">
      <c r="A155" s="65"/>
      <c r="B155" s="97"/>
      <c r="C155" s="65"/>
      <c r="D155" s="65"/>
      <c r="F155" s="65"/>
      <c r="H155" s="65"/>
      <c r="I155" s="102"/>
      <c r="J155" s="65"/>
      <c r="K155" s="65"/>
      <c r="L155" s="65"/>
      <c r="M155" s="65"/>
    </row>
    <row r="156" spans="1:13" ht="37.5" customHeight="1" x14ac:dyDescent="0.3">
      <c r="A156" s="106" t="s">
        <v>99</v>
      </c>
      <c r="B156" s="107"/>
      <c r="C156" s="65"/>
      <c r="D156" s="65"/>
      <c r="F156" s="65"/>
      <c r="H156" s="65"/>
      <c r="I156" s="102"/>
      <c r="J156" s="65"/>
      <c r="K156" s="65"/>
      <c r="L156" s="65"/>
      <c r="M156" s="65"/>
    </row>
    <row r="157" spans="1:13" ht="28" x14ac:dyDescent="0.3">
      <c r="A157" s="119" t="s">
        <v>13</v>
      </c>
      <c r="B157" s="119" t="s">
        <v>83</v>
      </c>
      <c r="C157" s="65"/>
      <c r="D157" s="65"/>
      <c r="F157" s="65"/>
      <c r="H157" s="65"/>
      <c r="I157" s="65"/>
      <c r="J157" s="65"/>
      <c r="K157" s="65"/>
      <c r="L157" s="65"/>
      <c r="M157" s="65"/>
    </row>
    <row r="158" spans="1:13" x14ac:dyDescent="0.3">
      <c r="A158" s="91" t="s">
        <v>100</v>
      </c>
      <c r="B158" s="103" t="b">
        <v>1</v>
      </c>
      <c r="C158" s="65"/>
      <c r="D158" s="65"/>
      <c r="F158" s="65"/>
      <c r="H158" s="65"/>
      <c r="I158" s="65"/>
      <c r="J158" s="65"/>
      <c r="K158" s="65"/>
      <c r="L158" s="65"/>
      <c r="M158" s="65"/>
    </row>
    <row r="159" spans="1:13" x14ac:dyDescent="0.3">
      <c r="A159" s="91" t="s">
        <v>101</v>
      </c>
      <c r="B159" s="103" t="b">
        <v>0</v>
      </c>
      <c r="C159" s="65"/>
      <c r="D159" s="65"/>
      <c r="F159" s="65"/>
      <c r="H159" s="65"/>
      <c r="I159" s="65"/>
      <c r="J159" s="65"/>
      <c r="K159" s="65"/>
      <c r="L159" s="65"/>
      <c r="M159" s="65"/>
    </row>
    <row r="160" spans="1:13" x14ac:dyDescent="0.3">
      <c r="A160" s="65"/>
      <c r="B160" s="97"/>
      <c r="C160" s="97"/>
      <c r="D160" s="65"/>
      <c r="F160" s="65"/>
    </row>
    <row r="161" spans="1:8" ht="37.5" customHeight="1" x14ac:dyDescent="0.3">
      <c r="A161" s="106" t="s">
        <v>80</v>
      </c>
      <c r="B161" s="126"/>
      <c r="C161" s="97"/>
      <c r="D161" s="65"/>
    </row>
    <row r="162" spans="1:8" x14ac:dyDescent="0.3">
      <c r="A162" s="127" t="s">
        <v>84</v>
      </c>
      <c r="D162" s="65"/>
    </row>
    <row r="163" spans="1:8" x14ac:dyDescent="0.3">
      <c r="A163" s="128" t="s">
        <v>21</v>
      </c>
      <c r="D163" s="65"/>
      <c r="E163" s="65"/>
      <c r="F163" s="65"/>
      <c r="G163" s="97"/>
      <c r="H163" s="97"/>
    </row>
    <row r="164" spans="1:8" x14ac:dyDescent="0.3">
      <c r="A164" s="128" t="s">
        <v>27</v>
      </c>
      <c r="D164" s="65"/>
      <c r="E164" s="65"/>
      <c r="F164" s="65"/>
      <c r="G164" s="97"/>
      <c r="H164" s="97"/>
    </row>
    <row r="165" spans="1:8" x14ac:dyDescent="0.3">
      <c r="A165" s="128" t="s">
        <v>28</v>
      </c>
      <c r="D165" s="65"/>
      <c r="E165" s="65"/>
      <c r="F165" s="65"/>
      <c r="G165" s="97"/>
      <c r="H165" s="97"/>
    </row>
    <row r="166" spans="1:8" x14ac:dyDescent="0.3">
      <c r="A166" s="128" t="s">
        <v>33</v>
      </c>
      <c r="D166" s="65"/>
      <c r="E166" s="65"/>
      <c r="F166" s="65"/>
      <c r="G166" s="97"/>
      <c r="H166" s="97"/>
    </row>
    <row r="167" spans="1:8" x14ac:dyDescent="0.3">
      <c r="A167" s="128" t="s">
        <v>29</v>
      </c>
      <c r="D167" s="65"/>
      <c r="E167" s="65"/>
      <c r="F167" s="65"/>
      <c r="G167" s="97"/>
      <c r="H167" s="97"/>
    </row>
    <row r="168" spans="1:8" x14ac:dyDescent="0.3">
      <c r="A168" s="128" t="s">
        <v>30</v>
      </c>
      <c r="D168" s="65"/>
      <c r="E168" s="65"/>
      <c r="F168" s="65"/>
      <c r="G168" s="97"/>
      <c r="H168" s="97"/>
    </row>
    <row r="169" spans="1:8" x14ac:dyDescent="0.3">
      <c r="A169" s="128" t="s">
        <v>93</v>
      </c>
      <c r="D169" s="65"/>
      <c r="E169" s="65"/>
      <c r="F169" s="65"/>
      <c r="G169" s="97"/>
      <c r="H169" s="97"/>
    </row>
    <row r="170" spans="1:8" x14ac:dyDescent="0.3">
      <c r="A170" s="128" t="s">
        <v>31</v>
      </c>
      <c r="D170" s="65"/>
      <c r="E170" s="65"/>
      <c r="F170" s="65"/>
      <c r="G170" s="97"/>
      <c r="H170" s="97"/>
    </row>
    <row r="171" spans="1:8" x14ac:dyDescent="0.3">
      <c r="A171" s="128" t="s">
        <v>32</v>
      </c>
      <c r="D171" s="65"/>
      <c r="E171" s="65"/>
      <c r="F171" s="65"/>
      <c r="G171" s="97"/>
      <c r="H171" s="97"/>
    </row>
    <row r="172" spans="1:8" x14ac:dyDescent="0.3">
      <c r="A172" s="129" t="s">
        <v>35</v>
      </c>
      <c r="D172" s="65"/>
      <c r="E172" s="65"/>
      <c r="F172" s="65"/>
      <c r="G172" s="97"/>
      <c r="H172" s="97"/>
    </row>
    <row r="173" spans="1:8" x14ac:dyDescent="0.3">
      <c r="A173" s="129" t="s">
        <v>37</v>
      </c>
      <c r="D173" s="65"/>
      <c r="E173" s="65"/>
      <c r="F173" s="65"/>
      <c r="G173" s="97"/>
      <c r="H173" s="97"/>
    </row>
    <row r="174" spans="1:8" x14ac:dyDescent="0.3">
      <c r="A174" s="129" t="s">
        <v>38</v>
      </c>
      <c r="D174" s="65"/>
      <c r="E174" s="65"/>
      <c r="F174" s="65"/>
      <c r="G174" s="97"/>
      <c r="H174" s="97"/>
    </row>
    <row r="175" spans="1:8" x14ac:dyDescent="0.3">
      <c r="A175" s="129" t="s">
        <v>39</v>
      </c>
      <c r="D175" s="65"/>
      <c r="E175" s="65"/>
      <c r="F175" s="65"/>
      <c r="G175" s="97"/>
      <c r="H175" s="97"/>
    </row>
    <row r="176" spans="1:8" x14ac:dyDescent="0.3">
      <c r="A176" s="128" t="s">
        <v>40</v>
      </c>
      <c r="D176" s="65"/>
      <c r="E176" s="65"/>
      <c r="F176" s="65"/>
      <c r="G176" s="97"/>
      <c r="H176" s="97"/>
    </row>
    <row r="177" spans="1:8" x14ac:dyDescent="0.3">
      <c r="A177" s="128" t="s">
        <v>41</v>
      </c>
      <c r="D177" s="65"/>
      <c r="E177" s="65"/>
      <c r="F177" s="65"/>
      <c r="G177" s="97"/>
      <c r="H177" s="97"/>
    </row>
    <row r="178" spans="1:8" x14ac:dyDescent="0.3">
      <c r="A178" s="128" t="s">
        <v>42</v>
      </c>
      <c r="D178" s="65"/>
      <c r="E178" s="65"/>
      <c r="F178" s="65"/>
      <c r="G178" s="97"/>
      <c r="H178" s="97"/>
    </row>
    <row r="179" spans="1:8" x14ac:dyDescent="0.3">
      <c r="A179" s="130" t="s">
        <v>36</v>
      </c>
      <c r="D179" s="65"/>
      <c r="E179" s="65"/>
      <c r="F179" s="65"/>
      <c r="G179" s="97"/>
      <c r="H179" s="97"/>
    </row>
    <row r="181" spans="1:8" ht="37.5" customHeight="1" x14ac:dyDescent="0.3">
      <c r="A181" s="106" t="s">
        <v>81</v>
      </c>
      <c r="B181" s="125"/>
    </row>
    <row r="182" spans="1:8" x14ac:dyDescent="0.3">
      <c r="A182" s="119" t="s">
        <v>351</v>
      </c>
    </row>
    <row r="183" spans="1:8" x14ac:dyDescent="0.3">
      <c r="A183" s="91" t="s">
        <v>21</v>
      </c>
    </row>
    <row r="184" spans="1:8" x14ac:dyDescent="0.3">
      <c r="A184" s="91" t="s">
        <v>27</v>
      </c>
    </row>
    <row r="185" spans="1:8" x14ac:dyDescent="0.3">
      <c r="A185" s="91" t="s">
        <v>33</v>
      </c>
    </row>
    <row r="186" spans="1:8" x14ac:dyDescent="0.3">
      <c r="A186" s="91" t="s">
        <v>29</v>
      </c>
    </row>
    <row r="187" spans="1:8" x14ac:dyDescent="0.3">
      <c r="A187" s="91" t="s">
        <v>30</v>
      </c>
    </row>
    <row r="188" spans="1:8" x14ac:dyDescent="0.3">
      <c r="A188" s="91" t="s">
        <v>93</v>
      </c>
    </row>
    <row r="189" spans="1:8" x14ac:dyDescent="0.3">
      <c r="A189" s="91" t="s">
        <v>31</v>
      </c>
    </row>
    <row r="190" spans="1:8" x14ac:dyDescent="0.3">
      <c r="A190" s="91" t="s">
        <v>32</v>
      </c>
    </row>
    <row r="191" spans="1:8" x14ac:dyDescent="0.3">
      <c r="A191" s="91" t="s">
        <v>35</v>
      </c>
    </row>
    <row r="192" spans="1:8" x14ac:dyDescent="0.3">
      <c r="A192" s="98" t="s">
        <v>37</v>
      </c>
    </row>
    <row r="193" spans="1:1" x14ac:dyDescent="0.3">
      <c r="A193" s="98" t="s">
        <v>38</v>
      </c>
    </row>
    <row r="194" spans="1:1" x14ac:dyDescent="0.3">
      <c r="A194" s="98" t="s">
        <v>39</v>
      </c>
    </row>
    <row r="195" spans="1:1" x14ac:dyDescent="0.3">
      <c r="A195" s="91" t="s">
        <v>40</v>
      </c>
    </row>
    <row r="196" spans="1:1" x14ac:dyDescent="0.3">
      <c r="A196" s="91" t="s">
        <v>41</v>
      </c>
    </row>
    <row r="197" spans="1:1" x14ac:dyDescent="0.3">
      <c r="A197" s="91" t="s">
        <v>42</v>
      </c>
    </row>
    <row r="198" spans="1:1" x14ac:dyDescent="0.3">
      <c r="A198" s="91" t="s">
        <v>36</v>
      </c>
    </row>
    <row r="200" spans="1:1" ht="37.5" customHeight="1" x14ac:dyDescent="0.3">
      <c r="A200" s="8" t="s">
        <v>144</v>
      </c>
    </row>
    <row r="201" spans="1:1" x14ac:dyDescent="0.3">
      <c r="A201" s="119" t="s">
        <v>137</v>
      </c>
    </row>
    <row r="202" spans="1:1" x14ac:dyDescent="0.3">
      <c r="A202" s="91" t="e" cm="1" vm="1">
        <f t="array" ref="A202">_xlfn._xlws.SORT(_xlfn.UNIQUE(_xlfn._xlws.FILTER(Nutrients_from_future_land_use!$A$5:$A$21,Nutrients_from_future_land_use!$A$5:$A$21&lt;&gt;"")))</f>
        <v>#VALUE!</v>
      </c>
    </row>
  </sheetData>
  <sheetProtection algorithmName="SHA-512" hashValue="FjyzrhGOr3tUJkm8XvX4GatNpOK4o3g7sWHoRsff+HTqBPkwgODiDqiupPr543vMd9pNcGYYK5nB9zBdS2K1yw==" saltValue="0vxZrR5SdP5jRlMU14WgJA==" spinCount="100000" sheet="1" objects="1" scenarios="1"/>
  <phoneticPr fontId="9" type="noConversion"/>
  <dataValidations count="1">
    <dataValidation allowBlank="1" showInputMessage="1" showErrorMessage="1" prompt="This value is dependent on the rainfall volume." sqref="G113:H115 H109"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Props1.xml><?xml version="1.0" encoding="utf-8"?>
<ds:datastoreItem xmlns:ds="http://schemas.openxmlformats.org/officeDocument/2006/customXml" ds:itemID="{4E6A12FC-BB1B-4E54-B358-BBABDD5105C6}">
  <ds:schemaRef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purl.org/dc/elements/1.1/"/>
    <ds:schemaRef ds:uri="41b1b97e-58d0-4f82-aacc-4a7d6fa43521"/>
    <ds:schemaRef ds:uri="http://schemas.microsoft.com/office/2006/metadata/properties"/>
    <ds:schemaRef ds:uri="662745e8-e224-48e8-a2e3-254862b8c2f5"/>
    <ds:schemaRef ds:uri="http://www.w3.org/XML/1998/namespace"/>
    <ds:schemaRef ds:uri="http://purl.org/dc/dcmitype/"/>
  </ds:schemaRefs>
</ds:datastoreItem>
</file>

<file path=customXml/itemProps2.xml><?xml version="1.0" encoding="utf-8"?>
<ds:datastoreItem xmlns:ds="http://schemas.openxmlformats.org/officeDocument/2006/customXml" ds:itemID="{4254C99C-DB13-4E4A-A447-852901F1C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FC580BC4-D716-44E5-B04E-3794ABD62A9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2025-04-29T09:04:11Z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